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ml.chartshapes+xml"/>
  <Override PartName="/xl/charts/chart8.xml" ContentType="application/vnd.openxmlformats-officedocument.drawingml.chart+xml"/>
  <Override PartName="/xl/theme/themeOverride1.xml" ContentType="application/vnd.openxmlformats-officedocument.themeOverrid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ml.chartshapes+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2.xml" ContentType="application/vnd.openxmlformats-officedocument.drawingml.chartshapes+xml"/>
  <Override PartName="/xl/charts/chart17.xml" ContentType="application/vnd.openxmlformats-officedocument.drawingml.chart+xml"/>
  <Override PartName="/xl/theme/themeOverride2.xml" ContentType="application/vnd.openxmlformats-officedocument.themeOverride+xml"/>
  <Override PartName="/xl/drawings/drawing13.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4.xml" ContentType="application/vnd.openxmlformats-officedocument.drawing+xml"/>
  <Override PartName="/xl/charts/chart21.xml" ContentType="application/vnd.openxmlformats-officedocument.drawingml.chart+xml"/>
  <Override PartName="/xl/theme/themeOverride3.xml" ContentType="application/vnd.openxmlformats-officedocument.themeOverride+xml"/>
  <Override PartName="/xl/charts/chart22.xml" ContentType="application/vnd.openxmlformats-officedocument.drawingml.chart+xml"/>
  <Override PartName="/xl/theme/themeOverride4.xml" ContentType="application/vnd.openxmlformats-officedocument.themeOverride+xml"/>
  <Override PartName="/xl/comments8.xml" ContentType="application/vnd.openxmlformats-officedocument.spreadsheetml.comments+xml"/>
  <Override PartName="/xl/threadedComments/threadedComment8.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23.xml" ContentType="application/vnd.openxmlformats-officedocument.drawingml.chart+xml"/>
  <Override PartName="/xl/theme/themeOverride5.xml" ContentType="application/vnd.openxmlformats-officedocument.themeOverride+xml"/>
  <Override PartName="/xl/drawings/drawing18.xml" ContentType="application/vnd.openxmlformats-officedocument.drawingml.chartshapes+xml"/>
  <Override PartName="/xl/drawings/drawing19.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26.xml" ContentType="application/vnd.openxmlformats-officedocument.drawingml.chart+xml"/>
  <Override PartName="/xl/theme/themeOverride6.xml" ContentType="application/vnd.openxmlformats-officedocument.themeOverride+xml"/>
  <Override PartName="/xl/drawings/drawing22.xml" ContentType="application/vnd.openxmlformats-officedocument.drawingml.chartshapes+xml"/>
  <Override PartName="/xl/charts/chart27.xml" ContentType="application/vnd.openxmlformats-officedocument.drawingml.chart+xml"/>
  <Override PartName="/xl/theme/themeOverride7.xml" ContentType="application/vnd.openxmlformats-officedocument.themeOverride+xml"/>
  <Override PartName="/xl/drawings/drawing23.xml" ContentType="application/vnd.openxmlformats-officedocument.drawingml.chartshapes+xml"/>
  <Override PartName="/xl/drawings/drawing24.xml" ContentType="application/vnd.openxmlformats-officedocument.drawing+xml"/>
  <Override PartName="/xl/charts/chart28.xml" ContentType="application/vnd.openxmlformats-officedocument.drawingml.chart+xml"/>
  <Override PartName="/xl/theme/themeOverride8.xml" ContentType="application/vnd.openxmlformats-officedocument.themeOverride+xml"/>
  <Override PartName="/xl/drawings/drawing25.xml" ContentType="application/vnd.openxmlformats-officedocument.drawingml.chartshapes+xml"/>
  <Override PartName="/xl/drawings/drawing26.xml" ContentType="application/vnd.openxmlformats-officedocument.drawing+xml"/>
  <Override PartName="/xl/charts/chart29.xml" ContentType="application/vnd.openxmlformats-officedocument.drawingml.chart+xml"/>
  <Override PartName="/xl/theme/themeOverride9.xml" ContentType="application/vnd.openxmlformats-officedocument.themeOverride+xml"/>
  <Override PartName="/xl/drawings/drawing27.xml" ContentType="application/vnd.openxmlformats-officedocument.drawingml.chartshapes+xml"/>
  <Override PartName="/xl/charts/chart30.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harts/chart31.xml" ContentType="application/vnd.openxmlformats-officedocument.drawingml.chart+xml"/>
  <Override PartName="/xl/theme/themeOverride10.xml" ContentType="application/vnd.openxmlformats-officedocument.themeOverride+xml"/>
  <Override PartName="/xl/drawings/drawing30.xml" ContentType="application/vnd.openxmlformats-officedocument.drawingml.chartshapes+xml"/>
  <Override PartName="/xl/charts/chart32.xml" ContentType="application/vnd.openxmlformats-officedocument.drawingml.chart+xml"/>
  <Override PartName="/xl/theme/themeOverride11.xml" ContentType="application/vnd.openxmlformats-officedocument.themeOverride+xml"/>
  <Override PartName="/xl/drawings/drawing31.xml" ContentType="application/vnd.openxmlformats-officedocument.drawingml.chartshapes+xml"/>
  <Override PartName="/xl/drawings/drawing32.xml" ContentType="application/vnd.openxmlformats-officedocument.drawing+xml"/>
  <Override PartName="/xl/charts/chart33.xml" ContentType="application/vnd.openxmlformats-officedocument.drawingml.chart+xml"/>
  <Override PartName="/xl/theme/themeOverride12.xml" ContentType="application/vnd.openxmlformats-officedocument.themeOverride+xml"/>
  <Override PartName="/xl/drawings/drawing33.xml" ContentType="application/vnd.openxmlformats-officedocument.drawingml.chartshapes+xml"/>
  <Override PartName="/xl/charts/chart34.xml" ContentType="application/vnd.openxmlformats-officedocument.drawingml.chart+xml"/>
  <Override PartName="/xl/theme/themeOverride13.xml" ContentType="application/vnd.openxmlformats-officedocument.themeOverride+xml"/>
  <Override PartName="/xl/drawings/drawing34.xml" ContentType="application/vnd.openxmlformats-officedocument.drawingml.chartshapes+xml"/>
  <Override PartName="/xl/drawings/drawing35.xml" ContentType="application/vnd.openxmlformats-officedocument.drawing+xml"/>
  <Override PartName="/xl/charts/chart35.xml" ContentType="application/vnd.openxmlformats-officedocument.drawingml.chart+xml"/>
  <Override PartName="/xl/theme/themeOverride14.xml" ContentType="application/vnd.openxmlformats-officedocument.themeOverride+xml"/>
  <Override PartName="/xl/drawings/drawing36.xml" ContentType="application/vnd.openxmlformats-officedocument.drawingml.chartshapes+xml"/>
  <Override PartName="/xl/drawings/drawing37.xml" ContentType="application/vnd.openxmlformats-officedocument.drawing+xml"/>
  <Override PartName="/xl/charts/chart36.xml" ContentType="application/vnd.openxmlformats-officedocument.drawingml.chart+xml"/>
  <Override PartName="/xl/theme/themeOverride15.xml" ContentType="application/vnd.openxmlformats-officedocument.themeOverride+xml"/>
  <Override PartName="/xl/drawings/drawing38.xml" ContentType="application/vnd.openxmlformats-officedocument.drawingml.chartshapes+xml"/>
  <Override PartName="/xl/charts/chart37.xml" ContentType="application/vnd.openxmlformats-officedocument.drawingml.chart+xml"/>
  <Override PartName="/xl/theme/themeOverride16.xml" ContentType="application/vnd.openxmlformats-officedocument.themeOverride+xml"/>
  <Override PartName="/xl/drawings/drawing39.xml" ContentType="application/vnd.openxmlformats-officedocument.drawingml.chartshapes+xml"/>
  <Override PartName="/xl/drawings/drawing40.xml" ContentType="application/vnd.openxmlformats-officedocument.drawing+xml"/>
  <Override PartName="/xl/charts/chart38.xml" ContentType="application/vnd.openxmlformats-officedocument.drawingml.chart+xml"/>
  <Override PartName="/xl/drawings/drawing41.xml" ContentType="application/vnd.openxmlformats-officedocument.drawingml.chartshapes+xml"/>
  <Override PartName="/xl/charts/chart39.xml" ContentType="application/vnd.openxmlformats-officedocument.drawingml.chart+xml"/>
  <Override PartName="/xl/theme/themeOverride17.xml" ContentType="application/vnd.openxmlformats-officedocument.themeOverride+xml"/>
  <Override PartName="/xl/drawings/drawing42.xml" ContentType="application/vnd.openxmlformats-officedocument.drawingml.chartshapes+xml"/>
  <Override PartName="/xl/charts/chart40.xml" ContentType="application/vnd.openxmlformats-officedocument.drawingml.chart+xml"/>
  <Override PartName="/xl/theme/themeOverride18.xml" ContentType="application/vnd.openxmlformats-officedocument.themeOverride+xml"/>
  <Override PartName="/xl/drawings/drawing43.xml" ContentType="application/vnd.openxmlformats-officedocument.drawingml.chartshapes+xml"/>
  <Override PartName="/xl/drawings/drawing44.xml" ContentType="application/vnd.openxmlformats-officedocument.drawing+xml"/>
  <Override PartName="/xl/charts/chart41.xml" ContentType="application/vnd.openxmlformats-officedocument.drawingml.chart+xml"/>
  <Override PartName="/xl/drawings/drawing45.xml" ContentType="application/vnd.openxmlformats-officedocument.drawingml.chartshapes+xml"/>
  <Override PartName="/xl/charts/chart42.xml" ContentType="application/vnd.openxmlformats-officedocument.drawingml.chart+xml"/>
  <Override PartName="/xl/theme/themeOverride19.xml" ContentType="application/vnd.openxmlformats-officedocument.themeOverride+xml"/>
  <Override PartName="/xl/drawings/drawing46.xml" ContentType="application/vnd.openxmlformats-officedocument.drawingml.chartshapes+xml"/>
  <Override PartName="/xl/charts/chart43.xml" ContentType="application/vnd.openxmlformats-officedocument.drawingml.chart+xml"/>
  <Override PartName="/xl/theme/themeOverride20.xml" ContentType="application/vnd.openxmlformats-officedocument.themeOverride+xml"/>
  <Override PartName="/xl/drawings/drawing47.xml" ContentType="application/vnd.openxmlformats-officedocument.drawingml.chartshapes+xml"/>
  <Override PartName="/xl/charts/chart44.xml" ContentType="application/vnd.openxmlformats-officedocument.drawingml.chart+xml"/>
  <Override PartName="/xl/theme/themeOverride21.xml" ContentType="application/vnd.openxmlformats-officedocument.themeOverride+xml"/>
  <Override PartName="/xl/drawings/drawing48.xml" ContentType="application/vnd.openxmlformats-officedocument.drawingml.chartshapes+xml"/>
  <Override PartName="/xl/drawings/drawing49.xml" ContentType="application/vnd.openxmlformats-officedocument.drawing+xml"/>
  <Override PartName="/xl/charts/chart45.xml" ContentType="application/vnd.openxmlformats-officedocument.drawingml.chart+xml"/>
  <Override PartName="/xl/theme/themeOverride22.xml" ContentType="application/vnd.openxmlformats-officedocument.themeOverride+xml"/>
  <Override PartName="/xl/drawings/drawing50.xml" ContentType="application/vnd.openxmlformats-officedocument.drawingml.chartshapes+xml"/>
  <Override PartName="/xl/charts/chart46.xml" ContentType="application/vnd.openxmlformats-officedocument.drawingml.chart+xml"/>
  <Override PartName="/xl/theme/themeOverride23.xml" ContentType="application/vnd.openxmlformats-officedocument.themeOverride+xml"/>
  <Override PartName="/xl/drawings/drawing51.xml" ContentType="application/vnd.openxmlformats-officedocument.drawingml.chartshapes+xml"/>
  <Override PartName="/xl/drawings/drawing52.xml" ContentType="application/vnd.openxmlformats-officedocument.drawing+xml"/>
  <Override PartName="/xl/charts/chart47.xml" ContentType="application/vnd.openxmlformats-officedocument.drawingml.chart+xml"/>
  <Override PartName="/xl/theme/themeOverride24.xml" ContentType="application/vnd.openxmlformats-officedocument.themeOverride+xml"/>
  <Override PartName="/xl/drawings/drawing53.xml" ContentType="application/vnd.openxmlformats-officedocument.drawingml.chartshapes+xml"/>
  <Override PartName="/xl/charts/chart48.xml" ContentType="application/vnd.openxmlformats-officedocument.drawingml.chart+xml"/>
  <Override PartName="/xl/theme/themeOverride25.xml" ContentType="application/vnd.openxmlformats-officedocument.themeOverride+xml"/>
  <Override PartName="/xl/drawings/drawing54.xml" ContentType="application/vnd.openxmlformats-officedocument.drawingml.chartshapes+xml"/>
  <Override PartName="/xl/charts/chart49.xml" ContentType="application/vnd.openxmlformats-officedocument.drawingml.chart+xml"/>
  <Override PartName="/xl/theme/themeOverride26.xml" ContentType="application/vnd.openxmlformats-officedocument.themeOverride+xml"/>
  <Override PartName="/xl/drawings/drawing55.xml" ContentType="application/vnd.openxmlformats-officedocument.drawingml.chartshapes+xml"/>
  <Override PartName="/xl/drawings/drawing5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updateLinks="always" codeName="ThisWorkbook" hidePivotFieldList="1"/>
  <mc:AlternateContent xmlns:mc="http://schemas.openxmlformats.org/markup-compatibility/2006">
    <mc:Choice Requires="x15">
      <x15ac:absPath xmlns:x15ac="http://schemas.microsoft.com/office/spreadsheetml/2010/11/ac" url="https://vodafone.sharepoint.com/sites/InfrastructureDelivery462/Shared Documents/01 Site Information/05 Network Capacity Management/Archive Plant Power Loading (Dulux)/Power Plant Loading 2024/"/>
    </mc:Choice>
  </mc:AlternateContent>
  <xr:revisionPtr revIDLastSave="0" documentId="8_{7253A0DF-AA35-482B-B901-FBA11CEAD585}" xr6:coauthVersionLast="47" xr6:coauthVersionMax="47" xr10:uidLastSave="{00000000-0000-0000-0000-000000000000}"/>
  <bookViews>
    <workbookView xWindow="-108" yWindow="-108" windowWidth="23256" windowHeight="12456" tabRatio="802" xr2:uid="{00000000-000D-0000-FFFF-FFFF00000000}"/>
  </bookViews>
  <sheets>
    <sheet name="Plant loading" sheetId="1" r:id="rId1"/>
    <sheet name="WIP - Modelling Worksheet" sheetId="111" r:id="rId2"/>
    <sheet name="Inverter Loading" sheetId="12" r:id="rId3"/>
    <sheet name="Plant Loading Property Report" sheetId="114" r:id="rId4"/>
    <sheet name="NFV" sheetId="115" r:id="rId5"/>
    <sheet name="Cab Floorspace" sheetId="26" r:id="rId6"/>
    <sheet name="Building Capability" sheetId="27" r:id="rId7"/>
    <sheet name="Battery Log" sheetId="29" r:id="rId8"/>
    <sheet name="Power figures" sheetId="4" r:id="rId9"/>
    <sheet name="Floorspace Calc" sheetId="32" state="hidden" r:id="rId10"/>
    <sheet name="Graphs" sheetId="100" r:id="rId11"/>
    <sheet name="12 Monthly Graph" sheetId="103" r:id="rId12"/>
    <sheet name="Exec Graphs (2)" sheetId="112" r:id="rId13"/>
    <sheet name=" AirCon Apr 21" sheetId="113" r:id="rId14"/>
    <sheet name="Dual Running Anaylsis" sheetId="104" state="hidden" r:id="rId15"/>
    <sheet name="Dual Running" sheetId="47" state="hidden" r:id="rId16"/>
    <sheet name="Rolling Figs" sheetId="64" state="hidden" r:id="rId17"/>
    <sheet name="ECO Mode" sheetId="86" state="hidden" r:id="rId18"/>
    <sheet name="Rectifier Reduction" sheetId="54" state="hidden" r:id="rId19"/>
    <sheet name="Title Page" sheetId="25" state="hidden" r:id="rId20"/>
    <sheet name="Info" sheetId="79" state="hidden" r:id="rId21"/>
    <sheet name="DC_9" sheetId="75" state="hidden" r:id="rId22"/>
    <sheet name="CHE Pwr" sheetId="58" state="hidden" r:id="rId23"/>
    <sheet name="Non-CHE Pwr" sheetId="77" state="hidden" r:id="rId24"/>
    <sheet name="Strat 12Mth DC" sheetId="63" state="hidden" r:id="rId25"/>
    <sheet name="StratSpace" sheetId="90" state="hidden" r:id="rId26"/>
    <sheet name="NS DC" sheetId="57" state="hidden" r:id="rId27"/>
    <sheet name="NS AC_DC" sheetId="61" state="hidden" r:id="rId28"/>
    <sheet name="NS12 Mth DC" sheetId="65" state="hidden" r:id="rId29"/>
    <sheet name="NS Space" sheetId="91" state="hidden" r:id="rId30"/>
    <sheet name="Bldg Pwr Type A+B" sheetId="66" state="hidden" r:id="rId31"/>
    <sheet name="Bldg Pwr Type A+B (2)" sheetId="93" state="hidden" r:id="rId32"/>
    <sheet name="PUE" sheetId="68" state="hidden" r:id="rId33"/>
    <sheet name="NW Agg Pwr" sheetId="82" state="hidden" r:id="rId34"/>
    <sheet name="Assumption" sheetId="74" state="hidden" r:id="rId35"/>
    <sheet name="XLD TSI Plant " sheetId="92" state="hidden" r:id="rId36"/>
    <sheet name="XGL TSI Plant" sheetId="95" state="hidden" r:id="rId37"/>
    <sheet name="XMS TSI Plant" sheetId="96" state="hidden" r:id="rId38"/>
    <sheet name="XBE TSI Plant" sheetId="97" state="hidden" r:id="rId39"/>
    <sheet name="PUE Values" sheetId="13" state="hidden" r:id="rId40"/>
    <sheet name="&lt;90% plants and sites" sheetId="116" r:id="rId41"/>
    <sheet name="Inverter Numbering" sheetId="117" r:id="rId42"/>
    <sheet name="BKLN06 &amp; XGL001 power_Capacity" sheetId="118" r:id="rId43"/>
  </sheets>
  <externalReferences>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xlnm._FilterDatabase" localSheetId="13" hidden="1">' AirCon Apr 21'!$A$1:$WVS$293</definedName>
    <definedName name="_xlnm._FilterDatabase" localSheetId="7" hidden="1">'Battery Log'!$X$1:$X$231</definedName>
    <definedName name="_xlnm._FilterDatabase" localSheetId="41" hidden="1">'Inverter Numbering'!$A$1:$C$845</definedName>
    <definedName name="_xlnm._FilterDatabase" localSheetId="0" hidden="1">'Plant loading'!$A$3:$Z$118</definedName>
    <definedName name="aaaa" localSheetId="34">#REF!</definedName>
    <definedName name="aaaa" localSheetId="31">#REF!</definedName>
    <definedName name="aaaa" localSheetId="21">#REF!</definedName>
    <definedName name="aaaa" localSheetId="12">#REF!</definedName>
    <definedName name="aaaa" localSheetId="29">#REF!</definedName>
    <definedName name="aaaa" localSheetId="3">#REF!</definedName>
    <definedName name="aaaa" localSheetId="25">#REF!</definedName>
    <definedName name="aaaa" localSheetId="38">#REF!</definedName>
    <definedName name="aaaa" localSheetId="36">#REF!</definedName>
    <definedName name="aaaa" localSheetId="37">#REF!</definedName>
    <definedName name="aaaa">#REF!</definedName>
    <definedName name="Agg_sites_12mth" localSheetId="34">#REF!</definedName>
    <definedName name="Agg_sites_12mth" localSheetId="31">#REF!</definedName>
    <definedName name="Agg_sites_12mth" localSheetId="21">#REF!</definedName>
    <definedName name="Agg_sites_12mth" localSheetId="12">#REF!</definedName>
    <definedName name="Agg_sites_12mth" localSheetId="29">#REF!</definedName>
    <definedName name="Agg_sites_12mth" localSheetId="3">#REF!</definedName>
    <definedName name="Agg_sites_12mth" localSheetId="25">#REF!</definedName>
    <definedName name="Agg_sites_12mth" localSheetId="38">#REF!</definedName>
    <definedName name="Agg_sites_12mth" localSheetId="36">#REF!</definedName>
    <definedName name="Agg_sites_12mth" localSheetId="37">#REF!</definedName>
    <definedName name="Agg_sites_12mth">#REF!</definedName>
    <definedName name="bluerec" localSheetId="34">#REF!</definedName>
    <definedName name="bluerec" localSheetId="30">#REF!</definedName>
    <definedName name="bluerec" localSheetId="31">#REF!</definedName>
    <definedName name="bluerec" localSheetId="22">#REF!</definedName>
    <definedName name="bluerec" localSheetId="21">#REF!</definedName>
    <definedName name="bluerec" localSheetId="12">#REF!</definedName>
    <definedName name="bluerec" localSheetId="27">#REF!</definedName>
    <definedName name="bluerec" localSheetId="29">#REF!</definedName>
    <definedName name="bluerec" localSheetId="28">#REF!</definedName>
    <definedName name="bluerec" localSheetId="0">'Plant loading'!#REF!</definedName>
    <definedName name="bluerec" localSheetId="3">#REF!</definedName>
    <definedName name="bluerec" localSheetId="32">#REF!</definedName>
    <definedName name="bluerec" localSheetId="16">#REF!</definedName>
    <definedName name="bluerec" localSheetId="24">#REF!</definedName>
    <definedName name="bluerec" localSheetId="25">#REF!</definedName>
    <definedName name="bluerec" localSheetId="38">#REF!</definedName>
    <definedName name="bluerec" localSheetId="36">#REF!</definedName>
    <definedName name="bluerec" localSheetId="37">#REF!</definedName>
    <definedName name="bluerec">#REF!</definedName>
    <definedName name="fenixrec" localSheetId="34">#REF!</definedName>
    <definedName name="fenixrec" localSheetId="30">#REF!</definedName>
    <definedName name="fenixrec" localSheetId="31">#REF!</definedName>
    <definedName name="fenixrec" localSheetId="22">#REF!</definedName>
    <definedName name="fenixrec" localSheetId="21">#REF!</definedName>
    <definedName name="fenixrec" localSheetId="12">#REF!</definedName>
    <definedName name="fenixrec" localSheetId="27">#REF!</definedName>
    <definedName name="fenixrec" localSheetId="29">#REF!</definedName>
    <definedName name="fenixrec" localSheetId="28">#REF!</definedName>
    <definedName name="fenixrec" localSheetId="0">'Plant loading'!#REF!</definedName>
    <definedName name="fenixrec" localSheetId="3">#REF!</definedName>
    <definedName name="fenixrec" localSheetId="32">#REF!</definedName>
    <definedName name="fenixrec" localSheetId="16">#REF!</definedName>
    <definedName name="fenixrec" localSheetId="24">#REF!</definedName>
    <definedName name="fenixrec" localSheetId="25">#REF!</definedName>
    <definedName name="fenixrec" localSheetId="38">#REF!</definedName>
    <definedName name="fenixrec" localSheetId="36">#REF!</definedName>
    <definedName name="fenixrec" localSheetId="37">#REF!</definedName>
    <definedName name="fenixrec">#REF!</definedName>
    <definedName name="k3newrec" localSheetId="34">#REF!</definedName>
    <definedName name="k3newrec" localSheetId="30">#REF!</definedName>
    <definedName name="k3newrec" localSheetId="31">#REF!</definedName>
    <definedName name="k3newrec" localSheetId="22">#REF!</definedName>
    <definedName name="k3newrec" localSheetId="21">#REF!</definedName>
    <definedName name="k3newrec" localSheetId="12">#REF!</definedName>
    <definedName name="k3newrec" localSheetId="27">#REF!</definedName>
    <definedName name="k3newrec" localSheetId="29">#REF!</definedName>
    <definedName name="k3newrec" localSheetId="28">#REF!</definedName>
    <definedName name="k3newrec" localSheetId="0">'Plant loading'!#REF!</definedName>
    <definedName name="k3newrec" localSheetId="3">#REF!</definedName>
    <definedName name="k3newrec" localSheetId="32">#REF!</definedName>
    <definedName name="k3newrec" localSheetId="16">#REF!</definedName>
    <definedName name="k3newrec" localSheetId="24">#REF!</definedName>
    <definedName name="k3newrec" localSheetId="25">#REF!</definedName>
    <definedName name="k3newrec" localSheetId="38">#REF!</definedName>
    <definedName name="k3newrec" localSheetId="36">#REF!</definedName>
    <definedName name="k3newrec" localSheetId="37">#REF!</definedName>
    <definedName name="k3newrec">#REF!</definedName>
    <definedName name="k3oldrec" localSheetId="34">#REF!</definedName>
    <definedName name="k3oldrec" localSheetId="30">#REF!</definedName>
    <definedName name="k3oldrec" localSheetId="31">#REF!</definedName>
    <definedName name="k3oldrec" localSheetId="22">#REF!</definedName>
    <definedName name="k3oldrec" localSheetId="21">#REF!</definedName>
    <definedName name="k3oldrec" localSheetId="12">#REF!</definedName>
    <definedName name="k3oldrec" localSheetId="27">#REF!</definedName>
    <definedName name="k3oldrec" localSheetId="29">#REF!</definedName>
    <definedName name="k3oldrec" localSheetId="28">#REF!</definedName>
    <definedName name="k3oldrec" localSheetId="0">'Plant loading'!#REF!</definedName>
    <definedName name="k3oldrec" localSheetId="3">#REF!</definedName>
    <definedName name="k3oldrec" localSheetId="32">#REF!</definedName>
    <definedName name="k3oldrec" localSheetId="16">#REF!</definedName>
    <definedName name="k3oldrec" localSheetId="24">#REF!</definedName>
    <definedName name="k3oldrec" localSheetId="25">#REF!</definedName>
    <definedName name="k3oldrec" localSheetId="38">#REF!</definedName>
    <definedName name="k3oldrec" localSheetId="36">#REF!</definedName>
    <definedName name="k3oldrec" localSheetId="37">#REF!</definedName>
    <definedName name="k3oldrec">#REF!</definedName>
    <definedName name="k86rec" localSheetId="34">#REF!</definedName>
    <definedName name="k86rec" localSheetId="30">#REF!</definedName>
    <definedName name="k86rec" localSheetId="31">#REF!</definedName>
    <definedName name="k86rec" localSheetId="22">#REF!</definedName>
    <definedName name="k86rec" localSheetId="21">#REF!</definedName>
    <definedName name="k86rec" localSheetId="12">#REF!</definedName>
    <definedName name="k86rec" localSheetId="27">#REF!</definedName>
    <definedName name="k86rec" localSheetId="29">#REF!</definedName>
    <definedName name="k86rec" localSheetId="28">#REF!</definedName>
    <definedName name="k86rec" localSheetId="0">'Plant loading'!#REF!</definedName>
    <definedName name="k86rec" localSheetId="3">#REF!</definedName>
    <definedName name="k86rec" localSheetId="32">#REF!</definedName>
    <definedName name="k86rec" localSheetId="16">#REF!</definedName>
    <definedName name="k86rec" localSheetId="24">#REF!</definedName>
    <definedName name="k86rec" localSheetId="25">#REF!</definedName>
    <definedName name="k86rec" localSheetId="38">#REF!</definedName>
    <definedName name="k86rec" localSheetId="36">#REF!</definedName>
    <definedName name="k86rec" localSheetId="37">#REF!</definedName>
    <definedName name="k86rec">#REF!</definedName>
    <definedName name="l" localSheetId="12">#REF!</definedName>
    <definedName name="l" localSheetId="3">#REF!</definedName>
    <definedName name="l">#REF!</definedName>
    <definedName name="PowerElementType" localSheetId="14">'[1]Plant loading'!$A$123:$A$124</definedName>
    <definedName name="PowerElementType" localSheetId="12">'[2]Plant loading'!$A$124:$A$125</definedName>
    <definedName name="PowerElementType" localSheetId="3">'[3]Plant loading'!$A$157:$A$158</definedName>
    <definedName name="PowerElementType">'Plant loading'!$A$126:$A$129</definedName>
    <definedName name="_xlnm.Print_Area" localSheetId="22">'CHE Pwr'!$A$1:$AF$84</definedName>
    <definedName name="_xlnm.Print_Area" localSheetId="21">DC_9!$A$1:$Z$74</definedName>
    <definedName name="_xlnm.Print_Area" localSheetId="28">'NS12 Mth DC'!$A$1:$AB$74</definedName>
    <definedName name="_xlnm.Print_Area" localSheetId="33">'NW Agg Pwr'!$A$1:$Z$71</definedName>
    <definedName name="_xlnm.Print_Area" localSheetId="0">'Plant loading'!$A$2:$Z$16</definedName>
    <definedName name="_xlnm.Print_Area" localSheetId="32">PUE!$A$1:$AC$80</definedName>
    <definedName name="_xlnm.Print_Area" localSheetId="24">'Strat 12Mth DC'!$A$1:$AA$73</definedName>
    <definedName name="robustrec" localSheetId="34">#REF!</definedName>
    <definedName name="robustrec" localSheetId="30">#REF!</definedName>
    <definedName name="robustrec" localSheetId="31">#REF!</definedName>
    <definedName name="robustrec" localSheetId="22">#REF!</definedName>
    <definedName name="robustrec" localSheetId="21">#REF!</definedName>
    <definedName name="robustrec" localSheetId="12">#REF!</definedName>
    <definedName name="robustrec" localSheetId="27">#REF!</definedName>
    <definedName name="robustrec" localSheetId="29">#REF!</definedName>
    <definedName name="robustrec" localSheetId="28">#REF!</definedName>
    <definedName name="robustrec" localSheetId="0">'Plant loading'!#REF!</definedName>
    <definedName name="robustrec" localSheetId="3">#REF!</definedName>
    <definedName name="robustrec" localSheetId="32">#REF!</definedName>
    <definedName name="robustrec" localSheetId="16">#REF!</definedName>
    <definedName name="robustrec" localSheetId="24">#REF!</definedName>
    <definedName name="robustrec" localSheetId="25">#REF!</definedName>
    <definedName name="robustrec" localSheetId="38">#REF!</definedName>
    <definedName name="robustrec" localSheetId="36">#REF!</definedName>
    <definedName name="robustrec" localSheetId="37">#REF!</definedName>
    <definedName name="robustrec">#REF!</definedName>
    <definedName name="test" localSheetId="31">#REF!</definedName>
    <definedName name="test" localSheetId="12">#REF!</definedName>
    <definedName name="test" localSheetId="3">#REF!</definedName>
    <definedName name="test" localSheetId="38">#REF!</definedName>
    <definedName name="test" localSheetId="36">#REF!</definedName>
    <definedName name="test" localSheetId="37">#REF!</definedName>
    <definedName name="test">#REF!</definedName>
    <definedName name="Z_759D43B0_06FA_4A69_BB8B_D0E660486465_.wvu.FilterData" localSheetId="0" hidden="1">'Plant loading'!$A$3:$L$118</definedName>
    <definedName name="Z_759D43B0_06FA_4A69_BB8B_D0E660486465_.wvu.PrintArea" localSheetId="0" hidden="1">'Plant loading'!$A$2:$AA$93</definedName>
  </definedNames>
  <calcPr calcId="191028"/>
  <customWorkbookViews>
    <customWorkbookView name="Dan Frost - Personal View" guid="{759D43B0-06FA-4A69-BB8B-D0E660486465}" mergeInterval="0" personalView="1" maximized="1" windowWidth="1276" windowHeight="825" activeSheetId="2"/>
  </customWorkbookViews>
  <pivotCaches>
    <pivotCache cacheId="5104" r:id="rId5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0" i="27" l="1"/>
  <c r="B119" i="27"/>
  <c r="B118" i="27"/>
  <c r="B117" i="27"/>
  <c r="B116" i="27"/>
  <c r="B115" i="27"/>
  <c r="B114" i="27"/>
  <c r="B113" i="27"/>
  <c r="B112" i="27"/>
  <c r="B111" i="27"/>
  <c r="B110" i="27"/>
  <c r="Z18" i="118"/>
  <c r="AC13" i="118"/>
  <c r="Z10" i="118"/>
  <c r="Z12" i="118" s="1"/>
  <c r="M57" i="118"/>
  <c r="M56" i="118"/>
  <c r="M55" i="118"/>
  <c r="M51" i="118"/>
  <c r="M48" i="118"/>
  <c r="M47" i="118"/>
  <c r="M46" i="118"/>
  <c r="M42" i="118"/>
  <c r="L57" i="118"/>
  <c r="L56" i="118"/>
  <c r="L55" i="118"/>
  <c r="L51" i="118"/>
  <c r="L48" i="118"/>
  <c r="L47" i="118"/>
  <c r="L46" i="118"/>
  <c r="L42" i="118"/>
  <c r="L43" i="118" l="1"/>
  <c r="M43" i="118"/>
  <c r="L52" i="118"/>
  <c r="M52" i="118"/>
  <c r="K57" i="118"/>
  <c r="K56" i="118"/>
  <c r="K55" i="118"/>
  <c r="K51" i="118"/>
  <c r="K52" i="118" s="1"/>
  <c r="K48" i="118"/>
  <c r="K47" i="118"/>
  <c r="K46" i="118"/>
  <c r="K42" i="118"/>
  <c r="K43" i="118" s="1"/>
  <c r="G57" i="118"/>
  <c r="G56" i="118"/>
  <c r="G55" i="118"/>
  <c r="G51" i="118"/>
  <c r="G52" i="118" s="1"/>
  <c r="G48" i="118"/>
  <c r="G47" i="118"/>
  <c r="G46" i="118"/>
  <c r="G42" i="118"/>
  <c r="G43" i="118" s="1"/>
  <c r="F57" i="118"/>
  <c r="F56" i="118"/>
  <c r="F55" i="118"/>
  <c r="F51" i="118"/>
  <c r="F52" i="118" s="1"/>
  <c r="F48" i="118"/>
  <c r="F47" i="118"/>
  <c r="F46" i="118"/>
  <c r="F42" i="118"/>
  <c r="F43" i="118" s="1"/>
  <c r="E57" i="118"/>
  <c r="E56" i="118"/>
  <c r="E55" i="118"/>
  <c r="E51" i="118"/>
  <c r="E48" i="118"/>
  <c r="E47" i="118"/>
  <c r="E46" i="118"/>
  <c r="E42" i="118"/>
  <c r="E43" i="118" s="1"/>
  <c r="D57" i="118"/>
  <c r="D56" i="118"/>
  <c r="D55" i="118"/>
  <c r="D51" i="118"/>
  <c r="D48" i="118"/>
  <c r="D47" i="118"/>
  <c r="D46" i="118"/>
  <c r="D42" i="118"/>
  <c r="D43" i="118" s="1"/>
  <c r="C42" i="118"/>
  <c r="C43" i="118" s="1"/>
  <c r="C57" i="118" l="1"/>
  <c r="C56" i="118"/>
  <c r="C55" i="118"/>
  <c r="C46" i="118"/>
  <c r="B57" i="118"/>
  <c r="B56" i="118"/>
  <c r="B55" i="118"/>
  <c r="B47" i="118" l="1"/>
  <c r="B48" i="118"/>
  <c r="C48" i="118"/>
  <c r="C47" i="118"/>
  <c r="C51" i="118"/>
  <c r="B51" i="118"/>
  <c r="B46" i="118"/>
  <c r="B42" i="118" l="1"/>
  <c r="B43" i="118" s="1"/>
  <c r="B52" i="118" l="1"/>
  <c r="C52" i="118"/>
  <c r="D52" i="118"/>
  <c r="E52" i="118"/>
  <c r="I42" i="118"/>
  <c r="I43" i="118" s="1"/>
  <c r="H42" i="118"/>
  <c r="H43" i="118" s="1"/>
  <c r="B8" i="118"/>
  <c r="B9" i="118" s="1"/>
  <c r="M22" i="12"/>
  <c r="M23" i="12"/>
  <c r="M23" i="118"/>
  <c r="M22" i="118"/>
  <c r="M21" i="118"/>
  <c r="M17" i="118"/>
  <c r="M18" i="118" s="1"/>
  <c r="M14" i="118"/>
  <c r="M13" i="118"/>
  <c r="M12" i="118"/>
  <c r="M8" i="118"/>
  <c r="M9" i="118" s="1"/>
  <c r="L23" i="118"/>
  <c r="L22" i="118"/>
  <c r="L21" i="118"/>
  <c r="L17" i="118"/>
  <c r="L18" i="118" s="1"/>
  <c r="L14" i="118"/>
  <c r="L13" i="118"/>
  <c r="L12" i="118"/>
  <c r="L8" i="118"/>
  <c r="L9" i="118" s="1"/>
  <c r="K23" i="118"/>
  <c r="K22" i="118"/>
  <c r="K21" i="118"/>
  <c r="K17" i="118"/>
  <c r="K18" i="118" s="1"/>
  <c r="K14" i="118"/>
  <c r="K13" i="118"/>
  <c r="K12" i="118"/>
  <c r="K8" i="118"/>
  <c r="K9" i="118" s="1"/>
  <c r="J23" i="118"/>
  <c r="J22" i="118"/>
  <c r="J21" i="118"/>
  <c r="J17" i="118"/>
  <c r="J18" i="118" s="1"/>
  <c r="J14" i="118"/>
  <c r="J13" i="118"/>
  <c r="J12" i="118"/>
  <c r="J8" i="118"/>
  <c r="J9" i="118" s="1"/>
  <c r="I23" i="118"/>
  <c r="I22" i="118"/>
  <c r="I21" i="118"/>
  <c r="I17" i="118"/>
  <c r="I18" i="118" s="1"/>
  <c r="I14" i="118"/>
  <c r="I13" i="118"/>
  <c r="I12" i="118"/>
  <c r="I8" i="118"/>
  <c r="I9" i="118" s="1"/>
  <c r="G8" i="118"/>
  <c r="G9" i="118" s="1"/>
  <c r="F8" i="118"/>
  <c r="F9" i="118" s="1"/>
  <c r="G23" i="118"/>
  <c r="G22" i="118"/>
  <c r="G21" i="118"/>
  <c r="G17" i="118"/>
  <c r="G18" i="118" s="1"/>
  <c r="G14" i="118"/>
  <c r="G13" i="118"/>
  <c r="G12" i="118"/>
  <c r="F14" i="118"/>
  <c r="F13" i="118"/>
  <c r="C62" i="118"/>
  <c r="D62" i="118" s="1"/>
  <c r="E62" i="118" s="1"/>
  <c r="C61" i="118"/>
  <c r="D61" i="118" s="1"/>
  <c r="E61" i="118" s="1"/>
  <c r="J57" i="118"/>
  <c r="I57" i="118"/>
  <c r="H57" i="118"/>
  <c r="J56" i="118"/>
  <c r="I56" i="118"/>
  <c r="H56" i="118"/>
  <c r="J55" i="118"/>
  <c r="I55" i="118"/>
  <c r="H55" i="118"/>
  <c r="J51" i="118"/>
  <c r="J52" i="118" s="1"/>
  <c r="I51" i="118"/>
  <c r="I52" i="118" s="1"/>
  <c r="H51" i="118"/>
  <c r="J48" i="118"/>
  <c r="I48" i="118"/>
  <c r="H48" i="118"/>
  <c r="J47" i="118"/>
  <c r="I47" i="118"/>
  <c r="H47" i="118"/>
  <c r="J46" i="118"/>
  <c r="I46" i="118"/>
  <c r="H46" i="118"/>
  <c r="J42" i="118"/>
  <c r="J43" i="118" s="1"/>
  <c r="C28" i="118"/>
  <c r="D28" i="118" s="1"/>
  <c r="E28" i="118" s="1"/>
  <c r="C27" i="118"/>
  <c r="D27" i="118" s="1"/>
  <c r="E27" i="118" s="1"/>
  <c r="E23" i="118"/>
  <c r="D23" i="118"/>
  <c r="C23" i="118"/>
  <c r="B23" i="118"/>
  <c r="E22" i="118"/>
  <c r="D22" i="118"/>
  <c r="C22" i="118"/>
  <c r="B22" i="118"/>
  <c r="E21" i="118"/>
  <c r="D21" i="118"/>
  <c r="C21" i="118"/>
  <c r="B21" i="118"/>
  <c r="E17" i="118"/>
  <c r="E18" i="118" s="1"/>
  <c r="D17" i="118"/>
  <c r="D18" i="118" s="1"/>
  <c r="C17" i="118"/>
  <c r="C18" i="118" s="1"/>
  <c r="B17" i="118"/>
  <c r="E14" i="118"/>
  <c r="D14" i="118"/>
  <c r="C14" i="118"/>
  <c r="B14" i="118"/>
  <c r="E13" i="118"/>
  <c r="D13" i="118"/>
  <c r="C13" i="118"/>
  <c r="B13" i="118"/>
  <c r="E12" i="118"/>
  <c r="D12" i="118"/>
  <c r="C12" i="118"/>
  <c r="B12" i="118"/>
  <c r="E8" i="118"/>
  <c r="E9" i="118" s="1"/>
  <c r="D8" i="118"/>
  <c r="D9" i="118" s="1"/>
  <c r="C8" i="118"/>
  <c r="C9" i="118" s="1"/>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30" i="12"/>
  <c r="J31" i="12"/>
  <c r="J32" i="12"/>
  <c r="J33" i="12"/>
  <c r="J34" i="12"/>
  <c r="J35" i="12"/>
  <c r="J36" i="12"/>
  <c r="J37" i="12"/>
  <c r="J38" i="12"/>
  <c r="J39" i="12"/>
  <c r="J40" i="12"/>
  <c r="J41" i="12"/>
  <c r="K77" i="1"/>
  <c r="K76" i="1"/>
  <c r="K75" i="1"/>
  <c r="K74" i="1"/>
  <c r="K73" i="1"/>
  <c r="K72" i="1"/>
  <c r="B3" i="29"/>
  <c r="O56" i="12"/>
  <c r="K56" i="12"/>
  <c r="L56" i="12" s="1"/>
  <c r="G56" i="12"/>
  <c r="I56" i="12" s="1"/>
  <c r="N43" i="118" l="1"/>
  <c r="N51" i="118"/>
  <c r="N17" i="118"/>
  <c r="H52" i="118"/>
  <c r="N52" i="118" s="1"/>
  <c r="O52" i="118" s="1"/>
  <c r="E29" i="118"/>
  <c r="N42" i="118"/>
  <c r="B18" i="118"/>
  <c r="N18" i="118" s="1"/>
  <c r="O18" i="118" s="1"/>
  <c r="H56" i="12"/>
  <c r="H14" i="26" l="1"/>
  <c r="T34" i="12"/>
  <c r="T35" i="12"/>
  <c r="T32" i="12"/>
  <c r="T33" i="12"/>
  <c r="H8" i="26"/>
  <c r="T22" i="12"/>
  <c r="T23" i="12"/>
  <c r="K58" i="1"/>
  <c r="K59" i="1"/>
  <c r="K60" i="1"/>
  <c r="K61" i="1"/>
  <c r="K79" i="1"/>
  <c r="K78" i="1"/>
  <c r="O43" i="118" l="1"/>
  <c r="K57" i="1"/>
  <c r="AB31" i="29"/>
  <c r="B129" i="1" l="1"/>
  <c r="C129" i="1"/>
  <c r="K56" i="1"/>
  <c r="A39" i="29"/>
  <c r="L38" i="1"/>
  <c r="L37" i="1"/>
  <c r="L79" i="1"/>
  <c r="Q13" i="115"/>
  <c r="N62" i="1"/>
  <c r="N63" i="1"/>
  <c r="J13" i="115"/>
  <c r="Z7" i="115"/>
  <c r="Z8" i="115"/>
  <c r="Z9" i="115"/>
  <c r="Z10" i="115"/>
  <c r="Z6" i="115"/>
  <c r="S13" i="115"/>
  <c r="N13" i="115"/>
  <c r="N12" i="115"/>
  <c r="N11" i="115"/>
  <c r="N10" i="115"/>
  <c r="N9" i="115"/>
  <c r="N8" i="115"/>
  <c r="N7" i="115"/>
  <c r="N6" i="115"/>
  <c r="M13" i="115" l="1"/>
  <c r="V13" i="115" s="1"/>
  <c r="M12" i="115"/>
  <c r="V12" i="115" s="1"/>
  <c r="M11" i="115"/>
  <c r="V11" i="115" s="1"/>
  <c r="M10" i="115"/>
  <c r="V10" i="115" s="1"/>
  <c r="M9" i="115"/>
  <c r="V9" i="115" s="1"/>
  <c r="M8" i="115"/>
  <c r="V8" i="115" s="1"/>
  <c r="M7" i="115"/>
  <c r="V7" i="115" s="1"/>
  <c r="M6" i="115"/>
  <c r="V6" i="115" s="1"/>
  <c r="F13" i="115" l="1"/>
  <c r="E13" i="115"/>
  <c r="L13" i="115" s="1"/>
  <c r="T13" i="115" l="1"/>
  <c r="R13" i="115"/>
  <c r="K13" i="115"/>
  <c r="O13" i="115" s="1"/>
  <c r="L56" i="1" l="1"/>
  <c r="L62" i="1"/>
  <c r="L63" i="1"/>
  <c r="B82" i="29"/>
  <c r="AB82" i="29" s="1"/>
  <c r="B83" i="29"/>
  <c r="AB83" i="29" s="1"/>
  <c r="B74" i="29"/>
  <c r="AB74" i="29" s="1"/>
  <c r="B75" i="29"/>
  <c r="AB75" i="29" s="1"/>
  <c r="B66" i="29"/>
  <c r="AB66" i="29" s="1"/>
  <c r="B67" i="29"/>
  <c r="AB67" i="29" s="1"/>
  <c r="B49" i="29"/>
  <c r="AB49" i="29" s="1"/>
  <c r="B50" i="29"/>
  <c r="AB50" i="29" s="1"/>
  <c r="B41" i="29"/>
  <c r="AB41" i="29" s="1"/>
  <c r="B42" i="29"/>
  <c r="AB42" i="29" s="1"/>
  <c r="R66" i="29"/>
  <c r="R67" i="29"/>
  <c r="C67" i="29"/>
  <c r="S67" i="29" s="1"/>
  <c r="C66" i="29"/>
  <c r="A66" i="29"/>
  <c r="A67" i="29"/>
  <c r="R74" i="29"/>
  <c r="R75" i="29"/>
  <c r="C74" i="29"/>
  <c r="S74" i="29" s="1"/>
  <c r="C75" i="29"/>
  <c r="A74" i="29"/>
  <c r="A75" i="29"/>
  <c r="R49" i="29"/>
  <c r="R50" i="29"/>
  <c r="C49" i="29"/>
  <c r="C50" i="29"/>
  <c r="S50" i="29" s="1"/>
  <c r="A49" i="29"/>
  <c r="A50" i="29"/>
  <c r="R82" i="29"/>
  <c r="R83" i="29"/>
  <c r="C82" i="29"/>
  <c r="S82" i="29" s="1"/>
  <c r="C83" i="29"/>
  <c r="A82" i="29"/>
  <c r="A83" i="29"/>
  <c r="A84" i="29"/>
  <c r="AA84" i="29" s="1"/>
  <c r="B84" i="29"/>
  <c r="AB84" i="29" s="1"/>
  <c r="C84" i="29"/>
  <c r="R84" i="29"/>
  <c r="C41" i="29"/>
  <c r="C42" i="29"/>
  <c r="R41" i="29"/>
  <c r="R42" i="29"/>
  <c r="A41" i="29"/>
  <c r="A42" i="29"/>
  <c r="T19" i="12"/>
  <c r="F38" i="26"/>
  <c r="D12" i="4"/>
  <c r="D7" i="4"/>
  <c r="A112" i="114"/>
  <c r="B112" i="114"/>
  <c r="C112" i="114"/>
  <c r="E112" i="114"/>
  <c r="F112" i="114"/>
  <c r="A113" i="114"/>
  <c r="B113" i="114"/>
  <c r="C113" i="114"/>
  <c r="E113" i="114"/>
  <c r="F113" i="114"/>
  <c r="G113" i="114"/>
  <c r="A71" i="114"/>
  <c r="B71" i="114"/>
  <c r="C71" i="114"/>
  <c r="E71" i="114"/>
  <c r="F71" i="114"/>
  <c r="A72" i="114"/>
  <c r="B72" i="114"/>
  <c r="C72" i="114"/>
  <c r="E72" i="114"/>
  <c r="F72" i="114"/>
  <c r="A79" i="114"/>
  <c r="B79" i="114"/>
  <c r="C79" i="114"/>
  <c r="E79" i="114"/>
  <c r="F79" i="114"/>
  <c r="A80" i="114"/>
  <c r="B80" i="114"/>
  <c r="C80" i="114"/>
  <c r="E80" i="114"/>
  <c r="F80" i="114"/>
  <c r="G32" i="1"/>
  <c r="G8" i="115" s="1"/>
  <c r="Q37" i="1"/>
  <c r="Q38" i="1"/>
  <c r="N38" i="1"/>
  <c r="M38" i="1"/>
  <c r="F38" i="1" s="1"/>
  <c r="J38" i="1"/>
  <c r="H72" i="114" s="1"/>
  <c r="N37" i="1"/>
  <c r="M37" i="1"/>
  <c r="F37" i="1" s="1"/>
  <c r="J37" i="1"/>
  <c r="H71" i="114" s="1"/>
  <c r="G22" i="12"/>
  <c r="G23" i="12"/>
  <c r="S66" i="29" l="1"/>
  <c r="S42" i="29"/>
  <c r="S41" i="29"/>
  <c r="S84" i="29"/>
  <c r="G71" i="114"/>
  <c r="G72" i="114"/>
  <c r="D72" i="114"/>
  <c r="D71" i="114"/>
  <c r="S83" i="29"/>
  <c r="S75" i="29"/>
  <c r="S49" i="29"/>
  <c r="S38" i="1"/>
  <c r="U38" i="1" s="1"/>
  <c r="S37" i="1"/>
  <c r="O37" i="1"/>
  <c r="O38" i="1"/>
  <c r="M26" i="26"/>
  <c r="M24" i="26"/>
  <c r="M23" i="26"/>
  <c r="M22" i="26"/>
  <c r="M33" i="26"/>
  <c r="W38" i="1" l="1"/>
  <c r="W37" i="1"/>
  <c r="U37" i="1"/>
  <c r="L71" i="1"/>
  <c r="L70" i="1"/>
  <c r="M8" i="12" l="1"/>
  <c r="D8" i="4"/>
  <c r="J79" i="1"/>
  <c r="H113" i="114" s="1"/>
  <c r="L78" i="1"/>
  <c r="J78" i="1"/>
  <c r="H112" i="114" s="1"/>
  <c r="L46" i="1"/>
  <c r="G80" i="114" s="1"/>
  <c r="J46" i="1"/>
  <c r="H80" i="114" s="1"/>
  <c r="L45" i="1"/>
  <c r="G79" i="114" s="1"/>
  <c r="J45" i="1"/>
  <c r="H79" i="114" s="1"/>
  <c r="M78" i="1" l="1"/>
  <c r="F78" i="1" s="1"/>
  <c r="G112" i="114"/>
  <c r="G72" i="1"/>
  <c r="G6" i="115" s="1"/>
  <c r="Q79" i="1"/>
  <c r="N79" i="1"/>
  <c r="M79" i="1"/>
  <c r="F79" i="1" s="1"/>
  <c r="Q78" i="1"/>
  <c r="N78" i="1"/>
  <c r="G39" i="1"/>
  <c r="G7" i="115" s="1"/>
  <c r="Q46" i="1"/>
  <c r="N46" i="1"/>
  <c r="M46" i="1"/>
  <c r="Q45" i="1"/>
  <c r="N45" i="1"/>
  <c r="M45" i="1"/>
  <c r="D80" i="114" l="1"/>
  <c r="D79" i="114"/>
  <c r="D113" i="114"/>
  <c r="D112" i="114"/>
  <c r="S45" i="1"/>
  <c r="W45" i="1" s="1"/>
  <c r="Y45" i="1" s="1"/>
  <c r="S78" i="1"/>
  <c r="U78" i="1" s="1"/>
  <c r="O79" i="1"/>
  <c r="O78" i="1"/>
  <c r="S79" i="1"/>
  <c r="S46" i="1"/>
  <c r="W46" i="1" s="1"/>
  <c r="Y46" i="1" s="1"/>
  <c r="F45" i="1"/>
  <c r="F46" i="1"/>
  <c r="O45" i="1"/>
  <c r="O46" i="1"/>
  <c r="S43" i="26" a="1"/>
  <c r="S43" i="26" s="1"/>
  <c r="T23" i="26"/>
  <c r="T24" i="26"/>
  <c r="T25" i="26"/>
  <c r="T26" i="26"/>
  <c r="T27" i="26"/>
  <c r="T28" i="26"/>
  <c r="T33" i="26"/>
  <c r="T34" i="26"/>
  <c r="T35" i="26"/>
  <c r="T36" i="26"/>
  <c r="T37" i="26"/>
  <c r="T38" i="26"/>
  <c r="T39" i="26"/>
  <c r="T40" i="26"/>
  <c r="T41" i="26"/>
  <c r="T42" i="26"/>
  <c r="T22" i="26"/>
  <c r="U43" i="26" s="1" a="1"/>
  <c r="U43" i="26" s="1"/>
  <c r="Q14" i="1"/>
  <c r="G4" i="1"/>
  <c r="W78" i="1" l="1"/>
  <c r="Y78" i="1" s="1"/>
  <c r="U45" i="1"/>
  <c r="U79" i="1"/>
  <c r="W79" i="1"/>
  <c r="Y79" i="1" s="1"/>
  <c r="U46" i="1"/>
  <c r="S52" i="12" l="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85" i="1"/>
  <c r="Q86" i="1"/>
  <c r="Q87" i="1"/>
  <c r="Q88" i="1"/>
  <c r="Q13" i="1"/>
  <c r="S23" i="12" l="1"/>
  <c r="O23" i="12"/>
  <c r="N23" i="12" s="1"/>
  <c r="S22" i="12"/>
  <c r="O22" i="12"/>
  <c r="N22" i="12" s="1"/>
  <c r="I22" i="12"/>
  <c r="I23" i="12" l="1"/>
  <c r="H23" i="12"/>
  <c r="U23" i="12"/>
  <c r="V23" i="12" s="1"/>
  <c r="H22" i="12"/>
  <c r="U22" i="12" s="1"/>
  <c r="V22" i="12" s="1"/>
  <c r="B141" i="29" l="1"/>
  <c r="Q44" i="1" l="1"/>
  <c r="Q42" i="1"/>
  <c r="Q41" i="1"/>
  <c r="Q39" i="1"/>
  <c r="M20" i="12" l="1"/>
  <c r="M21" i="12"/>
  <c r="G105" i="1"/>
  <c r="J105" i="1"/>
  <c r="L105" i="1"/>
  <c r="M105" i="1" s="1"/>
  <c r="N105" i="1"/>
  <c r="S105" i="1" s="1"/>
  <c r="J106" i="1"/>
  <c r="L106" i="1"/>
  <c r="M106" i="1" s="1"/>
  <c r="N106" i="1"/>
  <c r="R105" i="1" l="1"/>
  <c r="S106" i="1"/>
  <c r="W106" i="1" s="1"/>
  <c r="U105" i="1"/>
  <c r="F105" i="1"/>
  <c r="W105" i="1"/>
  <c r="P105" i="1"/>
  <c r="F106" i="1"/>
  <c r="U106" i="1" l="1"/>
  <c r="S20" i="12" l="1"/>
  <c r="C128" i="1" l="1"/>
  <c r="B128" i="1"/>
  <c r="J63" i="1" l="1"/>
  <c r="J62" i="1"/>
  <c r="M71" i="1"/>
  <c r="F71" i="1" s="1"/>
  <c r="J71" i="1"/>
  <c r="H105" i="114" s="1"/>
  <c r="J70" i="1"/>
  <c r="H104" i="114" s="1"/>
  <c r="D11" i="4"/>
  <c r="E104" i="114"/>
  <c r="F104" i="114"/>
  <c r="E105" i="114"/>
  <c r="F105" i="114"/>
  <c r="C104" i="114"/>
  <c r="C105" i="114"/>
  <c r="B104" i="114"/>
  <c r="B105" i="114"/>
  <c r="N70" i="1"/>
  <c r="N71" i="1"/>
  <c r="Q70" i="1"/>
  <c r="Q71" i="1"/>
  <c r="G64" i="1"/>
  <c r="G11" i="115" s="1"/>
  <c r="M70" i="1" l="1"/>
  <c r="F70" i="1" s="1"/>
  <c r="D104" i="114"/>
  <c r="G105" i="114"/>
  <c r="G104" i="114"/>
  <c r="D105" i="114"/>
  <c r="S70" i="1"/>
  <c r="S71" i="1"/>
  <c r="W71" i="1" s="1"/>
  <c r="Y71" i="1" s="1"/>
  <c r="O71" i="1"/>
  <c r="H96" i="114"/>
  <c r="H97" i="114"/>
  <c r="G96" i="114"/>
  <c r="G97" i="114"/>
  <c r="F38" i="114"/>
  <c r="F39" i="114"/>
  <c r="F40" i="114"/>
  <c r="F41" i="114"/>
  <c r="F42" i="114"/>
  <c r="F43" i="114"/>
  <c r="F44" i="114"/>
  <c r="F45" i="114"/>
  <c r="F46" i="114"/>
  <c r="F47" i="114"/>
  <c r="F48" i="114"/>
  <c r="F49" i="114"/>
  <c r="F50" i="114"/>
  <c r="F51" i="114"/>
  <c r="F52" i="114"/>
  <c r="F53" i="114"/>
  <c r="F54" i="114"/>
  <c r="F55" i="114"/>
  <c r="F56" i="114"/>
  <c r="F57" i="114"/>
  <c r="F58" i="114"/>
  <c r="F59" i="114"/>
  <c r="F60" i="114"/>
  <c r="F61" i="114"/>
  <c r="F62" i="114"/>
  <c r="F63" i="114"/>
  <c r="F64" i="114"/>
  <c r="F65" i="114"/>
  <c r="F66" i="114"/>
  <c r="F67" i="114"/>
  <c r="F68" i="114"/>
  <c r="F69" i="114"/>
  <c r="F70" i="114"/>
  <c r="F73" i="114"/>
  <c r="F74" i="114"/>
  <c r="F75" i="114"/>
  <c r="F76" i="114"/>
  <c r="F77" i="114"/>
  <c r="F78" i="114"/>
  <c r="F81" i="114"/>
  <c r="F82" i="114"/>
  <c r="F83" i="114"/>
  <c r="F84" i="114"/>
  <c r="F85" i="114"/>
  <c r="F86" i="114"/>
  <c r="F87" i="114"/>
  <c r="F88" i="114"/>
  <c r="F89" i="114"/>
  <c r="F90" i="114"/>
  <c r="F91" i="114"/>
  <c r="F92" i="114"/>
  <c r="F93" i="114"/>
  <c r="F94" i="114"/>
  <c r="F95" i="114"/>
  <c r="F96" i="114"/>
  <c r="F97" i="114"/>
  <c r="F98" i="114"/>
  <c r="F99" i="114"/>
  <c r="F100" i="114"/>
  <c r="F101" i="114"/>
  <c r="F102" i="114"/>
  <c r="F103" i="114"/>
  <c r="F106" i="114"/>
  <c r="F107" i="114"/>
  <c r="F108" i="114"/>
  <c r="F109" i="114"/>
  <c r="F110" i="114"/>
  <c r="F111" i="114"/>
  <c r="F114" i="114"/>
  <c r="F115" i="114"/>
  <c r="F116" i="114"/>
  <c r="F117" i="114"/>
  <c r="F118" i="114"/>
  <c r="F119" i="114"/>
  <c r="F120" i="114"/>
  <c r="F121" i="114"/>
  <c r="F122" i="114"/>
  <c r="F123" i="114"/>
  <c r="F124" i="114"/>
  <c r="F125" i="114"/>
  <c r="F126" i="114"/>
  <c r="F127" i="114"/>
  <c r="E38" i="114"/>
  <c r="E39" i="114"/>
  <c r="E40" i="114"/>
  <c r="E41" i="114"/>
  <c r="E42" i="114"/>
  <c r="E43" i="114"/>
  <c r="E44" i="114"/>
  <c r="E45" i="114"/>
  <c r="E46" i="114"/>
  <c r="E47" i="114"/>
  <c r="E48" i="114"/>
  <c r="E49" i="114"/>
  <c r="E50" i="114"/>
  <c r="E51" i="114"/>
  <c r="E52" i="114"/>
  <c r="E53" i="114"/>
  <c r="E54" i="114"/>
  <c r="E55" i="114"/>
  <c r="E56" i="114"/>
  <c r="E57" i="114"/>
  <c r="E58" i="114"/>
  <c r="E59" i="114"/>
  <c r="E60" i="114"/>
  <c r="E61" i="114"/>
  <c r="E62" i="114"/>
  <c r="E63" i="114"/>
  <c r="E64" i="114"/>
  <c r="E65" i="114"/>
  <c r="E66" i="114"/>
  <c r="E67" i="114"/>
  <c r="E68" i="114"/>
  <c r="E69" i="114"/>
  <c r="E70" i="114"/>
  <c r="E73" i="114"/>
  <c r="E74" i="114"/>
  <c r="E75" i="114"/>
  <c r="E76" i="114"/>
  <c r="E77" i="114"/>
  <c r="E78" i="114"/>
  <c r="E81" i="114"/>
  <c r="E82" i="114"/>
  <c r="E83" i="114"/>
  <c r="E84" i="114"/>
  <c r="E85" i="114"/>
  <c r="E86" i="114"/>
  <c r="E87" i="114"/>
  <c r="E88" i="114"/>
  <c r="E89" i="114"/>
  <c r="E90" i="114"/>
  <c r="E91" i="114"/>
  <c r="E92" i="114"/>
  <c r="E93" i="114"/>
  <c r="E94" i="114"/>
  <c r="E95" i="114"/>
  <c r="E96" i="114"/>
  <c r="E97" i="114"/>
  <c r="E98" i="114"/>
  <c r="E99" i="114"/>
  <c r="E100" i="114"/>
  <c r="E101" i="114"/>
  <c r="E102" i="114"/>
  <c r="E103" i="114"/>
  <c r="E106" i="114"/>
  <c r="E107" i="114"/>
  <c r="E108" i="114"/>
  <c r="E109" i="114"/>
  <c r="E110" i="114"/>
  <c r="E111" i="114"/>
  <c r="E114" i="114"/>
  <c r="E115" i="114"/>
  <c r="E116" i="114"/>
  <c r="E117" i="114"/>
  <c r="E118" i="114"/>
  <c r="E119" i="114"/>
  <c r="E120" i="114"/>
  <c r="E121" i="114"/>
  <c r="E122" i="114"/>
  <c r="E123" i="114"/>
  <c r="E124" i="114"/>
  <c r="E125" i="114"/>
  <c r="E126" i="114"/>
  <c r="E12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3" i="114"/>
  <c r="C74" i="114"/>
  <c r="C75" i="114"/>
  <c r="C76" i="114"/>
  <c r="C77" i="114"/>
  <c r="C78" i="114"/>
  <c r="C81" i="114"/>
  <c r="C82" i="114"/>
  <c r="C83" i="114"/>
  <c r="C84" i="114"/>
  <c r="C85" i="114"/>
  <c r="C86" i="114"/>
  <c r="C87" i="114"/>
  <c r="C88" i="114"/>
  <c r="C89" i="114"/>
  <c r="C90" i="114"/>
  <c r="C91" i="114"/>
  <c r="C92" i="114"/>
  <c r="C93" i="114"/>
  <c r="C94" i="114"/>
  <c r="C95" i="114"/>
  <c r="C96" i="114"/>
  <c r="C97" i="114"/>
  <c r="C98" i="114"/>
  <c r="C99" i="114"/>
  <c r="C100" i="114"/>
  <c r="C101" i="114"/>
  <c r="C102" i="114"/>
  <c r="C103" i="114"/>
  <c r="C106" i="114"/>
  <c r="C107" i="114"/>
  <c r="C108" i="114"/>
  <c r="C109" i="114"/>
  <c r="C110" i="114"/>
  <c r="C111" i="114"/>
  <c r="C114" i="114"/>
  <c r="C115" i="114"/>
  <c r="C116" i="114"/>
  <c r="C117" i="114"/>
  <c r="C118" i="114"/>
  <c r="C119" i="114"/>
  <c r="C120" i="114"/>
  <c r="C121" i="114"/>
  <c r="C122" i="114"/>
  <c r="C123" i="114"/>
  <c r="C124" i="114"/>
  <c r="C125" i="114"/>
  <c r="C126" i="114"/>
  <c r="C127" i="114"/>
  <c r="B38" i="114"/>
  <c r="B39" i="114"/>
  <c r="B40" i="114"/>
  <c r="B41" i="114"/>
  <c r="B42" i="114"/>
  <c r="B43" i="114"/>
  <c r="B44" i="114"/>
  <c r="B45" i="114"/>
  <c r="B46" i="114"/>
  <c r="B47" i="114"/>
  <c r="B48" i="114"/>
  <c r="B49" i="114"/>
  <c r="B50" i="114"/>
  <c r="B51" i="114"/>
  <c r="B52" i="114"/>
  <c r="B53" i="114"/>
  <c r="B54" i="114"/>
  <c r="B55" i="114"/>
  <c r="B56" i="114"/>
  <c r="B57" i="114"/>
  <c r="B58" i="114"/>
  <c r="B59" i="114"/>
  <c r="B60" i="114"/>
  <c r="B61" i="114"/>
  <c r="B62" i="114"/>
  <c r="B63" i="114"/>
  <c r="B64" i="114"/>
  <c r="B65" i="114"/>
  <c r="B66" i="114"/>
  <c r="B67" i="114"/>
  <c r="B68" i="114"/>
  <c r="B69" i="114"/>
  <c r="B70" i="114"/>
  <c r="B73" i="114"/>
  <c r="B74" i="114"/>
  <c r="B75" i="114"/>
  <c r="B76" i="114"/>
  <c r="B77" i="114"/>
  <c r="B78" i="114"/>
  <c r="B81" i="114"/>
  <c r="B82" i="114"/>
  <c r="B83" i="114"/>
  <c r="B84" i="114"/>
  <c r="B85" i="114"/>
  <c r="B86" i="114"/>
  <c r="B87" i="114"/>
  <c r="B88" i="114"/>
  <c r="B89" i="114"/>
  <c r="B90" i="114"/>
  <c r="B91" i="114"/>
  <c r="B92" i="114"/>
  <c r="B93" i="114"/>
  <c r="B94" i="114"/>
  <c r="B95" i="114"/>
  <c r="B96" i="114"/>
  <c r="B97" i="114"/>
  <c r="B98" i="114"/>
  <c r="B99" i="114"/>
  <c r="B100" i="114"/>
  <c r="B101" i="114"/>
  <c r="B102" i="114"/>
  <c r="B103" i="114"/>
  <c r="B106" i="114"/>
  <c r="B107" i="114"/>
  <c r="B108" i="114"/>
  <c r="B109" i="114"/>
  <c r="B110" i="114"/>
  <c r="B111" i="114"/>
  <c r="B114" i="114"/>
  <c r="B115" i="114"/>
  <c r="B116" i="114"/>
  <c r="B117" i="114"/>
  <c r="B118" i="114"/>
  <c r="B119" i="114"/>
  <c r="B120" i="114"/>
  <c r="B121" i="114"/>
  <c r="B122" i="114"/>
  <c r="B123" i="114"/>
  <c r="B124" i="114"/>
  <c r="B125" i="114"/>
  <c r="B126" i="114"/>
  <c r="B127" i="114"/>
  <c r="A38" i="114"/>
  <c r="A39" i="114"/>
  <c r="A40" i="114"/>
  <c r="A41" i="114"/>
  <c r="A42" i="114"/>
  <c r="A43" i="114"/>
  <c r="A44" i="114"/>
  <c r="A45" i="114"/>
  <c r="A46" i="114"/>
  <c r="A47" i="114"/>
  <c r="A48" i="114"/>
  <c r="A49" i="114"/>
  <c r="A50" i="114"/>
  <c r="A51" i="114"/>
  <c r="A52" i="114"/>
  <c r="A53" i="114"/>
  <c r="A54" i="114"/>
  <c r="A55" i="114"/>
  <c r="A56" i="114"/>
  <c r="A57" i="114"/>
  <c r="A58" i="114"/>
  <c r="A59" i="114"/>
  <c r="A60" i="114"/>
  <c r="A61" i="114"/>
  <c r="A62" i="114"/>
  <c r="A63" i="114"/>
  <c r="A64" i="114"/>
  <c r="A65" i="114"/>
  <c r="A66" i="114"/>
  <c r="A67" i="114"/>
  <c r="A68" i="114"/>
  <c r="A69" i="114"/>
  <c r="A70" i="114"/>
  <c r="A73" i="114"/>
  <c r="A74" i="114"/>
  <c r="A75" i="114"/>
  <c r="A76" i="114"/>
  <c r="A77" i="114"/>
  <c r="A78" i="114"/>
  <c r="A81" i="114"/>
  <c r="A82" i="114"/>
  <c r="A83" i="114"/>
  <c r="A84" i="114"/>
  <c r="A85" i="114"/>
  <c r="A86" i="114"/>
  <c r="A87" i="114"/>
  <c r="A88" i="114"/>
  <c r="A89" i="114"/>
  <c r="A90" i="114"/>
  <c r="A91" i="114"/>
  <c r="A92" i="114"/>
  <c r="A93" i="114"/>
  <c r="A94" i="114"/>
  <c r="A95" i="114"/>
  <c r="A96" i="114"/>
  <c r="A97" i="114"/>
  <c r="A98" i="114"/>
  <c r="A99" i="114"/>
  <c r="A100" i="114"/>
  <c r="A101" i="114"/>
  <c r="A102" i="114"/>
  <c r="A103" i="114"/>
  <c r="A106" i="114"/>
  <c r="A107" i="114"/>
  <c r="A108" i="114"/>
  <c r="A109" i="114"/>
  <c r="A110" i="114"/>
  <c r="A111" i="114"/>
  <c r="A114" i="114"/>
  <c r="A115" i="114"/>
  <c r="A116" i="114"/>
  <c r="A117" i="114"/>
  <c r="A118" i="114"/>
  <c r="A119" i="114"/>
  <c r="A120" i="114"/>
  <c r="A121" i="114"/>
  <c r="A122" i="114"/>
  <c r="A123" i="114"/>
  <c r="A124" i="114"/>
  <c r="A125" i="114"/>
  <c r="A126" i="114"/>
  <c r="A127" i="114"/>
  <c r="A129" i="114"/>
  <c r="A130" i="114"/>
  <c r="A131" i="114"/>
  <c r="A132" i="114"/>
  <c r="A133" i="114"/>
  <c r="A134" i="114"/>
  <c r="A135" i="114"/>
  <c r="A136" i="114"/>
  <c r="A137" i="114"/>
  <c r="A138" i="114"/>
  <c r="A139" i="114"/>
  <c r="A140" i="114"/>
  <c r="A141" i="114"/>
  <c r="A142" i="114"/>
  <c r="A143" i="114"/>
  <c r="A144" i="114"/>
  <c r="A145" i="114"/>
  <c r="A146" i="114"/>
  <c r="A147" i="114"/>
  <c r="A148" i="114"/>
  <c r="A149" i="114"/>
  <c r="A150" i="114"/>
  <c r="A151" i="114"/>
  <c r="A152" i="114"/>
  <c r="A128" i="114"/>
  <c r="B129" i="114"/>
  <c r="B130" i="114"/>
  <c r="B131" i="114"/>
  <c r="B132" i="114"/>
  <c r="B133" i="114"/>
  <c r="B134" i="114"/>
  <c r="B135" i="114"/>
  <c r="B136" i="114"/>
  <c r="B137" i="114"/>
  <c r="B138" i="114"/>
  <c r="B139" i="114"/>
  <c r="B140" i="114"/>
  <c r="B141" i="114"/>
  <c r="B142" i="114"/>
  <c r="B143" i="114"/>
  <c r="B144" i="114"/>
  <c r="B145" i="114"/>
  <c r="B146" i="114"/>
  <c r="B147" i="114"/>
  <c r="B148" i="114"/>
  <c r="B149" i="114"/>
  <c r="B150" i="114"/>
  <c r="B151" i="114"/>
  <c r="B152" i="114"/>
  <c r="B128" i="114"/>
  <c r="F129" i="114"/>
  <c r="F130" i="114"/>
  <c r="F131" i="114"/>
  <c r="F132" i="114"/>
  <c r="F133" i="114"/>
  <c r="F134" i="114"/>
  <c r="F135" i="114"/>
  <c r="F136" i="114"/>
  <c r="F137" i="114"/>
  <c r="F138" i="114"/>
  <c r="F139" i="114"/>
  <c r="F140" i="114"/>
  <c r="F141" i="114"/>
  <c r="F142" i="114"/>
  <c r="F143" i="114"/>
  <c r="F144" i="114"/>
  <c r="F145" i="114"/>
  <c r="F146" i="114"/>
  <c r="F147" i="114"/>
  <c r="F148" i="114"/>
  <c r="F149" i="114"/>
  <c r="F150" i="114"/>
  <c r="F151" i="114"/>
  <c r="F152" i="114"/>
  <c r="F128" i="114"/>
  <c r="E129" i="114"/>
  <c r="E130" i="114"/>
  <c r="E131" i="114"/>
  <c r="E132" i="114"/>
  <c r="E133" i="114"/>
  <c r="E134" i="114"/>
  <c r="E135" i="114"/>
  <c r="E136" i="114"/>
  <c r="E137" i="114"/>
  <c r="E138" i="114"/>
  <c r="E139" i="114"/>
  <c r="E140" i="114"/>
  <c r="E141" i="114"/>
  <c r="E142" i="114"/>
  <c r="E143" i="114"/>
  <c r="E144" i="114"/>
  <c r="E145" i="114"/>
  <c r="E146" i="114"/>
  <c r="E147" i="114"/>
  <c r="E148" i="114"/>
  <c r="E149" i="114"/>
  <c r="E150" i="114"/>
  <c r="E151" i="114"/>
  <c r="E152" i="114"/>
  <c r="E128" i="114"/>
  <c r="C131" i="114"/>
  <c r="C132" i="114"/>
  <c r="C133" i="114"/>
  <c r="C134" i="114"/>
  <c r="C135" i="114"/>
  <c r="C136" i="114"/>
  <c r="C137" i="114"/>
  <c r="C138" i="114"/>
  <c r="C139" i="114"/>
  <c r="C140" i="114"/>
  <c r="C141" i="114"/>
  <c r="C142" i="114"/>
  <c r="C143" i="114"/>
  <c r="C144" i="114"/>
  <c r="C145" i="114"/>
  <c r="C146" i="114"/>
  <c r="C147" i="114"/>
  <c r="C148" i="114"/>
  <c r="C149" i="114"/>
  <c r="C150" i="114"/>
  <c r="C151" i="114"/>
  <c r="C152" i="114"/>
  <c r="C130" i="114"/>
  <c r="C129" i="114"/>
  <c r="C128" i="114"/>
  <c r="U70" i="1" l="1"/>
  <c r="O70" i="1"/>
  <c r="W70" i="1"/>
  <c r="Y70" i="1" s="1"/>
  <c r="U71" i="1"/>
  <c r="L11" i="114" l="1"/>
  <c r="L12" i="114"/>
  <c r="L10" i="114"/>
  <c r="G17" i="1" l="1"/>
  <c r="C9" i="114" l="1"/>
  <c r="D10" i="4"/>
  <c r="M62" i="1"/>
  <c r="F62" i="1" s="1"/>
  <c r="M63" i="1"/>
  <c r="F63" i="1" s="1"/>
  <c r="G56" i="1"/>
  <c r="Q63" i="1"/>
  <c r="Q62" i="1"/>
  <c r="C15" i="114" l="1"/>
  <c r="G12" i="115"/>
  <c r="D96" i="114"/>
  <c r="D97" i="114"/>
  <c r="S62" i="1"/>
  <c r="O63" i="1"/>
  <c r="O62" i="1"/>
  <c r="S63" i="1"/>
  <c r="W63" i="1" s="1"/>
  <c r="Y63" i="1" s="1"/>
  <c r="W62" i="1" l="1"/>
  <c r="Y62" i="1" s="1"/>
  <c r="N94" i="1" l="1"/>
  <c r="N95" i="1"/>
  <c r="N96" i="1"/>
  <c r="N97" i="1"/>
  <c r="N98" i="1"/>
  <c r="N99" i="1"/>
  <c r="N100" i="1"/>
  <c r="N101" i="1"/>
  <c r="N102" i="1"/>
  <c r="N103" i="1"/>
  <c r="N104" i="1"/>
  <c r="D139" i="114"/>
  <c r="D140" i="114"/>
  <c r="N107" i="1"/>
  <c r="N108" i="1"/>
  <c r="D142" i="114" s="1"/>
  <c r="N109" i="1"/>
  <c r="N110" i="1"/>
  <c r="N111" i="1"/>
  <c r="N112" i="1"/>
  <c r="N113" i="1"/>
  <c r="N114" i="1"/>
  <c r="D148" i="114" s="1"/>
  <c r="N115" i="1"/>
  <c r="N116" i="1"/>
  <c r="N117" i="1"/>
  <c r="N118" i="1"/>
  <c r="D134" i="114" l="1"/>
  <c r="D133" i="114"/>
  <c r="D149" i="114"/>
  <c r="D150" i="114"/>
  <c r="D135" i="114"/>
  <c r="D145" i="114"/>
  <c r="D144" i="114"/>
  <c r="D143" i="114"/>
  <c r="D147" i="114"/>
  <c r="D146" i="114"/>
  <c r="D152" i="114"/>
  <c r="D141" i="114"/>
  <c r="D151" i="114"/>
  <c r="D137" i="114"/>
  <c r="D136" i="114"/>
  <c r="D132" i="114"/>
  <c r="D138" i="114"/>
  <c r="D131" i="114"/>
  <c r="D130" i="114"/>
  <c r="D129" i="114"/>
  <c r="D128" i="114"/>
  <c r="R94" i="1"/>
  <c r="R99" i="1"/>
  <c r="R100" i="1" s="1"/>
  <c r="R109" i="1"/>
  <c r="R114" i="1"/>
  <c r="R107" i="1"/>
  <c r="R101" i="1"/>
  <c r="R112" i="1"/>
  <c r="R96" i="1"/>
  <c r="R116" i="1"/>
  <c r="R103" i="1"/>
  <c r="I157" i="103" l="1"/>
  <c r="I158" i="103"/>
  <c r="I159" i="103"/>
  <c r="I160" i="103"/>
  <c r="I161" i="103"/>
  <c r="I162" i="103"/>
  <c r="I163" i="103"/>
  <c r="I164" i="103"/>
  <c r="I165" i="103"/>
  <c r="I166" i="103"/>
  <c r="I167" i="103"/>
  <c r="H157" i="103"/>
  <c r="H158" i="103"/>
  <c r="H159" i="103"/>
  <c r="H160" i="103"/>
  <c r="H161" i="103"/>
  <c r="H162" i="103"/>
  <c r="H163" i="103"/>
  <c r="H164" i="103"/>
  <c r="H165" i="103"/>
  <c r="H166" i="103"/>
  <c r="H167" i="103"/>
  <c r="G157" i="103"/>
  <c r="G158" i="103"/>
  <c r="G159" i="103"/>
  <c r="G160" i="103"/>
  <c r="G161" i="103"/>
  <c r="G162" i="103"/>
  <c r="G163" i="103"/>
  <c r="G164" i="103"/>
  <c r="G165" i="103"/>
  <c r="G166" i="103"/>
  <c r="G167" i="103"/>
  <c r="F157" i="103"/>
  <c r="F158" i="103"/>
  <c r="F159" i="103"/>
  <c r="F160" i="103"/>
  <c r="F161" i="103"/>
  <c r="F162" i="103"/>
  <c r="F163" i="103"/>
  <c r="F164" i="103"/>
  <c r="F165" i="103"/>
  <c r="F166" i="103"/>
  <c r="F167" i="103"/>
  <c r="E157" i="103"/>
  <c r="E158" i="103"/>
  <c r="E159" i="103"/>
  <c r="E160" i="103"/>
  <c r="E161" i="103"/>
  <c r="E162" i="103"/>
  <c r="E163" i="103"/>
  <c r="E164" i="103"/>
  <c r="E165" i="103"/>
  <c r="E166" i="103"/>
  <c r="E167" i="103"/>
  <c r="I156" i="103"/>
  <c r="H156" i="103"/>
  <c r="G156" i="103"/>
  <c r="F156" i="103"/>
  <c r="E156" i="103"/>
  <c r="C157" i="103"/>
  <c r="C158" i="103"/>
  <c r="C159" i="103"/>
  <c r="C160" i="103"/>
  <c r="C161" i="103"/>
  <c r="C162" i="103"/>
  <c r="C163" i="103"/>
  <c r="C164" i="103"/>
  <c r="C165" i="103"/>
  <c r="C166" i="103"/>
  <c r="C167" i="103"/>
  <c r="C156" i="103"/>
  <c r="K26" i="32" l="1"/>
  <c r="G85" i="1" l="1"/>
  <c r="G89" i="1"/>
  <c r="G80" i="1"/>
  <c r="C17" i="114"/>
  <c r="Q84" i="1"/>
  <c r="Q83" i="1"/>
  <c r="Q82" i="1"/>
  <c r="Q81" i="1"/>
  <c r="Q80" i="1"/>
  <c r="Q77" i="1"/>
  <c r="Q76" i="1"/>
  <c r="Q75" i="1"/>
  <c r="Q74" i="1"/>
  <c r="Q73" i="1"/>
  <c r="Q72" i="1"/>
  <c r="Q55" i="1"/>
  <c r="Q54" i="1"/>
  <c r="Q53" i="1"/>
  <c r="Q52" i="1"/>
  <c r="Q51" i="1"/>
  <c r="Q50" i="1"/>
  <c r="Q49" i="1"/>
  <c r="Q48" i="1"/>
  <c r="Q47" i="1"/>
  <c r="Q36" i="1"/>
  <c r="Q35" i="1"/>
  <c r="Q34" i="1"/>
  <c r="Q33" i="1"/>
  <c r="Q32" i="1"/>
  <c r="Q31" i="1"/>
  <c r="Q30" i="1"/>
  <c r="Q29" i="1"/>
  <c r="Q28" i="1"/>
  <c r="Q21" i="1"/>
  <c r="Q20" i="1"/>
  <c r="Q19" i="1"/>
  <c r="Q18" i="1"/>
  <c r="Q17" i="1"/>
  <c r="N93" i="1"/>
  <c r="N92" i="1"/>
  <c r="D126" i="114" s="1"/>
  <c r="N91" i="1"/>
  <c r="D125" i="114" s="1"/>
  <c r="N90" i="1"/>
  <c r="D124" i="114" s="1"/>
  <c r="N89" i="1"/>
  <c r="D123" i="114" s="1"/>
  <c r="N88" i="1"/>
  <c r="D122" i="114" s="1"/>
  <c r="N87" i="1"/>
  <c r="D121" i="114" s="1"/>
  <c r="N86" i="1"/>
  <c r="D120" i="114" s="1"/>
  <c r="N85" i="1"/>
  <c r="D119" i="114" s="1"/>
  <c r="N84" i="1"/>
  <c r="N83" i="1"/>
  <c r="N82" i="1"/>
  <c r="N81" i="1"/>
  <c r="N80" i="1"/>
  <c r="N77" i="1"/>
  <c r="N76" i="1"/>
  <c r="N75" i="1"/>
  <c r="N74" i="1"/>
  <c r="N73" i="1"/>
  <c r="N72" i="1"/>
  <c r="N55" i="1"/>
  <c r="N54" i="1"/>
  <c r="N53" i="1"/>
  <c r="N52" i="1"/>
  <c r="N51" i="1"/>
  <c r="N50" i="1"/>
  <c r="N49" i="1"/>
  <c r="N48" i="1"/>
  <c r="N47" i="1"/>
  <c r="N36" i="1"/>
  <c r="N35" i="1"/>
  <c r="N34" i="1"/>
  <c r="N33" i="1"/>
  <c r="N32" i="1"/>
  <c r="N31" i="1"/>
  <c r="N30" i="1"/>
  <c r="N29" i="1"/>
  <c r="N28" i="1"/>
  <c r="N21" i="1"/>
  <c r="N20" i="1"/>
  <c r="N19" i="1"/>
  <c r="N18" i="1"/>
  <c r="N17" i="1"/>
  <c r="C13" i="114"/>
  <c r="Q43" i="1"/>
  <c r="Q40" i="1"/>
  <c r="N44" i="1"/>
  <c r="N43" i="1"/>
  <c r="N42" i="1"/>
  <c r="N41" i="1"/>
  <c r="N40" i="1"/>
  <c r="N39" i="1"/>
  <c r="C26" i="29"/>
  <c r="C27" i="29"/>
  <c r="C28" i="29"/>
  <c r="C29" i="29"/>
  <c r="C30" i="29"/>
  <c r="C31" i="29"/>
  <c r="Q69" i="1"/>
  <c r="Q68" i="1"/>
  <c r="Q67" i="1"/>
  <c r="Q66" i="1"/>
  <c r="Q65" i="1"/>
  <c r="Q64" i="1"/>
  <c r="Q61" i="1"/>
  <c r="Q60" i="1"/>
  <c r="Q59" i="1"/>
  <c r="Q58" i="1"/>
  <c r="Q57" i="1"/>
  <c r="Q56" i="1"/>
  <c r="N69" i="1"/>
  <c r="N68" i="1"/>
  <c r="N67" i="1"/>
  <c r="N66" i="1"/>
  <c r="N65" i="1"/>
  <c r="N64" i="1"/>
  <c r="N61" i="1"/>
  <c r="N60" i="1"/>
  <c r="N59" i="1"/>
  <c r="N58" i="1"/>
  <c r="N57" i="1"/>
  <c r="N56" i="1"/>
  <c r="Q8" i="1"/>
  <c r="Q7" i="1"/>
  <c r="Q6" i="1"/>
  <c r="Q5" i="1"/>
  <c r="Q4" i="1"/>
  <c r="N8" i="1"/>
  <c r="N7" i="1"/>
  <c r="S7" i="1" s="1"/>
  <c r="N6" i="1"/>
  <c r="N5" i="1"/>
  <c r="N4" i="1"/>
  <c r="N16" i="1"/>
  <c r="N15" i="1"/>
  <c r="N14" i="1"/>
  <c r="D48" i="114" s="1"/>
  <c r="N13" i="1"/>
  <c r="N12" i="1"/>
  <c r="N11" i="1"/>
  <c r="N10" i="1"/>
  <c r="N9" i="1"/>
  <c r="Q16" i="1"/>
  <c r="Q15" i="1"/>
  <c r="Q12" i="1"/>
  <c r="Q11" i="1"/>
  <c r="Q10" i="1"/>
  <c r="Q9" i="1"/>
  <c r="Q27" i="1"/>
  <c r="Q26" i="1"/>
  <c r="Q25" i="1"/>
  <c r="Q24" i="1"/>
  <c r="Q23" i="1"/>
  <c r="N27" i="1"/>
  <c r="N26" i="1"/>
  <c r="N25" i="1"/>
  <c r="N24" i="1"/>
  <c r="N23" i="1"/>
  <c r="N22" i="1"/>
  <c r="Q22" i="1"/>
  <c r="K28" i="32"/>
  <c r="L28" i="32" s="1"/>
  <c r="M28" i="32"/>
  <c r="N28" i="32"/>
  <c r="O28" i="32"/>
  <c r="D127" i="114" l="1"/>
  <c r="S8" i="1"/>
  <c r="S6" i="1"/>
  <c r="P32" i="1"/>
  <c r="H8" i="115" s="1"/>
  <c r="S4" i="1"/>
  <c r="S5" i="1"/>
  <c r="P39" i="1"/>
  <c r="D49" i="114"/>
  <c r="S12" i="1"/>
  <c r="R32" i="1"/>
  <c r="I8" i="115" s="1"/>
  <c r="C20" i="114"/>
  <c r="C19" i="114"/>
  <c r="C18" i="114"/>
  <c r="R72" i="1"/>
  <c r="I6" i="115" s="1"/>
  <c r="P72" i="1"/>
  <c r="H6" i="115" s="1"/>
  <c r="D43" i="114"/>
  <c r="H7" i="115"/>
  <c r="R39" i="1"/>
  <c r="I7" i="115" s="1"/>
  <c r="D44" i="114"/>
  <c r="D45" i="114"/>
  <c r="C12" i="114"/>
  <c r="P64" i="1"/>
  <c r="H11" i="115" s="1"/>
  <c r="D52" i="114"/>
  <c r="D53" i="114"/>
  <c r="D85" i="114"/>
  <c r="D42" i="114"/>
  <c r="D93" i="114"/>
  <c r="D106" i="114"/>
  <c r="D116" i="114"/>
  <c r="D117" i="114"/>
  <c r="D41" i="114"/>
  <c r="D108" i="114"/>
  <c r="D76" i="114"/>
  <c r="D92" i="114"/>
  <c r="D67" i="114"/>
  <c r="D66" i="114"/>
  <c r="D56" i="114"/>
  <c r="D78" i="114"/>
  <c r="D51" i="114"/>
  <c r="D65" i="114"/>
  <c r="D75" i="114"/>
  <c r="D118" i="114"/>
  <c r="D109" i="114"/>
  <c r="D91" i="114"/>
  <c r="D47" i="114"/>
  <c r="D64" i="114"/>
  <c r="D82" i="114"/>
  <c r="D83" i="114"/>
  <c r="D114" i="114"/>
  <c r="D94" i="114"/>
  <c r="D115" i="114"/>
  <c r="D103" i="114"/>
  <c r="D101" i="114"/>
  <c r="R64" i="1"/>
  <c r="I11" i="115" s="1"/>
  <c r="D102" i="114"/>
  <c r="D57" i="114"/>
  <c r="D73" i="114"/>
  <c r="E77" i="4"/>
  <c r="J10" i="114" s="1"/>
  <c r="D86" i="114"/>
  <c r="D98" i="114"/>
  <c r="D54" i="114"/>
  <c r="D68" i="114"/>
  <c r="D110" i="114"/>
  <c r="D61" i="114"/>
  <c r="D40" i="114"/>
  <c r="D84" i="114"/>
  <c r="D78" i="4"/>
  <c r="D46" i="114"/>
  <c r="D63" i="114"/>
  <c r="D81" i="114"/>
  <c r="D77" i="4"/>
  <c r="D89" i="114"/>
  <c r="E79" i="4"/>
  <c r="J12" i="114" s="1"/>
  <c r="D58" i="114"/>
  <c r="D50" i="114"/>
  <c r="D95" i="114"/>
  <c r="D59" i="114"/>
  <c r="D38" i="114"/>
  <c r="D60" i="114"/>
  <c r="D39" i="114"/>
  <c r="D99" i="114"/>
  <c r="D74" i="114"/>
  <c r="D55" i="114"/>
  <c r="D69" i="114"/>
  <c r="D87" i="114"/>
  <c r="D79" i="4"/>
  <c r="D111" i="114"/>
  <c r="E78" i="4"/>
  <c r="J11" i="114" s="1"/>
  <c r="D90" i="114"/>
  <c r="D100" i="114"/>
  <c r="D77" i="114"/>
  <c r="D62" i="114"/>
  <c r="D70" i="114"/>
  <c r="D88" i="114"/>
  <c r="D107" i="114"/>
  <c r="P56" i="1"/>
  <c r="H12" i="115" s="1"/>
  <c r="R56" i="1"/>
  <c r="I12" i="115" s="1"/>
  <c r="S57" i="1"/>
  <c r="S29" i="1"/>
  <c r="S47" i="1"/>
  <c r="S55" i="1"/>
  <c r="S81" i="1"/>
  <c r="C70" i="103"/>
  <c r="D70" i="103" s="1"/>
  <c r="C98" i="103"/>
  <c r="D98" i="103" s="1"/>
  <c r="S11" i="1"/>
  <c r="S51" i="1"/>
  <c r="S85" i="1"/>
  <c r="S75" i="1"/>
  <c r="S67" i="1"/>
  <c r="S65" i="1"/>
  <c r="C84" i="103"/>
  <c r="D84" i="103" s="1"/>
  <c r="S33" i="1"/>
  <c r="S69" i="1"/>
  <c r="S25" i="1"/>
  <c r="S16" i="1"/>
  <c r="S15" i="1"/>
  <c r="S66" i="1"/>
  <c r="S60" i="1"/>
  <c r="S61" i="1"/>
  <c r="S59" i="1"/>
  <c r="S58" i="1"/>
  <c r="S43" i="1"/>
  <c r="S42" i="1"/>
  <c r="S24" i="1"/>
  <c r="S26" i="1"/>
  <c r="S56" i="1"/>
  <c r="S64" i="1"/>
  <c r="S39" i="1"/>
  <c r="S19" i="1"/>
  <c r="S93" i="1"/>
  <c r="S89" i="1"/>
  <c r="S68" i="1"/>
  <c r="S76" i="1"/>
  <c r="S48" i="1"/>
  <c r="S40" i="1"/>
  <c r="S21" i="1"/>
  <c r="S35" i="1"/>
  <c r="S77" i="1"/>
  <c r="S20" i="1"/>
  <c r="S30" i="1"/>
  <c r="S34" i="1"/>
  <c r="S52" i="1"/>
  <c r="S72" i="1"/>
  <c r="S82" i="1"/>
  <c r="S86" i="1"/>
  <c r="S90" i="1"/>
  <c r="S22" i="1"/>
  <c r="S44" i="1"/>
  <c r="S17" i="1"/>
  <c r="S31" i="1"/>
  <c r="S49" i="1"/>
  <c r="S53" i="1"/>
  <c r="S73" i="1"/>
  <c r="S83" i="1"/>
  <c r="S87" i="1"/>
  <c r="S91" i="1"/>
  <c r="S23" i="1"/>
  <c r="S27" i="1"/>
  <c r="S41" i="1"/>
  <c r="S18" i="1"/>
  <c r="S28" i="1"/>
  <c r="S32" i="1"/>
  <c r="S36" i="1"/>
  <c r="S50" i="1"/>
  <c r="S54" i="1"/>
  <c r="S74" i="1"/>
  <c r="S80" i="1"/>
  <c r="S84" i="1"/>
  <c r="S88" i="1"/>
  <c r="S92" i="1"/>
  <c r="R85" i="1"/>
  <c r="R28" i="1"/>
  <c r="C6" i="4" s="1"/>
  <c r="R89" i="1"/>
  <c r="P89" i="1"/>
  <c r="R4" i="1"/>
  <c r="P17" i="1"/>
  <c r="R80" i="1"/>
  <c r="P85" i="1"/>
  <c r="R17" i="1"/>
  <c r="R47" i="1"/>
  <c r="P47" i="1"/>
  <c r="S9" i="1"/>
  <c r="R9" i="1"/>
  <c r="I9" i="115" s="1"/>
  <c r="S10" i="1"/>
  <c r="S13" i="1"/>
  <c r="S14" i="1"/>
  <c r="R22" i="1"/>
  <c r="I10" i="115" s="1"/>
  <c r="P28" i="32"/>
  <c r="T9" i="1" l="1"/>
  <c r="T89" i="1"/>
  <c r="J11" i="115"/>
  <c r="J8" i="115"/>
  <c r="J12" i="115"/>
  <c r="J6" i="115"/>
  <c r="J7" i="115"/>
  <c r="Z56" i="1"/>
  <c r="X56" i="1"/>
  <c r="T32" i="1"/>
  <c r="C2" i="4"/>
  <c r="C15" i="4"/>
  <c r="C11" i="4"/>
  <c r="T85" i="1"/>
  <c r="C5" i="4"/>
  <c r="T22" i="1"/>
  <c r="T47" i="1"/>
  <c r="T28" i="1"/>
  <c r="T80" i="1"/>
  <c r="T72" i="1"/>
  <c r="T64" i="1"/>
  <c r="C4" i="4"/>
  <c r="T56" i="1"/>
  <c r="T39" i="1"/>
  <c r="T4" i="1"/>
  <c r="T17" i="1"/>
  <c r="D20" i="114"/>
  <c r="D12" i="114"/>
  <c r="D17" i="114"/>
  <c r="D13" i="114"/>
  <c r="D9" i="114"/>
  <c r="C13" i="4"/>
  <c r="D14" i="114"/>
  <c r="C14" i="4"/>
  <c r="D19" i="114"/>
  <c r="C10" i="4"/>
  <c r="D15" i="114"/>
  <c r="C12" i="4"/>
  <c r="I168" i="103"/>
  <c r="C9" i="4"/>
  <c r="C3" i="4"/>
  <c r="H168" i="103"/>
  <c r="C8" i="4"/>
  <c r="Z32" i="1"/>
  <c r="C7" i="4"/>
  <c r="K24" i="32"/>
  <c r="T59" i="1" l="1"/>
  <c r="G9" i="1"/>
  <c r="G9" i="115" s="1"/>
  <c r="J4" i="1"/>
  <c r="H38" i="114" s="1"/>
  <c r="L4" i="1"/>
  <c r="J5" i="1"/>
  <c r="H39" i="114" s="1"/>
  <c r="L5" i="1"/>
  <c r="J6" i="1"/>
  <c r="H40" i="114" s="1"/>
  <c r="L6" i="1"/>
  <c r="J7" i="1"/>
  <c r="H41" i="114" s="1"/>
  <c r="L7" i="1"/>
  <c r="J8" i="1"/>
  <c r="H42" i="114" s="1"/>
  <c r="L8" i="1"/>
  <c r="C8" i="114" l="1"/>
  <c r="D3" i="27"/>
  <c r="M4" i="1"/>
  <c r="G38" i="114"/>
  <c r="M5" i="1"/>
  <c r="G39" i="114"/>
  <c r="M6" i="1"/>
  <c r="G40" i="114"/>
  <c r="M8" i="1"/>
  <c r="W8" i="1" s="1"/>
  <c r="G42" i="114"/>
  <c r="M7" i="1"/>
  <c r="W7" i="1" s="1"/>
  <c r="G41" i="114"/>
  <c r="K25" i="32"/>
  <c r="G7" i="1" l="1"/>
  <c r="R7" i="1"/>
  <c r="T7" i="1"/>
  <c r="W5" i="1"/>
  <c r="F5" i="1"/>
  <c r="W4" i="1"/>
  <c r="Y4" i="1" s="1"/>
  <c r="F4" i="1"/>
  <c r="W6" i="1"/>
  <c r="F6" i="1"/>
  <c r="O5" i="1"/>
  <c r="O8" i="1"/>
  <c r="O4" i="1"/>
  <c r="F8" i="1"/>
  <c r="F7" i="1"/>
  <c r="O6" i="1"/>
  <c r="O7" i="1"/>
  <c r="K22" i="32" l="1"/>
  <c r="K23" i="32"/>
  <c r="G36" i="26" l="1"/>
  <c r="L79" i="26" l="1"/>
  <c r="M79" i="26"/>
  <c r="N79" i="26"/>
  <c r="F79" i="26"/>
  <c r="I79" i="26" s="1"/>
  <c r="E79" i="26"/>
  <c r="B79" i="26"/>
  <c r="L74" i="26"/>
  <c r="M74" i="26"/>
  <c r="N74" i="26"/>
  <c r="B74" i="26"/>
  <c r="E74" i="26"/>
  <c r="F74" i="26"/>
  <c r="I74" i="26" s="1"/>
  <c r="N73" i="26"/>
  <c r="N75" i="26"/>
  <c r="N76" i="26"/>
  <c r="N77" i="26"/>
  <c r="N78" i="26"/>
  <c r="N80" i="26"/>
  <c r="N81" i="26"/>
  <c r="N72" i="26"/>
  <c r="N71" i="26"/>
  <c r="N70" i="26"/>
  <c r="N69" i="26"/>
  <c r="N68" i="26"/>
  <c r="M42" i="26"/>
  <c r="M41" i="26"/>
  <c r="M40" i="26"/>
  <c r="M28" i="26"/>
  <c r="M39" i="26"/>
  <c r="M38" i="26"/>
  <c r="M37" i="26"/>
  <c r="M27" i="26"/>
  <c r="M35" i="26"/>
  <c r="M34" i="26"/>
  <c r="M25" i="26"/>
  <c r="K74" i="26" l="1"/>
  <c r="P74" i="26" s="1"/>
  <c r="K79" i="26"/>
  <c r="P79" i="26" s="1"/>
  <c r="O79" i="26" l="1"/>
  <c r="O74" i="26"/>
  <c r="F69" i="26"/>
  <c r="I69" i="26" s="1"/>
  <c r="F70" i="26"/>
  <c r="I70" i="26" s="1"/>
  <c r="F71" i="26"/>
  <c r="I71" i="26" s="1"/>
  <c r="F72" i="26"/>
  <c r="I72" i="26" s="1"/>
  <c r="F73" i="26"/>
  <c r="I73" i="26" s="1"/>
  <c r="F75" i="26"/>
  <c r="I75" i="26" s="1"/>
  <c r="F76" i="26"/>
  <c r="I76" i="26" s="1"/>
  <c r="F78" i="26"/>
  <c r="I78" i="26" s="1"/>
  <c r="F80" i="26"/>
  <c r="I80" i="26" s="1"/>
  <c r="F81" i="26"/>
  <c r="I81" i="26" s="1"/>
  <c r="F68" i="26"/>
  <c r="I68" i="26" s="1"/>
  <c r="S9" i="12" l="1"/>
  <c r="T9" i="12"/>
  <c r="S8" i="12"/>
  <c r="T8" i="12"/>
  <c r="M9" i="12"/>
  <c r="O9" i="12" s="1"/>
  <c r="N9" i="12" s="1"/>
  <c r="O8" i="12"/>
  <c r="N8" i="12" s="1"/>
  <c r="G9" i="12"/>
  <c r="I9" i="12" s="1"/>
  <c r="G8" i="12"/>
  <c r="H8" i="12" s="1"/>
  <c r="H9" i="12" l="1"/>
  <c r="U9" i="12" s="1"/>
  <c r="V9" i="12" s="1"/>
  <c r="U8" i="12"/>
  <c r="V8" i="12" s="1"/>
  <c r="I8" i="12"/>
  <c r="E69" i="26" l="1"/>
  <c r="E70" i="26"/>
  <c r="E71" i="26"/>
  <c r="E72" i="26"/>
  <c r="E73" i="26"/>
  <c r="E75" i="26"/>
  <c r="E76" i="26"/>
  <c r="E77" i="26"/>
  <c r="E78" i="26"/>
  <c r="E80" i="26"/>
  <c r="E81" i="26"/>
  <c r="E68" i="26"/>
  <c r="L77" i="26"/>
  <c r="M77" i="26"/>
  <c r="B77" i="26"/>
  <c r="K77" i="26" s="1"/>
  <c r="O77" i="26" l="1"/>
  <c r="P77" i="26" l="1"/>
  <c r="M28" i="12"/>
  <c r="O28" i="12" s="1"/>
  <c r="M29" i="12"/>
  <c r="O29" i="12" s="1"/>
  <c r="H3" i="4" l="1"/>
  <c r="H4" i="4"/>
  <c r="H5" i="4"/>
  <c r="H6" i="4"/>
  <c r="H7" i="4"/>
  <c r="I7" i="4" s="1"/>
  <c r="F12" i="114" s="1"/>
  <c r="H8" i="4"/>
  <c r="I8" i="4" s="1"/>
  <c r="F13" i="114" s="1"/>
  <c r="H9" i="4"/>
  <c r="H10" i="4"/>
  <c r="I10" i="4" s="1"/>
  <c r="F15" i="114" s="1"/>
  <c r="H11" i="4"/>
  <c r="I11" i="4" s="1"/>
  <c r="F16" i="114" s="1"/>
  <c r="H12" i="4"/>
  <c r="I12" i="4" s="1"/>
  <c r="F17" i="114" s="1"/>
  <c r="H13" i="4"/>
  <c r="H14" i="4"/>
  <c r="H15" i="4"/>
  <c r="H2" i="4"/>
  <c r="F25" i="26" l="1"/>
  <c r="F24" i="26"/>
  <c r="C7" i="114" l="1"/>
  <c r="U4" i="1" l="1"/>
  <c r="P4" i="1"/>
  <c r="U8" i="1"/>
  <c r="Y8" i="1" s="1"/>
  <c r="U7" i="1"/>
  <c r="Y7" i="1" s="1"/>
  <c r="U6" i="1"/>
  <c r="Y6" i="1" s="1"/>
  <c r="U5" i="1"/>
  <c r="Y5" i="1" s="1"/>
  <c r="D7" i="114" l="1"/>
  <c r="P7" i="1"/>
  <c r="V4" i="1"/>
  <c r="V7" i="1" s="1"/>
  <c r="J32" i="1"/>
  <c r="J33" i="1"/>
  <c r="H67" i="114" s="1"/>
  <c r="J34" i="1"/>
  <c r="H68" i="114" s="1"/>
  <c r="J35" i="1"/>
  <c r="H69" i="114" s="1"/>
  <c r="J36" i="1"/>
  <c r="H70" i="114" s="1"/>
  <c r="F7" i="4" l="1"/>
  <c r="H66" i="114"/>
  <c r="C8" i="27"/>
  <c r="C8" i="29"/>
  <c r="M69" i="26" l="1"/>
  <c r="M70" i="26"/>
  <c r="M71" i="26"/>
  <c r="M72" i="26"/>
  <c r="M73" i="26"/>
  <c r="M75" i="26"/>
  <c r="M76" i="26"/>
  <c r="M78" i="26"/>
  <c r="M80" i="26"/>
  <c r="M81" i="26"/>
  <c r="L69" i="26"/>
  <c r="L70" i="26"/>
  <c r="L71" i="26"/>
  <c r="L72" i="26"/>
  <c r="L73" i="26"/>
  <c r="L75" i="26"/>
  <c r="L76" i="26"/>
  <c r="L78" i="26"/>
  <c r="L80" i="26"/>
  <c r="L81" i="26"/>
  <c r="L68" i="26"/>
  <c r="M68" i="26"/>
  <c r="C45" i="26"/>
  <c r="I50" i="26"/>
  <c r="I51" i="26"/>
  <c r="I52" i="26"/>
  <c r="I53" i="26"/>
  <c r="I54" i="26"/>
  <c r="I55" i="26"/>
  <c r="I57" i="26"/>
  <c r="I58" i="26"/>
  <c r="I60" i="26"/>
  <c r="I62" i="26"/>
  <c r="I63" i="26"/>
  <c r="G54" i="12" l="1"/>
  <c r="G55" i="12"/>
  <c r="G53" i="12"/>
  <c r="G50" i="12"/>
  <c r="G51" i="12"/>
  <c r="G48" i="12"/>
  <c r="G49" i="12"/>
  <c r="G46" i="12"/>
  <c r="G45" i="12"/>
  <c r="G47" i="12"/>
  <c r="G44" i="12"/>
  <c r="G39" i="12" l="1"/>
  <c r="G38" i="12"/>
  <c r="G13" i="12"/>
  <c r="G14" i="12"/>
  <c r="G15" i="12"/>
  <c r="G12" i="12"/>
  <c r="F28" i="26" l="1"/>
  <c r="N28" i="12" l="1"/>
  <c r="N29" i="12"/>
  <c r="T46" i="12" l="1"/>
  <c r="T45" i="12"/>
  <c r="T47" i="12"/>
  <c r="T48" i="12"/>
  <c r="T49" i="12"/>
  <c r="T50" i="12"/>
  <c r="T51" i="12"/>
  <c r="T52" i="12"/>
  <c r="T53" i="12"/>
  <c r="T54" i="12"/>
  <c r="T55" i="12"/>
  <c r="T44" i="12"/>
  <c r="U43" i="12" l="1"/>
  <c r="T43" i="12"/>
  <c r="P43" i="12"/>
  <c r="N43" i="12"/>
  <c r="J43" i="12"/>
  <c r="F43" i="12"/>
  <c r="T4" i="12"/>
  <c r="T5" i="12"/>
  <c r="T6" i="12"/>
  <c r="T7" i="12"/>
  <c r="T10" i="12"/>
  <c r="T11" i="12"/>
  <c r="T12" i="12"/>
  <c r="T13" i="12"/>
  <c r="T14" i="12"/>
  <c r="T15" i="12"/>
  <c r="T16" i="12"/>
  <c r="T17" i="12"/>
  <c r="T18" i="12"/>
  <c r="T20" i="12"/>
  <c r="T21" i="12"/>
  <c r="T24" i="12"/>
  <c r="T25" i="12"/>
  <c r="T26" i="12"/>
  <c r="T27" i="12"/>
  <c r="T28" i="12"/>
  <c r="T29" i="12"/>
  <c r="T30" i="12"/>
  <c r="T31" i="12"/>
  <c r="T36" i="12"/>
  <c r="T37" i="12"/>
  <c r="T38" i="12"/>
  <c r="T39" i="12"/>
  <c r="T40" i="12"/>
  <c r="T41" i="12"/>
  <c r="T3" i="12"/>
  <c r="T2" i="12"/>
  <c r="Q3" i="12"/>
  <c r="Q2" i="12"/>
  <c r="M39" i="12"/>
  <c r="O39" i="12" s="1"/>
  <c r="N39" i="12" s="1"/>
  <c r="S39" i="12"/>
  <c r="H39" i="12"/>
  <c r="S38" i="12"/>
  <c r="M38" i="12"/>
  <c r="O38" i="12" s="1"/>
  <c r="I38" i="12"/>
  <c r="S14" i="12"/>
  <c r="S15" i="12"/>
  <c r="M15" i="12"/>
  <c r="O15" i="12" s="1"/>
  <c r="N15" i="12" s="1"/>
  <c r="M14" i="12"/>
  <c r="O14" i="12" s="1"/>
  <c r="N14" i="12" s="1"/>
  <c r="H14" i="12"/>
  <c r="H15" i="12"/>
  <c r="U39" i="12" l="1"/>
  <c r="V39" i="12" s="1"/>
  <c r="U15" i="12"/>
  <c r="V15" i="12" s="1"/>
  <c r="U14" i="12"/>
  <c r="V14" i="12" s="1"/>
  <c r="B34" i="4"/>
  <c r="N38" i="12"/>
  <c r="B29" i="4"/>
  <c r="I39" i="12"/>
  <c r="H38" i="12"/>
  <c r="U38" i="12" s="1"/>
  <c r="V38" i="12" s="1"/>
  <c r="I15" i="12"/>
  <c r="I14" i="12"/>
  <c r="G32" i="12" l="1"/>
  <c r="H32" i="12" s="1"/>
  <c r="M32" i="12"/>
  <c r="O32" i="12" s="1"/>
  <c r="N32" i="12" s="1"/>
  <c r="S32" i="12"/>
  <c r="U32" i="12" l="1"/>
  <c r="V32" i="12" s="1"/>
  <c r="I32" i="12"/>
  <c r="M24" i="12"/>
  <c r="K43" i="12" l="1"/>
  <c r="S13" i="12" l="1"/>
  <c r="S12" i="12"/>
  <c r="M13" i="12" l="1"/>
  <c r="O13" i="12" s="1"/>
  <c r="N13" i="12" s="1"/>
  <c r="M12" i="12"/>
  <c r="H13" i="12"/>
  <c r="U13" i="12" s="1"/>
  <c r="V13" i="12" s="1"/>
  <c r="H12" i="12"/>
  <c r="U12" i="12" s="1"/>
  <c r="V12" i="12" s="1"/>
  <c r="O12" i="12" l="1"/>
  <c r="N12" i="12" s="1"/>
  <c r="B23" i="4"/>
  <c r="I13" i="12"/>
  <c r="I12" i="12"/>
  <c r="G41" i="12"/>
  <c r="I41" i="12" s="1"/>
  <c r="G40" i="12"/>
  <c r="I40" i="12" s="1"/>
  <c r="G31" i="12"/>
  <c r="I31" i="12" s="1"/>
  <c r="G33" i="12"/>
  <c r="I33" i="12" s="1"/>
  <c r="G34" i="12"/>
  <c r="I34" i="12" s="1"/>
  <c r="G35" i="12"/>
  <c r="I35" i="12" s="1"/>
  <c r="G36" i="12"/>
  <c r="I36" i="12" s="1"/>
  <c r="G37" i="12"/>
  <c r="I37" i="12" s="1"/>
  <c r="G30" i="12"/>
  <c r="I30" i="12" s="1"/>
  <c r="G27" i="12"/>
  <c r="I27" i="12" s="1"/>
  <c r="G26" i="12"/>
  <c r="I26" i="12" s="1"/>
  <c r="G20" i="12"/>
  <c r="I20" i="12" s="1"/>
  <c r="G21" i="12"/>
  <c r="I21" i="12" s="1"/>
  <c r="G24" i="12"/>
  <c r="I24" i="12" s="1"/>
  <c r="G25" i="12"/>
  <c r="I25" i="12" s="1"/>
  <c r="G16" i="12"/>
  <c r="I16" i="12" s="1"/>
  <c r="G17" i="12"/>
  <c r="I17" i="12" s="1"/>
  <c r="G18" i="12"/>
  <c r="I18" i="12" s="1"/>
  <c r="G19" i="12"/>
  <c r="I19" i="12" s="1"/>
  <c r="G10" i="12"/>
  <c r="I10" i="12" s="1"/>
  <c r="G11" i="12"/>
  <c r="I11" i="12" s="1"/>
  <c r="G2" i="12"/>
  <c r="I2" i="12" s="1"/>
  <c r="G3" i="12"/>
  <c r="I3" i="12" s="1"/>
  <c r="G6" i="12"/>
  <c r="I6" i="12" s="1"/>
  <c r="G7" i="12"/>
  <c r="I7" i="12" s="1"/>
  <c r="G5" i="12"/>
  <c r="I5" i="12" s="1"/>
  <c r="G4" i="12"/>
  <c r="I4" i="12" s="1"/>
  <c r="M43" i="12" l="1"/>
  <c r="S41" i="12" l="1"/>
  <c r="F45" i="27" l="1"/>
  <c r="E45" i="27"/>
  <c r="D45" i="27"/>
  <c r="C45" i="27"/>
  <c r="B45" i="27"/>
  <c r="R31" i="29"/>
  <c r="L27" i="1"/>
  <c r="J27" i="1"/>
  <c r="H61" i="114" s="1"/>
  <c r="G22" i="1"/>
  <c r="G10" i="115" s="1"/>
  <c r="C10" i="114" l="1"/>
  <c r="M27" i="1"/>
  <c r="W27" i="1" s="1"/>
  <c r="G61" i="114"/>
  <c r="M45" i="27"/>
  <c r="G45" i="27"/>
  <c r="I45" i="27" s="1"/>
  <c r="K45" i="27" s="1"/>
  <c r="N45" i="27"/>
  <c r="H45" i="27"/>
  <c r="J45" i="27" s="1"/>
  <c r="L45" i="27" s="1"/>
  <c r="S31" i="29"/>
  <c r="L25" i="32"/>
  <c r="O25" i="32"/>
  <c r="N25" i="32"/>
  <c r="M25" i="32"/>
  <c r="U27" i="1" l="1"/>
  <c r="O27" i="1"/>
  <c r="F27" i="1"/>
  <c r="P25" i="32"/>
  <c r="Q46" i="104" l="1"/>
  <c r="P46" i="104"/>
  <c r="O46" i="104"/>
  <c r="N46" i="104"/>
  <c r="M46" i="104"/>
  <c r="L46" i="104"/>
  <c r="K46" i="104"/>
  <c r="J46" i="104"/>
  <c r="I46" i="104"/>
  <c r="H46" i="104"/>
  <c r="G46" i="104"/>
  <c r="F46" i="104"/>
  <c r="E46" i="104"/>
  <c r="D46" i="104"/>
  <c r="Q13" i="104"/>
  <c r="Q45" i="104" s="1"/>
  <c r="P13" i="104"/>
  <c r="P45" i="104" s="1"/>
  <c r="O13" i="104"/>
  <c r="N13" i="104"/>
  <c r="M13" i="104"/>
  <c r="M45" i="104" s="1"/>
  <c r="L13" i="104"/>
  <c r="L45" i="104" s="1"/>
  <c r="K13" i="104"/>
  <c r="J13" i="104"/>
  <c r="I13" i="104"/>
  <c r="I45" i="104" s="1"/>
  <c r="H13" i="104"/>
  <c r="H45" i="104" s="1"/>
  <c r="G13" i="104"/>
  <c r="F13" i="104"/>
  <c r="E13" i="104"/>
  <c r="E45" i="104" s="1"/>
  <c r="D13" i="104"/>
  <c r="D45" i="104" s="1"/>
  <c r="R12" i="104"/>
  <c r="R11" i="104"/>
  <c r="R10" i="104"/>
  <c r="R9" i="104"/>
  <c r="R8" i="104"/>
  <c r="R7" i="104"/>
  <c r="S10" i="104"/>
  <c r="R6" i="104"/>
  <c r="R5" i="104"/>
  <c r="R4" i="104"/>
  <c r="U10" i="104" l="1"/>
  <c r="S9" i="104"/>
  <c r="S6" i="104"/>
  <c r="S7" i="104"/>
  <c r="S11" i="104"/>
  <c r="S5" i="104"/>
  <c r="S8" i="104"/>
  <c r="S12" i="104"/>
  <c r="I47" i="104"/>
  <c r="Q47" i="104"/>
  <c r="D47" i="104"/>
  <c r="L47" i="104"/>
  <c r="E47" i="104"/>
  <c r="M47" i="104"/>
  <c r="H47" i="104"/>
  <c r="P47" i="104"/>
  <c r="U8" i="104"/>
  <c r="S4" i="104"/>
  <c r="F45" i="104"/>
  <c r="F47" i="104" s="1"/>
  <c r="J45" i="104"/>
  <c r="J47" i="104" s="1"/>
  <c r="N45" i="104"/>
  <c r="N47" i="104" s="1"/>
  <c r="G45" i="104"/>
  <c r="G47" i="104" s="1"/>
  <c r="K45" i="104"/>
  <c r="K47" i="104" s="1"/>
  <c r="O45" i="104"/>
  <c r="O47" i="104" s="1"/>
  <c r="B116" i="12" l="1"/>
  <c r="B117" i="12" s="1"/>
  <c r="C81" i="12" l="1"/>
  <c r="S37" i="12"/>
  <c r="M37" i="12"/>
  <c r="O37" i="12" s="1"/>
  <c r="N37" i="12" s="1"/>
  <c r="H37" i="12"/>
  <c r="U37" i="12" s="1"/>
  <c r="V37" i="12" s="1"/>
  <c r="S11" i="12"/>
  <c r="C65" i="12"/>
  <c r="M11" i="12"/>
  <c r="O11" i="12" s="1"/>
  <c r="N11" i="12" s="1"/>
  <c r="H11" i="12" l="1"/>
  <c r="U11" i="12" s="1"/>
  <c r="V11" i="12" s="1"/>
  <c r="C83" i="12" l="1"/>
  <c r="M41" i="12"/>
  <c r="O41" i="12" s="1"/>
  <c r="N41" i="12" s="1"/>
  <c r="G83" i="12" l="1"/>
  <c r="H41" i="12"/>
  <c r="U41" i="12" s="1"/>
  <c r="V41" i="12" s="1"/>
  <c r="D21" i="54" l="1"/>
  <c r="G30" i="86"/>
  <c r="G31" i="86"/>
  <c r="G32" i="86"/>
  <c r="G33" i="86"/>
  <c r="G34" i="86"/>
  <c r="C76" i="12"/>
  <c r="C80" i="12"/>
  <c r="C79" i="12"/>
  <c r="C78" i="12"/>
  <c r="C71" i="12"/>
  <c r="C70" i="12"/>
  <c r="C64" i="12"/>
  <c r="C63" i="12"/>
  <c r="C73" i="12"/>
  <c r="C72" i="12"/>
  <c r="H21" i="12"/>
  <c r="U21" i="12" s="1"/>
  <c r="V21" i="12" s="1"/>
  <c r="O21" i="12"/>
  <c r="N21" i="12" s="1"/>
  <c r="S21" i="12"/>
  <c r="G72" i="12" l="1"/>
  <c r="G73" i="12" l="1"/>
  <c r="G80" i="12" l="1"/>
  <c r="G62" i="12"/>
  <c r="C14" i="103" l="1"/>
  <c r="J9" i="1"/>
  <c r="H43" i="114" s="1"/>
  <c r="L9" i="1"/>
  <c r="J10" i="1"/>
  <c r="H44" i="114" s="1"/>
  <c r="L10" i="1"/>
  <c r="J11" i="1"/>
  <c r="H45" i="114" s="1"/>
  <c r="L11" i="1"/>
  <c r="J12" i="1"/>
  <c r="H46" i="114" s="1"/>
  <c r="L12" i="1"/>
  <c r="J13" i="1"/>
  <c r="H47" i="114" s="1"/>
  <c r="L13" i="1"/>
  <c r="J14" i="1"/>
  <c r="H48" i="114" s="1"/>
  <c r="L14" i="1"/>
  <c r="J15" i="1"/>
  <c r="H49" i="114" s="1"/>
  <c r="L15" i="1"/>
  <c r="J16" i="1"/>
  <c r="H50" i="114" s="1"/>
  <c r="L16" i="1"/>
  <c r="J17" i="1"/>
  <c r="H51" i="114" s="1"/>
  <c r="L17" i="1"/>
  <c r="J18" i="1"/>
  <c r="H52" i="114" s="1"/>
  <c r="L18" i="1"/>
  <c r="J19" i="1"/>
  <c r="H53" i="114" s="1"/>
  <c r="L19" i="1"/>
  <c r="J20" i="1"/>
  <c r="H54" i="114" s="1"/>
  <c r="L20" i="1"/>
  <c r="J21" i="1"/>
  <c r="H55" i="114" s="1"/>
  <c r="L21" i="1"/>
  <c r="C56" i="103"/>
  <c r="J22" i="1"/>
  <c r="H56" i="114" s="1"/>
  <c r="L22" i="1"/>
  <c r="J23" i="1"/>
  <c r="H57" i="114" s="1"/>
  <c r="L23" i="1"/>
  <c r="J24" i="1"/>
  <c r="H58" i="114" s="1"/>
  <c r="L24" i="1"/>
  <c r="J25" i="1"/>
  <c r="H59" i="114" s="1"/>
  <c r="L25" i="1"/>
  <c r="J26" i="1"/>
  <c r="H60" i="114" s="1"/>
  <c r="L26" i="1"/>
  <c r="G28" i="1"/>
  <c r="J28" i="1"/>
  <c r="H62" i="114" s="1"/>
  <c r="L28" i="1"/>
  <c r="J29" i="1"/>
  <c r="H63" i="114" s="1"/>
  <c r="L29" i="1"/>
  <c r="J30" i="1"/>
  <c r="H64" i="114" s="1"/>
  <c r="L30" i="1"/>
  <c r="J31" i="1"/>
  <c r="H65" i="114" s="1"/>
  <c r="L31" i="1"/>
  <c r="L32" i="1"/>
  <c r="L33" i="1"/>
  <c r="L34" i="1"/>
  <c r="L35" i="1"/>
  <c r="L36" i="1"/>
  <c r="J39" i="1"/>
  <c r="L39" i="1"/>
  <c r="J40" i="1"/>
  <c r="H74" i="114" s="1"/>
  <c r="L40" i="1"/>
  <c r="J41" i="1"/>
  <c r="H75" i="114" s="1"/>
  <c r="L41" i="1"/>
  <c r="J42" i="1"/>
  <c r="H76" i="114" s="1"/>
  <c r="L42" i="1"/>
  <c r="J43" i="1"/>
  <c r="H77" i="114" s="1"/>
  <c r="L43" i="1"/>
  <c r="J44" i="1"/>
  <c r="H78" i="114" s="1"/>
  <c r="L44" i="1"/>
  <c r="G47" i="1"/>
  <c r="J47" i="1"/>
  <c r="H81" i="114" s="1"/>
  <c r="L47" i="1"/>
  <c r="J48" i="1"/>
  <c r="H82" i="114" s="1"/>
  <c r="L48" i="1"/>
  <c r="J49" i="1"/>
  <c r="H83" i="114" s="1"/>
  <c r="L49" i="1"/>
  <c r="J50" i="1"/>
  <c r="H84" i="114" s="1"/>
  <c r="L50" i="1"/>
  <c r="J51" i="1"/>
  <c r="H85" i="114" s="1"/>
  <c r="L51" i="1"/>
  <c r="J52" i="1"/>
  <c r="H86" i="114" s="1"/>
  <c r="L52" i="1"/>
  <c r="J53" i="1"/>
  <c r="H87" i="114" s="1"/>
  <c r="L53" i="1"/>
  <c r="J54" i="1"/>
  <c r="H88" i="114" s="1"/>
  <c r="L54" i="1"/>
  <c r="J55" i="1"/>
  <c r="H89" i="114" s="1"/>
  <c r="L55" i="1"/>
  <c r="C42" i="103"/>
  <c r="D42" i="103" s="1"/>
  <c r="J56" i="1"/>
  <c r="H90" i="114" s="1"/>
  <c r="J57" i="1"/>
  <c r="H91" i="114" s="1"/>
  <c r="L57" i="1"/>
  <c r="J58" i="1"/>
  <c r="H92" i="114" s="1"/>
  <c r="L58" i="1"/>
  <c r="J59" i="1"/>
  <c r="H93" i="114" s="1"/>
  <c r="L59" i="1"/>
  <c r="J60" i="1"/>
  <c r="H94" i="114" s="1"/>
  <c r="L60" i="1"/>
  <c r="J61" i="1"/>
  <c r="H95" i="114" s="1"/>
  <c r="L61" i="1"/>
  <c r="C16" i="114"/>
  <c r="J64" i="1"/>
  <c r="L64" i="1"/>
  <c r="J65" i="1"/>
  <c r="H99" i="114" s="1"/>
  <c r="L65" i="1"/>
  <c r="J66" i="1"/>
  <c r="H100" i="114" s="1"/>
  <c r="L66" i="1"/>
  <c r="J67" i="1"/>
  <c r="H101" i="114" s="1"/>
  <c r="L67" i="1"/>
  <c r="J68" i="1"/>
  <c r="H102" i="114" s="1"/>
  <c r="L68" i="1"/>
  <c r="J69" i="1"/>
  <c r="H103" i="114" s="1"/>
  <c r="L69" i="1"/>
  <c r="J72" i="1"/>
  <c r="L72" i="1"/>
  <c r="J73" i="1"/>
  <c r="H107" i="114" s="1"/>
  <c r="L73" i="1"/>
  <c r="J74" i="1"/>
  <c r="H108" i="114" s="1"/>
  <c r="L74" i="1"/>
  <c r="J75" i="1"/>
  <c r="H109" i="114" s="1"/>
  <c r="L75" i="1"/>
  <c r="J76" i="1"/>
  <c r="H110" i="114" s="1"/>
  <c r="L76" i="1"/>
  <c r="J77" i="1"/>
  <c r="H111" i="114" s="1"/>
  <c r="L77" i="1"/>
  <c r="J80" i="1"/>
  <c r="H114" i="114" s="1"/>
  <c r="L80" i="1"/>
  <c r="J81" i="1"/>
  <c r="H115" i="114" s="1"/>
  <c r="L81" i="1"/>
  <c r="J82" i="1"/>
  <c r="H116" i="114" s="1"/>
  <c r="L82" i="1"/>
  <c r="J83" i="1"/>
  <c r="H117" i="114" s="1"/>
  <c r="L83" i="1"/>
  <c r="J84" i="1"/>
  <c r="H118" i="114" s="1"/>
  <c r="L84" i="1"/>
  <c r="J85" i="1"/>
  <c r="H119" i="114" s="1"/>
  <c r="L85" i="1"/>
  <c r="J86" i="1"/>
  <c r="H120" i="114" s="1"/>
  <c r="L86" i="1"/>
  <c r="J87" i="1"/>
  <c r="H121" i="114" s="1"/>
  <c r="L87" i="1"/>
  <c r="J88" i="1"/>
  <c r="H122" i="114" s="1"/>
  <c r="L88" i="1"/>
  <c r="J89" i="1"/>
  <c r="H123" i="114" s="1"/>
  <c r="L89" i="1"/>
  <c r="J90" i="1"/>
  <c r="H124" i="114" s="1"/>
  <c r="L90" i="1"/>
  <c r="J91" i="1"/>
  <c r="H125" i="114" s="1"/>
  <c r="L91" i="1"/>
  <c r="J92" i="1"/>
  <c r="H126" i="114" s="1"/>
  <c r="L92" i="1"/>
  <c r="J93" i="1"/>
  <c r="H127" i="114" s="1"/>
  <c r="L93" i="1"/>
  <c r="G94" i="1"/>
  <c r="C25" i="114" s="1"/>
  <c r="J94" i="1"/>
  <c r="H128" i="114" s="1"/>
  <c r="L94" i="1"/>
  <c r="S94" i="1"/>
  <c r="J95" i="1"/>
  <c r="H129" i="114" s="1"/>
  <c r="L95" i="1"/>
  <c r="G96" i="1"/>
  <c r="C26" i="114" s="1"/>
  <c r="J96" i="1"/>
  <c r="H130" i="114" s="1"/>
  <c r="L96" i="1"/>
  <c r="J97" i="1"/>
  <c r="H131" i="114" s="1"/>
  <c r="L97" i="1"/>
  <c r="S97" i="1"/>
  <c r="J98" i="1"/>
  <c r="H132" i="114" s="1"/>
  <c r="L98" i="1"/>
  <c r="G99" i="1"/>
  <c r="J99" i="1"/>
  <c r="H133" i="114" s="1"/>
  <c r="L99" i="1"/>
  <c r="S99" i="1"/>
  <c r="J100" i="1"/>
  <c r="H134" i="114" s="1"/>
  <c r="L100" i="1"/>
  <c r="S100" i="1"/>
  <c r="G101" i="1"/>
  <c r="C28" i="114" s="1"/>
  <c r="J101" i="1"/>
  <c r="H135" i="114" s="1"/>
  <c r="L101" i="1"/>
  <c r="S101" i="1"/>
  <c r="J102" i="1"/>
  <c r="H136" i="114" s="1"/>
  <c r="L102" i="1"/>
  <c r="G103" i="1"/>
  <c r="C29" i="114" s="1"/>
  <c r="J103" i="1"/>
  <c r="H137" i="114" s="1"/>
  <c r="L103" i="1"/>
  <c r="J104" i="1"/>
  <c r="H138" i="114" s="1"/>
  <c r="L104" i="1"/>
  <c r="S104" i="1"/>
  <c r="C30" i="114"/>
  <c r="H139" i="114"/>
  <c r="H140" i="114"/>
  <c r="G107" i="1"/>
  <c r="C31" i="114" s="1"/>
  <c r="J107" i="1"/>
  <c r="L107" i="1"/>
  <c r="S107" i="1"/>
  <c r="J108" i="1"/>
  <c r="H142" i="114" s="1"/>
  <c r="L108" i="1"/>
  <c r="G109" i="1"/>
  <c r="C32" i="114" s="1"/>
  <c r="J109" i="1"/>
  <c r="H143" i="114" s="1"/>
  <c r="L109" i="1"/>
  <c r="J110" i="1"/>
  <c r="H144" i="114" s="1"/>
  <c r="L110" i="1"/>
  <c r="S110" i="1"/>
  <c r="J111" i="1"/>
  <c r="H145" i="114" s="1"/>
  <c r="L111" i="1"/>
  <c r="G112" i="1"/>
  <c r="C33" i="114" s="1"/>
  <c r="J112" i="1"/>
  <c r="H146" i="114" s="1"/>
  <c r="L112" i="1"/>
  <c r="J113" i="1"/>
  <c r="H147" i="114" s="1"/>
  <c r="L113" i="1"/>
  <c r="S113" i="1"/>
  <c r="G114" i="1"/>
  <c r="C34" i="114" s="1"/>
  <c r="J114" i="1"/>
  <c r="H148" i="114" s="1"/>
  <c r="L114" i="1"/>
  <c r="S114" i="1"/>
  <c r="J115" i="1"/>
  <c r="H149" i="114" s="1"/>
  <c r="L115" i="1"/>
  <c r="G116" i="1"/>
  <c r="C35" i="114" s="1"/>
  <c r="J116" i="1"/>
  <c r="H150" i="114" s="1"/>
  <c r="L116" i="1"/>
  <c r="J117" i="1"/>
  <c r="H151" i="114" s="1"/>
  <c r="L117" i="1"/>
  <c r="S117" i="1"/>
  <c r="J118" i="1"/>
  <c r="H152" i="114" s="1"/>
  <c r="L118" i="1"/>
  <c r="T99" i="1" l="1"/>
  <c r="T100" i="1" s="1"/>
  <c r="C27" i="114"/>
  <c r="D8" i="27"/>
  <c r="C14" i="114"/>
  <c r="C11" i="114"/>
  <c r="H141" i="114"/>
  <c r="F53" i="4"/>
  <c r="D14" i="27"/>
  <c r="D13" i="27"/>
  <c r="D12" i="27"/>
  <c r="D10" i="27"/>
  <c r="D5" i="27"/>
  <c r="D4" i="27"/>
  <c r="D11" i="27"/>
  <c r="D9" i="27"/>
  <c r="D6" i="27"/>
  <c r="D16" i="27"/>
  <c r="D15" i="27"/>
  <c r="D7" i="27"/>
  <c r="F12" i="4"/>
  <c r="G12" i="4" s="1"/>
  <c r="E17" i="114" s="1"/>
  <c r="F8" i="4"/>
  <c r="G8" i="4" s="1"/>
  <c r="E13" i="114" s="1"/>
  <c r="H106" i="114"/>
  <c r="C13" i="27"/>
  <c r="H73" i="114"/>
  <c r="C9" i="27"/>
  <c r="C12" i="27"/>
  <c r="G139" i="114"/>
  <c r="M90" i="1"/>
  <c r="W90" i="1" s="1"/>
  <c r="G124" i="114"/>
  <c r="M86" i="1"/>
  <c r="W86" i="1" s="1"/>
  <c r="G120" i="114"/>
  <c r="M82" i="1"/>
  <c r="W82" i="1" s="1"/>
  <c r="G116" i="114"/>
  <c r="M94" i="1"/>
  <c r="F94" i="1" s="1"/>
  <c r="G128" i="114"/>
  <c r="M117" i="1"/>
  <c r="F117" i="1" s="1"/>
  <c r="G151" i="114"/>
  <c r="M114" i="1"/>
  <c r="F114" i="1" s="1"/>
  <c r="G148" i="114"/>
  <c r="M99" i="1"/>
  <c r="G133" i="114"/>
  <c r="M96" i="1"/>
  <c r="F96" i="1" s="1"/>
  <c r="G130" i="114"/>
  <c r="M109" i="1"/>
  <c r="F109" i="1" s="1"/>
  <c r="G143" i="114"/>
  <c r="M102" i="1"/>
  <c r="F102" i="1" s="1"/>
  <c r="G136" i="114"/>
  <c r="M111" i="1"/>
  <c r="F111" i="1" s="1"/>
  <c r="G145" i="114"/>
  <c r="M107" i="1"/>
  <c r="F107" i="1" s="1"/>
  <c r="G141" i="114"/>
  <c r="M104" i="1"/>
  <c r="F104" i="1" s="1"/>
  <c r="G138" i="114"/>
  <c r="M101" i="1"/>
  <c r="F101" i="1" s="1"/>
  <c r="G135" i="114"/>
  <c r="M93" i="1"/>
  <c r="O93" i="1" s="1"/>
  <c r="G127" i="114"/>
  <c r="M89" i="1"/>
  <c r="O89" i="1" s="1"/>
  <c r="G123" i="114"/>
  <c r="M85" i="1"/>
  <c r="F85" i="1" s="1"/>
  <c r="G119" i="114"/>
  <c r="M81" i="1"/>
  <c r="W81" i="1" s="1"/>
  <c r="G115" i="114"/>
  <c r="M116" i="1"/>
  <c r="F116" i="1" s="1"/>
  <c r="G150" i="114"/>
  <c r="M103" i="1"/>
  <c r="F103" i="1" s="1"/>
  <c r="G137" i="114"/>
  <c r="M98" i="1"/>
  <c r="F98" i="1" s="1"/>
  <c r="G132" i="114"/>
  <c r="M95" i="1"/>
  <c r="F95" i="1" s="1"/>
  <c r="G129" i="114"/>
  <c r="M92" i="1"/>
  <c r="W92" i="1" s="1"/>
  <c r="G126" i="114"/>
  <c r="M88" i="1"/>
  <c r="W88" i="1" s="1"/>
  <c r="G122" i="114"/>
  <c r="M84" i="1"/>
  <c r="W84" i="1" s="1"/>
  <c r="G118" i="114"/>
  <c r="M80" i="1"/>
  <c r="W80" i="1" s="1"/>
  <c r="G114" i="114"/>
  <c r="M112" i="1"/>
  <c r="F112" i="1" s="1"/>
  <c r="G146" i="114"/>
  <c r="M113" i="1"/>
  <c r="F113" i="1" s="1"/>
  <c r="G147" i="114"/>
  <c r="M110" i="1"/>
  <c r="F110" i="1" s="1"/>
  <c r="G144" i="114"/>
  <c r="H98" i="114"/>
  <c r="F11" i="4"/>
  <c r="G11" i="4" s="1"/>
  <c r="M108" i="1"/>
  <c r="F108" i="1" s="1"/>
  <c r="G142" i="114"/>
  <c r="M97" i="1"/>
  <c r="F97" i="1" s="1"/>
  <c r="G131" i="114"/>
  <c r="M118" i="1"/>
  <c r="F118" i="1" s="1"/>
  <c r="G152" i="114"/>
  <c r="M115" i="1"/>
  <c r="F115" i="1" s="1"/>
  <c r="G149" i="114"/>
  <c r="G140" i="114"/>
  <c r="M100" i="1"/>
  <c r="G134" i="114"/>
  <c r="M91" i="1"/>
  <c r="F91" i="1" s="1"/>
  <c r="G125" i="114"/>
  <c r="M87" i="1"/>
  <c r="W87" i="1" s="1"/>
  <c r="G121" i="114"/>
  <c r="M83" i="1"/>
  <c r="F83" i="1" s="1"/>
  <c r="G117" i="114"/>
  <c r="M77" i="1"/>
  <c r="F77" i="1" s="1"/>
  <c r="G111" i="114"/>
  <c r="M60" i="1"/>
  <c r="O60" i="1" s="1"/>
  <c r="G94" i="114"/>
  <c r="M43" i="1"/>
  <c r="O43" i="1" s="1"/>
  <c r="G77" i="114"/>
  <c r="M48" i="1"/>
  <c r="F48" i="1" s="1"/>
  <c r="G82" i="114"/>
  <c r="M61" i="1"/>
  <c r="O61" i="1" s="1"/>
  <c r="G95" i="114"/>
  <c r="M57" i="1"/>
  <c r="F57" i="1" s="1"/>
  <c r="G91" i="114"/>
  <c r="M44" i="1"/>
  <c r="F44" i="1" s="1"/>
  <c r="G78" i="114"/>
  <c r="M40" i="1"/>
  <c r="W40" i="1" s="1"/>
  <c r="G74" i="114"/>
  <c r="M32" i="1"/>
  <c r="W32" i="1" s="1"/>
  <c r="G66" i="114"/>
  <c r="M23" i="1"/>
  <c r="W23" i="1" s="1"/>
  <c r="G57" i="114"/>
  <c r="M65" i="1"/>
  <c r="F65" i="1" s="1"/>
  <c r="G99" i="114"/>
  <c r="M30" i="1"/>
  <c r="W30" i="1" s="1"/>
  <c r="G64" i="114"/>
  <c r="M76" i="1"/>
  <c r="W76" i="1" s="1"/>
  <c r="G110" i="114"/>
  <c r="M72" i="1"/>
  <c r="F72" i="1" s="1"/>
  <c r="G106" i="114"/>
  <c r="M66" i="1"/>
  <c r="O66" i="1" s="1"/>
  <c r="G100" i="114"/>
  <c r="M53" i="1"/>
  <c r="W53" i="1" s="1"/>
  <c r="G87" i="114"/>
  <c r="M49" i="1"/>
  <c r="W49" i="1" s="1"/>
  <c r="G83" i="114"/>
  <c r="M31" i="1"/>
  <c r="U31" i="1" s="1"/>
  <c r="G65" i="114"/>
  <c r="M19" i="1"/>
  <c r="U19" i="1" s="1"/>
  <c r="G53" i="114"/>
  <c r="M15" i="1"/>
  <c r="W15" i="1" s="1"/>
  <c r="G49" i="114"/>
  <c r="M11" i="1"/>
  <c r="W11" i="1" s="1"/>
  <c r="G45" i="114"/>
  <c r="M56" i="1"/>
  <c r="F56" i="1" s="1"/>
  <c r="G90" i="114"/>
  <c r="M75" i="1"/>
  <c r="W75" i="1" s="1"/>
  <c r="G109" i="114"/>
  <c r="M52" i="1"/>
  <c r="F52" i="1" s="1"/>
  <c r="G86" i="114"/>
  <c r="M18" i="1"/>
  <c r="F18" i="1" s="1"/>
  <c r="G52" i="114"/>
  <c r="M59" i="1"/>
  <c r="O59" i="1" s="1"/>
  <c r="G93" i="114"/>
  <c r="M42" i="1"/>
  <c r="W42" i="1" s="1"/>
  <c r="G76" i="114"/>
  <c r="M36" i="1"/>
  <c r="F36" i="1" s="1"/>
  <c r="G70" i="114"/>
  <c r="M25" i="1"/>
  <c r="W25" i="1" s="1"/>
  <c r="G59" i="114"/>
  <c r="M22" i="1"/>
  <c r="W22" i="1" s="1"/>
  <c r="G56" i="114"/>
  <c r="M10" i="1"/>
  <c r="W10" i="1" s="1"/>
  <c r="G44" i="114"/>
  <c r="M74" i="1"/>
  <c r="W74" i="1" s="1"/>
  <c r="G108" i="114"/>
  <c r="M68" i="1"/>
  <c r="W68" i="1" s="1"/>
  <c r="G102" i="114"/>
  <c r="M64" i="1"/>
  <c r="F64" i="1" s="1"/>
  <c r="G98" i="114"/>
  <c r="M55" i="1"/>
  <c r="W55" i="1" s="1"/>
  <c r="Y55" i="1" s="1"/>
  <c r="G89" i="114"/>
  <c r="M51" i="1"/>
  <c r="W51" i="1" s="1"/>
  <c r="G85" i="114"/>
  <c r="M47" i="1"/>
  <c r="F47" i="1" s="1"/>
  <c r="G81" i="114"/>
  <c r="M35" i="1"/>
  <c r="U35" i="1" s="1"/>
  <c r="G69" i="114"/>
  <c r="M29" i="1"/>
  <c r="U29" i="1" s="1"/>
  <c r="G63" i="114"/>
  <c r="M21" i="1"/>
  <c r="W21" i="1" s="1"/>
  <c r="Y21" i="1" s="1"/>
  <c r="G55" i="114"/>
  <c r="M17" i="1"/>
  <c r="F17" i="1" s="1"/>
  <c r="G51" i="114"/>
  <c r="M13" i="1"/>
  <c r="W13" i="1" s="1"/>
  <c r="G47" i="114"/>
  <c r="M9" i="1"/>
  <c r="W9" i="1" s="1"/>
  <c r="G43" i="114"/>
  <c r="M26" i="1"/>
  <c r="W26" i="1" s="1"/>
  <c r="G60" i="114"/>
  <c r="M14" i="1"/>
  <c r="W14" i="1" s="1"/>
  <c r="G48" i="114"/>
  <c r="M58" i="1"/>
  <c r="F58" i="1" s="1"/>
  <c r="G92" i="114"/>
  <c r="M41" i="1"/>
  <c r="F41" i="1" s="1"/>
  <c r="G75" i="114"/>
  <c r="M34" i="1"/>
  <c r="O34" i="1" s="1"/>
  <c r="G68" i="114"/>
  <c r="M24" i="1"/>
  <c r="W24" i="1" s="1"/>
  <c r="G58" i="114"/>
  <c r="M39" i="1"/>
  <c r="O39" i="1" s="1"/>
  <c r="G73" i="114"/>
  <c r="M69" i="1"/>
  <c r="W69" i="1" s="1"/>
  <c r="G103" i="114"/>
  <c r="M73" i="1"/>
  <c r="W73" i="1" s="1"/>
  <c r="G107" i="114"/>
  <c r="M67" i="1"/>
  <c r="W67" i="1" s="1"/>
  <c r="G101" i="114"/>
  <c r="M54" i="1"/>
  <c r="W54" i="1" s="1"/>
  <c r="G88" i="114"/>
  <c r="M50" i="1"/>
  <c r="F50" i="1" s="1"/>
  <c r="G84" i="114"/>
  <c r="M33" i="1"/>
  <c r="W33" i="1" s="1"/>
  <c r="G67" i="114"/>
  <c r="M28" i="1"/>
  <c r="O28" i="1" s="1"/>
  <c r="G62" i="114"/>
  <c r="M20" i="1"/>
  <c r="F20" i="1" s="1"/>
  <c r="G54" i="114"/>
  <c r="M16" i="1"/>
  <c r="W16" i="1" s="1"/>
  <c r="G50" i="114"/>
  <c r="M12" i="1"/>
  <c r="W12" i="1" s="1"/>
  <c r="G46" i="114"/>
  <c r="C11" i="27"/>
  <c r="F10" i="4"/>
  <c r="G10" i="4" s="1"/>
  <c r="E15" i="114" s="1"/>
  <c r="D56" i="103"/>
  <c r="F168" i="103"/>
  <c r="D14" i="103"/>
  <c r="C168" i="103"/>
  <c r="S109" i="1"/>
  <c r="S98" i="1"/>
  <c r="S116" i="1"/>
  <c r="S115" i="1"/>
  <c r="S118" i="1"/>
  <c r="S112" i="1"/>
  <c r="S111" i="1"/>
  <c r="S108" i="1"/>
  <c r="S103" i="1"/>
  <c r="S102" i="1"/>
  <c r="S96" i="1"/>
  <c r="S95" i="1"/>
  <c r="W95" i="1" s="1"/>
  <c r="F90" i="1"/>
  <c r="P9" i="1"/>
  <c r="C6" i="27"/>
  <c r="F5" i="4"/>
  <c r="G5" i="4" s="1"/>
  <c r="E10" i="114" s="1"/>
  <c r="E126" i="1"/>
  <c r="G126" i="1" s="1"/>
  <c r="P112" i="1"/>
  <c r="D33" i="114" s="1"/>
  <c r="P96" i="1"/>
  <c r="P99" i="1"/>
  <c r="P80" i="1"/>
  <c r="P107" i="1"/>
  <c r="D31" i="114" s="1"/>
  <c r="P103" i="1"/>
  <c r="P94" i="1"/>
  <c r="P28" i="1"/>
  <c r="AA32" i="1"/>
  <c r="P116" i="1"/>
  <c r="P114" i="1"/>
  <c r="AA72" i="1"/>
  <c r="P109" i="1"/>
  <c r="D32" i="114" s="1"/>
  <c r="D30" i="114"/>
  <c r="P101" i="1"/>
  <c r="B26" i="26"/>
  <c r="F26" i="26"/>
  <c r="I26" i="26" s="1"/>
  <c r="E12" i="32" s="1"/>
  <c r="K26" i="26"/>
  <c r="L26" i="26"/>
  <c r="L26" i="32"/>
  <c r="A23" i="4"/>
  <c r="B5" i="4"/>
  <c r="I5" i="4"/>
  <c r="F10" i="114" s="1"/>
  <c r="A24" i="4"/>
  <c r="B8" i="4"/>
  <c r="D10" i="64"/>
  <c r="L26" i="64" s="1"/>
  <c r="A28" i="4"/>
  <c r="A25" i="4"/>
  <c r="A26" i="4"/>
  <c r="A33" i="4"/>
  <c r="B4" i="4"/>
  <c r="D4" i="4"/>
  <c r="I4" i="4"/>
  <c r="F9" i="114" s="1"/>
  <c r="B7" i="4"/>
  <c r="B12" i="4"/>
  <c r="D14" i="64"/>
  <c r="L44" i="64" s="1"/>
  <c r="B13" i="4"/>
  <c r="D13" i="4"/>
  <c r="I13" i="4"/>
  <c r="F18" i="114" s="1"/>
  <c r="A20" i="4"/>
  <c r="B3" i="4"/>
  <c r="D3" i="4"/>
  <c r="I3" i="4"/>
  <c r="F8" i="114" s="1"/>
  <c r="A22" i="4"/>
  <c r="B10" i="4"/>
  <c r="A21" i="4"/>
  <c r="J11" i="4"/>
  <c r="B11" i="4"/>
  <c r="D13" i="64"/>
  <c r="L32" i="64" s="1"/>
  <c r="A27" i="4"/>
  <c r="B2" i="4"/>
  <c r="D2" i="4"/>
  <c r="D4" i="64" s="1"/>
  <c r="L35" i="64" s="1"/>
  <c r="I2" i="4"/>
  <c r="F7" i="114" s="1"/>
  <c r="M3" i="12"/>
  <c r="S3" i="12"/>
  <c r="S16" i="12"/>
  <c r="D72" i="12"/>
  <c r="S25" i="12"/>
  <c r="S24" i="12"/>
  <c r="F44" i="97"/>
  <c r="E44" i="97"/>
  <c r="D44" i="97"/>
  <c r="C44" i="97"/>
  <c r="E33" i="97"/>
  <c r="E32" i="97"/>
  <c r="E31" i="97"/>
  <c r="E30" i="97"/>
  <c r="J27" i="97"/>
  <c r="J26" i="97"/>
  <c r="J25" i="97"/>
  <c r="J24" i="97"/>
  <c r="J23" i="97"/>
  <c r="J22" i="97"/>
  <c r="J21" i="97"/>
  <c r="J20" i="97"/>
  <c r="K17" i="97"/>
  <c r="L17" i="97" s="1"/>
  <c r="O17" i="97" s="1"/>
  <c r="G17" i="97"/>
  <c r="I17" i="97" s="1"/>
  <c r="K16" i="97"/>
  <c r="L16" i="97" s="1"/>
  <c r="O16" i="97" s="1"/>
  <c r="G16" i="97"/>
  <c r="I16" i="97" s="1"/>
  <c r="K15" i="97"/>
  <c r="L15" i="97" s="1"/>
  <c r="O15" i="97" s="1"/>
  <c r="G15" i="97"/>
  <c r="I15" i="97" s="1"/>
  <c r="K14" i="97"/>
  <c r="L14" i="97" s="1"/>
  <c r="O14" i="97" s="1"/>
  <c r="G14" i="97"/>
  <c r="I14" i="97" s="1"/>
  <c r="K13" i="97"/>
  <c r="L13" i="97" s="1"/>
  <c r="O13" i="97" s="1"/>
  <c r="G13" i="97"/>
  <c r="I13" i="97" s="1"/>
  <c r="E29" i="96"/>
  <c r="E28" i="96"/>
  <c r="E27" i="96"/>
  <c r="E26" i="96"/>
  <c r="O14" i="96"/>
  <c r="O13" i="96"/>
  <c r="O12" i="96"/>
  <c r="O11" i="96"/>
  <c r="F38" i="95"/>
  <c r="E38" i="95"/>
  <c r="D38" i="95"/>
  <c r="C38" i="95"/>
  <c r="E29" i="95"/>
  <c r="E28" i="95"/>
  <c r="E27" i="95"/>
  <c r="E26" i="95"/>
  <c r="I23" i="95"/>
  <c r="I22" i="95"/>
  <c r="I21" i="95"/>
  <c r="I20" i="95"/>
  <c r="I19" i="95"/>
  <c r="I18" i="95"/>
  <c r="K14" i="95"/>
  <c r="L14" i="95" s="1"/>
  <c r="O14" i="95" s="1"/>
  <c r="G14" i="95"/>
  <c r="I14" i="95" s="1"/>
  <c r="K13" i="95"/>
  <c r="L13" i="95" s="1"/>
  <c r="O13" i="95" s="1"/>
  <c r="G13" i="95"/>
  <c r="H13" i="95" s="1"/>
  <c r="K12" i="95"/>
  <c r="L12" i="95" s="1"/>
  <c r="O12" i="95" s="1"/>
  <c r="G12" i="95"/>
  <c r="I12" i="95" s="1"/>
  <c r="K11" i="95"/>
  <c r="L11" i="95" s="1"/>
  <c r="O11" i="95" s="1"/>
  <c r="G11" i="95"/>
  <c r="H11" i="95" s="1"/>
  <c r="D36" i="92"/>
  <c r="C36" i="92"/>
  <c r="E27" i="92"/>
  <c r="E26" i="92"/>
  <c r="I23" i="92"/>
  <c r="I22" i="92"/>
  <c r="I21" i="92"/>
  <c r="I20" i="92"/>
  <c r="I19" i="92"/>
  <c r="I18" i="92"/>
  <c r="N14" i="92"/>
  <c r="K14" i="92"/>
  <c r="L14" i="92" s="1"/>
  <c r="O14" i="92" s="1"/>
  <c r="G14" i="92"/>
  <c r="H14" i="92" s="1"/>
  <c r="N13" i="92"/>
  <c r="K13" i="92"/>
  <c r="L13" i="92" s="1"/>
  <c r="O13" i="92" s="1"/>
  <c r="G13" i="92"/>
  <c r="N12" i="92"/>
  <c r="K12" i="92"/>
  <c r="L12" i="92" s="1"/>
  <c r="O12" i="92" s="1"/>
  <c r="G12" i="92"/>
  <c r="I12" i="92" s="1"/>
  <c r="N11" i="92"/>
  <c r="K11" i="92"/>
  <c r="L11" i="92" s="1"/>
  <c r="O11" i="92" s="1"/>
  <c r="G11" i="92"/>
  <c r="H11" i="92" s="1"/>
  <c r="H7" i="92"/>
  <c r="H6" i="92"/>
  <c r="H5" i="92"/>
  <c r="H4" i="92"/>
  <c r="H3" i="92"/>
  <c r="H2" i="92"/>
  <c r="D120" i="54"/>
  <c r="C120" i="54"/>
  <c r="B120" i="54"/>
  <c r="A120" i="54"/>
  <c r="D119" i="54"/>
  <c r="C119" i="54"/>
  <c r="B119" i="54"/>
  <c r="A119" i="54"/>
  <c r="D118" i="54"/>
  <c r="C118" i="54"/>
  <c r="B118" i="54"/>
  <c r="A118" i="54"/>
  <c r="D117" i="54"/>
  <c r="C117" i="54"/>
  <c r="B117" i="54"/>
  <c r="A117" i="54"/>
  <c r="D116" i="54"/>
  <c r="C116" i="54"/>
  <c r="B116" i="54"/>
  <c r="A116" i="54"/>
  <c r="D115" i="54"/>
  <c r="C115" i="54"/>
  <c r="B115" i="54"/>
  <c r="A115" i="54"/>
  <c r="D114" i="54"/>
  <c r="C114" i="54"/>
  <c r="B114" i="54"/>
  <c r="A114" i="54"/>
  <c r="D113" i="54"/>
  <c r="C113" i="54"/>
  <c r="B113" i="54"/>
  <c r="A113" i="54"/>
  <c r="D112" i="54"/>
  <c r="C112" i="54"/>
  <c r="B112" i="54"/>
  <c r="A112" i="54"/>
  <c r="D111" i="54"/>
  <c r="C111" i="54"/>
  <c r="B111" i="54"/>
  <c r="A111" i="54"/>
  <c r="D110" i="54"/>
  <c r="C110" i="54"/>
  <c r="B110" i="54"/>
  <c r="A110" i="54"/>
  <c r="D109" i="54"/>
  <c r="C109" i="54"/>
  <c r="B109" i="54"/>
  <c r="A109" i="54"/>
  <c r="D108" i="54"/>
  <c r="C108" i="54"/>
  <c r="B108" i="54"/>
  <c r="A108" i="54"/>
  <c r="M107" i="54"/>
  <c r="N107" i="54" s="1"/>
  <c r="D107" i="54"/>
  <c r="C107" i="54"/>
  <c r="B107" i="54"/>
  <c r="A107" i="54"/>
  <c r="M106" i="54"/>
  <c r="N106" i="54" s="1"/>
  <c r="D106" i="54"/>
  <c r="C106" i="54"/>
  <c r="B106" i="54"/>
  <c r="A106" i="54"/>
  <c r="M105" i="54"/>
  <c r="N105" i="54" s="1"/>
  <c r="D105" i="54"/>
  <c r="C105" i="54"/>
  <c r="B105" i="54"/>
  <c r="A105" i="54"/>
  <c r="M104" i="54"/>
  <c r="N104" i="54" s="1"/>
  <c r="D104" i="54"/>
  <c r="C104" i="54"/>
  <c r="B104" i="54"/>
  <c r="A104" i="54"/>
  <c r="M103" i="54"/>
  <c r="N103" i="54" s="1"/>
  <c r="D103" i="54"/>
  <c r="C103" i="54"/>
  <c r="B103" i="54"/>
  <c r="A103" i="54"/>
  <c r="M102" i="54"/>
  <c r="N102" i="54" s="1"/>
  <c r="D102" i="54"/>
  <c r="C102" i="54"/>
  <c r="B102" i="54"/>
  <c r="A102" i="54"/>
  <c r="M101" i="54"/>
  <c r="N101" i="54" s="1"/>
  <c r="D101" i="54"/>
  <c r="C101" i="54"/>
  <c r="B101" i="54"/>
  <c r="A101" i="54"/>
  <c r="M100" i="54"/>
  <c r="N100" i="54" s="1"/>
  <c r="D100" i="54"/>
  <c r="C100" i="54"/>
  <c r="B100" i="54"/>
  <c r="A100" i="54"/>
  <c r="M99" i="54"/>
  <c r="N99" i="54" s="1"/>
  <c r="D99" i="54"/>
  <c r="C99" i="54"/>
  <c r="B99" i="54"/>
  <c r="A99" i="54"/>
  <c r="M98" i="54"/>
  <c r="N98" i="54" s="1"/>
  <c r="D98" i="54"/>
  <c r="C98" i="54"/>
  <c r="B98" i="54"/>
  <c r="A98" i="54"/>
  <c r="M97" i="54"/>
  <c r="N97" i="54" s="1"/>
  <c r="D97" i="54"/>
  <c r="C97" i="54"/>
  <c r="B97" i="54"/>
  <c r="A97" i="54"/>
  <c r="M96" i="54"/>
  <c r="N96" i="54" s="1"/>
  <c r="D96" i="54"/>
  <c r="C96" i="54"/>
  <c r="B96" i="54"/>
  <c r="A96" i="54"/>
  <c r="D95" i="54"/>
  <c r="C95" i="54"/>
  <c r="B95" i="54"/>
  <c r="A95" i="54"/>
  <c r="D86" i="54"/>
  <c r="C86" i="54"/>
  <c r="B86" i="54"/>
  <c r="A86" i="54"/>
  <c r="D85" i="54"/>
  <c r="C85" i="54"/>
  <c r="B85" i="54"/>
  <c r="A85" i="54"/>
  <c r="D84" i="54"/>
  <c r="C84" i="54"/>
  <c r="B84" i="54"/>
  <c r="A84" i="54"/>
  <c r="D83" i="54"/>
  <c r="C83" i="54"/>
  <c r="B83" i="54"/>
  <c r="A83" i="54"/>
  <c r="D82" i="54"/>
  <c r="C82" i="54"/>
  <c r="B82" i="54"/>
  <c r="A82" i="54"/>
  <c r="D81" i="54"/>
  <c r="C81" i="54"/>
  <c r="B81" i="54"/>
  <c r="A81" i="54"/>
  <c r="D80" i="54"/>
  <c r="C80" i="54"/>
  <c r="B80" i="54"/>
  <c r="A80" i="54"/>
  <c r="D79" i="54"/>
  <c r="C79" i="54"/>
  <c r="B79" i="54"/>
  <c r="A79" i="54"/>
  <c r="D78" i="54"/>
  <c r="C78" i="54"/>
  <c r="B78" i="54"/>
  <c r="A78" i="54"/>
  <c r="D77" i="54"/>
  <c r="C77" i="54"/>
  <c r="B77" i="54"/>
  <c r="A77" i="54"/>
  <c r="D76" i="54"/>
  <c r="C76" i="54"/>
  <c r="B76" i="54"/>
  <c r="A76" i="54"/>
  <c r="D75" i="54"/>
  <c r="C75" i="54"/>
  <c r="B75" i="54"/>
  <c r="A75" i="54"/>
  <c r="D74" i="54"/>
  <c r="C74" i="54"/>
  <c r="B74" i="54"/>
  <c r="A74" i="54"/>
  <c r="D73" i="54"/>
  <c r="C73" i="54"/>
  <c r="B73" i="54"/>
  <c r="A73" i="54"/>
  <c r="D72" i="54"/>
  <c r="C72" i="54"/>
  <c r="B72" i="54"/>
  <c r="A72" i="54"/>
  <c r="D71" i="54"/>
  <c r="C71" i="54"/>
  <c r="B71" i="54"/>
  <c r="A71" i="54"/>
  <c r="D70" i="54"/>
  <c r="C70" i="54"/>
  <c r="B70" i="54"/>
  <c r="A70" i="54"/>
  <c r="D69" i="54"/>
  <c r="C69" i="54"/>
  <c r="B69" i="54"/>
  <c r="A69" i="54"/>
  <c r="Q68" i="54"/>
  <c r="R68" i="54" s="1"/>
  <c r="J68" i="54"/>
  <c r="K68" i="54" s="1"/>
  <c r="D68" i="54"/>
  <c r="C68" i="54"/>
  <c r="B68" i="54"/>
  <c r="A68" i="54"/>
  <c r="D67" i="54"/>
  <c r="C67" i="54"/>
  <c r="B67" i="54"/>
  <c r="A67" i="54"/>
  <c r="D66" i="54"/>
  <c r="C66" i="54"/>
  <c r="B66" i="54"/>
  <c r="A66" i="54"/>
  <c r="D65" i="54"/>
  <c r="C65" i="54"/>
  <c r="B65" i="54"/>
  <c r="A65" i="54"/>
  <c r="D64" i="54"/>
  <c r="C64" i="54"/>
  <c r="B64" i="54"/>
  <c r="A64" i="54"/>
  <c r="D63" i="54"/>
  <c r="C63" i="54"/>
  <c r="B63" i="54"/>
  <c r="A63" i="54"/>
  <c r="D62" i="54"/>
  <c r="C62" i="54"/>
  <c r="B62" i="54"/>
  <c r="A62" i="54"/>
  <c r="D61" i="54"/>
  <c r="C61" i="54"/>
  <c r="B61" i="54"/>
  <c r="A61" i="54"/>
  <c r="D60" i="54"/>
  <c r="C60" i="54"/>
  <c r="B60" i="54"/>
  <c r="A60" i="54"/>
  <c r="D59" i="54"/>
  <c r="C59" i="54"/>
  <c r="B59" i="54"/>
  <c r="A59" i="54"/>
  <c r="D58" i="54"/>
  <c r="C58" i="54"/>
  <c r="B58" i="54"/>
  <c r="A58" i="54"/>
  <c r="D57" i="54"/>
  <c r="C57" i="54"/>
  <c r="B57" i="54"/>
  <c r="A57" i="54"/>
  <c r="D56" i="54"/>
  <c r="C56" i="54"/>
  <c r="B56" i="54"/>
  <c r="A56" i="54"/>
  <c r="D55" i="54"/>
  <c r="D52" i="54"/>
  <c r="D53" i="54"/>
  <c r="D54" i="54"/>
  <c r="C55" i="54"/>
  <c r="B55" i="54"/>
  <c r="A55" i="54"/>
  <c r="C54" i="54"/>
  <c r="B54" i="54"/>
  <c r="A54" i="54"/>
  <c r="C53" i="54"/>
  <c r="B53" i="54"/>
  <c r="A53" i="54"/>
  <c r="C52" i="54"/>
  <c r="B52" i="54"/>
  <c r="A52" i="54"/>
  <c r="D51" i="54"/>
  <c r="C51" i="54"/>
  <c r="B51" i="54"/>
  <c r="A51" i="54"/>
  <c r="D50" i="54"/>
  <c r="C50" i="54"/>
  <c r="B50" i="54"/>
  <c r="A50" i="54"/>
  <c r="D49" i="54"/>
  <c r="C49" i="54"/>
  <c r="B49" i="54"/>
  <c r="A49" i="54"/>
  <c r="D48" i="54"/>
  <c r="C48" i="54"/>
  <c r="B48" i="54"/>
  <c r="A48" i="54"/>
  <c r="D47" i="54"/>
  <c r="C47" i="54"/>
  <c r="B47" i="54"/>
  <c r="A47" i="54"/>
  <c r="D46" i="54"/>
  <c r="C46" i="54"/>
  <c r="B46" i="54"/>
  <c r="A46" i="54"/>
  <c r="D45" i="54"/>
  <c r="C45" i="54"/>
  <c r="B45" i="54"/>
  <c r="A45" i="54"/>
  <c r="D44" i="54"/>
  <c r="C44" i="54"/>
  <c r="B44" i="54"/>
  <c r="A44" i="54"/>
  <c r="D43" i="54"/>
  <c r="C43" i="54"/>
  <c r="B43" i="54"/>
  <c r="A43" i="54"/>
  <c r="D42" i="54"/>
  <c r="C42" i="54"/>
  <c r="B42" i="54"/>
  <c r="A42" i="54"/>
  <c r="D41" i="54"/>
  <c r="C41" i="54"/>
  <c r="B41" i="54"/>
  <c r="A41" i="54"/>
  <c r="D40" i="54"/>
  <c r="C40" i="54"/>
  <c r="B40" i="54"/>
  <c r="A40" i="54"/>
  <c r="D39" i="54"/>
  <c r="C39" i="54"/>
  <c r="B39" i="54"/>
  <c r="A39" i="54"/>
  <c r="D38" i="54"/>
  <c r="C38" i="54"/>
  <c r="B38" i="54"/>
  <c r="A38" i="54"/>
  <c r="D37" i="54"/>
  <c r="C37" i="54"/>
  <c r="B37" i="54"/>
  <c r="A37" i="54"/>
  <c r="Q36" i="54"/>
  <c r="R36" i="54" s="1"/>
  <c r="N36" i="54"/>
  <c r="O36" i="54" s="1"/>
  <c r="J36" i="54"/>
  <c r="K36" i="54" s="1"/>
  <c r="D36" i="54"/>
  <c r="C36" i="54"/>
  <c r="B36" i="54"/>
  <c r="A36" i="54"/>
  <c r="D35" i="54"/>
  <c r="C35" i="54"/>
  <c r="B35" i="54"/>
  <c r="A35" i="54"/>
  <c r="D34" i="54"/>
  <c r="C34" i="54"/>
  <c r="B34" i="54"/>
  <c r="A34" i="54"/>
  <c r="D33" i="54"/>
  <c r="C33" i="54"/>
  <c r="B33" i="54"/>
  <c r="A33" i="54"/>
  <c r="D32" i="54"/>
  <c r="C32" i="54"/>
  <c r="B32" i="54"/>
  <c r="A32" i="54"/>
  <c r="D31" i="54"/>
  <c r="C31" i="54"/>
  <c r="B31" i="54"/>
  <c r="A31" i="54"/>
  <c r="D30" i="54"/>
  <c r="C30" i="54"/>
  <c r="B30" i="54"/>
  <c r="A30" i="54"/>
  <c r="D29" i="54"/>
  <c r="C29" i="54"/>
  <c r="B29" i="54"/>
  <c r="A29" i="54"/>
  <c r="D28" i="54"/>
  <c r="C28" i="54"/>
  <c r="B28" i="54"/>
  <c r="A28" i="54"/>
  <c r="D27" i="54"/>
  <c r="C27" i="54"/>
  <c r="B27" i="54"/>
  <c r="A27" i="54"/>
  <c r="D26" i="54"/>
  <c r="C26" i="54"/>
  <c r="B26" i="54"/>
  <c r="A26" i="54"/>
  <c r="D25" i="54"/>
  <c r="C25" i="54"/>
  <c r="B25" i="54"/>
  <c r="A25" i="54"/>
  <c r="Q24" i="54"/>
  <c r="R24" i="54" s="1"/>
  <c r="N24" i="54"/>
  <c r="O24" i="54" s="1"/>
  <c r="J24" i="54"/>
  <c r="K24" i="54" s="1"/>
  <c r="D24" i="54"/>
  <c r="C24" i="54"/>
  <c r="B24" i="54"/>
  <c r="A24" i="54"/>
  <c r="D23" i="54"/>
  <c r="C23" i="54"/>
  <c r="B23" i="54"/>
  <c r="A23" i="54"/>
  <c r="D22" i="54"/>
  <c r="C22" i="54"/>
  <c r="B22" i="54"/>
  <c r="A22" i="54"/>
  <c r="C21" i="54"/>
  <c r="B21" i="54"/>
  <c r="A21" i="54"/>
  <c r="D20" i="54"/>
  <c r="C20" i="54"/>
  <c r="B20" i="54"/>
  <c r="A20" i="54"/>
  <c r="D19" i="54"/>
  <c r="C19" i="54"/>
  <c r="B19" i="54"/>
  <c r="A19" i="54"/>
  <c r="D18" i="54"/>
  <c r="C18" i="54"/>
  <c r="B18" i="54"/>
  <c r="A18" i="54"/>
  <c r="D17" i="54"/>
  <c r="C17" i="54"/>
  <c r="B17" i="54"/>
  <c r="A17" i="54"/>
  <c r="Q16" i="54"/>
  <c r="R16" i="54" s="1"/>
  <c r="N16" i="54"/>
  <c r="O16" i="54" s="1"/>
  <c r="J16" i="54"/>
  <c r="K16" i="54" s="1"/>
  <c r="D16" i="54"/>
  <c r="C16" i="54"/>
  <c r="B16" i="54"/>
  <c r="A16" i="54"/>
  <c r="D15" i="54"/>
  <c r="C15" i="54"/>
  <c r="B15" i="54"/>
  <c r="A15" i="54"/>
  <c r="X14" i="54"/>
  <c r="W14" i="54"/>
  <c r="D14" i="54"/>
  <c r="C14" i="54"/>
  <c r="B14" i="54"/>
  <c r="A14" i="54"/>
  <c r="X13" i="54"/>
  <c r="W13" i="54"/>
  <c r="D13" i="54"/>
  <c r="C13" i="54"/>
  <c r="B13" i="54"/>
  <c r="A13" i="54"/>
  <c r="X12" i="54"/>
  <c r="W12" i="54"/>
  <c r="D12" i="54"/>
  <c r="C12" i="54"/>
  <c r="B12" i="54"/>
  <c r="A12" i="54"/>
  <c r="X11" i="54"/>
  <c r="W11" i="54"/>
  <c r="D11" i="54"/>
  <c r="C11" i="54"/>
  <c r="B11" i="54"/>
  <c r="A11" i="54"/>
  <c r="X10" i="54"/>
  <c r="W10" i="54"/>
  <c r="D10" i="54"/>
  <c r="C10" i="54"/>
  <c r="B10" i="54"/>
  <c r="A10" i="54"/>
  <c r="X9" i="54"/>
  <c r="W9" i="54"/>
  <c r="D9" i="54"/>
  <c r="C9" i="54"/>
  <c r="B9" i="54"/>
  <c r="A9" i="54"/>
  <c r="X8" i="54"/>
  <c r="W8" i="54"/>
  <c r="D8" i="54"/>
  <c r="C8" i="54"/>
  <c r="B8" i="54"/>
  <c r="A8" i="54"/>
  <c r="X7" i="54"/>
  <c r="W7" i="54"/>
  <c r="D7" i="54"/>
  <c r="C7" i="54"/>
  <c r="B7" i="54"/>
  <c r="A7" i="54"/>
  <c r="X6" i="54"/>
  <c r="W6" i="54"/>
  <c r="O6" i="54"/>
  <c r="D6" i="54"/>
  <c r="C6" i="54"/>
  <c r="B6" i="54"/>
  <c r="A6" i="54"/>
  <c r="X5" i="54"/>
  <c r="W5" i="54"/>
  <c r="D5" i="54"/>
  <c r="C5" i="54"/>
  <c r="B5" i="54"/>
  <c r="A5" i="54"/>
  <c r="X4" i="54"/>
  <c r="W4" i="54"/>
  <c r="C4" i="54"/>
  <c r="E4" i="54" s="1"/>
  <c r="B4" i="54"/>
  <c r="A4" i="54"/>
  <c r="X3" i="54"/>
  <c r="W3" i="54"/>
  <c r="D3" i="54"/>
  <c r="C3" i="54"/>
  <c r="B3" i="54"/>
  <c r="A3" i="54"/>
  <c r="C2" i="54"/>
  <c r="E2" i="54" s="1"/>
  <c r="F2" i="54" s="1"/>
  <c r="B2" i="54"/>
  <c r="A2" i="54"/>
  <c r="B85" i="32"/>
  <c r="B84" i="32"/>
  <c r="D70" i="32"/>
  <c r="C70" i="32"/>
  <c r="D69" i="32"/>
  <c r="D68" i="32"/>
  <c r="D67" i="32"/>
  <c r="D47" i="32"/>
  <c r="D49" i="32"/>
  <c r="D51" i="32"/>
  <c r="D53" i="32"/>
  <c r="D55" i="32"/>
  <c r="D57" i="32"/>
  <c r="D59" i="32"/>
  <c r="D61" i="32"/>
  <c r="D65" i="32"/>
  <c r="D66" i="32"/>
  <c r="E64" i="32"/>
  <c r="D64" i="32"/>
  <c r="C64" i="32"/>
  <c r="D63" i="32"/>
  <c r="D62" i="32"/>
  <c r="D60" i="32"/>
  <c r="D58" i="32"/>
  <c r="D56" i="32"/>
  <c r="D54" i="32"/>
  <c r="D52" i="32"/>
  <c r="D50" i="32"/>
  <c r="D48" i="32"/>
  <c r="D37" i="32"/>
  <c r="D36" i="32"/>
  <c r="A36" i="32"/>
  <c r="D35" i="32"/>
  <c r="D34" i="32"/>
  <c r="A34" i="32"/>
  <c r="D33" i="32"/>
  <c r="D32" i="32"/>
  <c r="A32" i="32"/>
  <c r="D31" i="32"/>
  <c r="D30" i="32"/>
  <c r="A30" i="32"/>
  <c r="D29" i="32"/>
  <c r="D28" i="32"/>
  <c r="A28" i="32"/>
  <c r="D27" i="32"/>
  <c r="O27" i="32"/>
  <c r="N27" i="32"/>
  <c r="M27" i="32"/>
  <c r="L27" i="32"/>
  <c r="D26" i="32"/>
  <c r="A26" i="32"/>
  <c r="O23" i="32"/>
  <c r="N23" i="32"/>
  <c r="M23" i="32"/>
  <c r="L23" i="32"/>
  <c r="D25" i="32"/>
  <c r="O24" i="32"/>
  <c r="N24" i="32"/>
  <c r="M24" i="32"/>
  <c r="L24" i="32"/>
  <c r="D24" i="32"/>
  <c r="A24" i="32"/>
  <c r="O26" i="32"/>
  <c r="N26" i="32"/>
  <c r="M26" i="32"/>
  <c r="O22" i="32"/>
  <c r="N22" i="32"/>
  <c r="M22" i="32"/>
  <c r="L22" i="32"/>
  <c r="D20" i="32"/>
  <c r="D19" i="32"/>
  <c r="A19" i="32"/>
  <c r="D18" i="32"/>
  <c r="D17" i="32"/>
  <c r="A17" i="32"/>
  <c r="D16" i="32"/>
  <c r="D15" i="32"/>
  <c r="A15" i="32"/>
  <c r="D14" i="32"/>
  <c r="D13" i="32"/>
  <c r="A13" i="32"/>
  <c r="D12" i="32"/>
  <c r="D11" i="32"/>
  <c r="A11" i="32"/>
  <c r="H10" i="32"/>
  <c r="D10" i="32"/>
  <c r="H9" i="32"/>
  <c r="D9" i="32"/>
  <c r="A9" i="32"/>
  <c r="D8" i="32"/>
  <c r="D7" i="32"/>
  <c r="A7" i="32"/>
  <c r="D6" i="32"/>
  <c r="D5" i="32"/>
  <c r="A5" i="32"/>
  <c r="D4" i="32"/>
  <c r="D3" i="32"/>
  <c r="A3" i="32"/>
  <c r="D113" i="26"/>
  <c r="C113" i="26"/>
  <c r="B113" i="26"/>
  <c r="D108" i="26"/>
  <c r="C108" i="26"/>
  <c r="C107" i="26"/>
  <c r="B107" i="26"/>
  <c r="C106" i="26"/>
  <c r="B106" i="26"/>
  <c r="G97" i="26"/>
  <c r="H102" i="26" s="1"/>
  <c r="E97" i="26"/>
  <c r="C102" i="26" s="1"/>
  <c r="G95" i="26"/>
  <c r="C97" i="26"/>
  <c r="G96" i="26"/>
  <c r="H101" i="26" s="1"/>
  <c r="E96" i="26"/>
  <c r="C101" i="26" s="1"/>
  <c r="C96" i="26"/>
  <c r="C95" i="26"/>
  <c r="E95" i="26"/>
  <c r="C100" i="26" s="1"/>
  <c r="G94" i="26"/>
  <c r="E94" i="26"/>
  <c r="C99" i="26" s="1"/>
  <c r="C94" i="26"/>
  <c r="F87" i="26"/>
  <c r="B68" i="26"/>
  <c r="B69" i="26"/>
  <c r="K69" i="26" s="1"/>
  <c r="B70" i="26"/>
  <c r="K70" i="26" s="1"/>
  <c r="B71" i="26"/>
  <c r="B72" i="26"/>
  <c r="K72" i="26" s="1"/>
  <c r="B73" i="26"/>
  <c r="K73" i="26" s="1"/>
  <c r="B75" i="26"/>
  <c r="K75" i="26" s="1"/>
  <c r="B76" i="26"/>
  <c r="K76" i="26" s="1"/>
  <c r="B78" i="26"/>
  <c r="K78" i="26" s="1"/>
  <c r="B80" i="26"/>
  <c r="K80" i="26" s="1"/>
  <c r="B81" i="26"/>
  <c r="K81" i="26" s="1"/>
  <c r="C87" i="26"/>
  <c r="C85" i="26"/>
  <c r="B83" i="26"/>
  <c r="B85" i="26" s="1"/>
  <c r="C60" i="32"/>
  <c r="L39" i="26"/>
  <c r="K39" i="26"/>
  <c r="F39" i="26"/>
  <c r="I39" i="26" s="1"/>
  <c r="E33" i="32" s="1"/>
  <c r="B39" i="26"/>
  <c r="L38" i="26"/>
  <c r="K38" i="26"/>
  <c r="I38" i="26"/>
  <c r="E31" i="32" s="1"/>
  <c r="B38" i="26"/>
  <c r="L37" i="26"/>
  <c r="K37" i="26"/>
  <c r="F37" i="26"/>
  <c r="C29" i="32" s="1"/>
  <c r="B37" i="26"/>
  <c r="E37" i="26" s="1"/>
  <c r="L42" i="26"/>
  <c r="C118" i="26" s="1"/>
  <c r="K42" i="26"/>
  <c r="F42" i="26"/>
  <c r="C37" i="32" s="1"/>
  <c r="B42" i="26"/>
  <c r="L41" i="26"/>
  <c r="C117" i="26" s="1"/>
  <c r="K41" i="26"/>
  <c r="F41" i="26"/>
  <c r="C35" i="32" s="1"/>
  <c r="B41" i="26"/>
  <c r="K36" i="26"/>
  <c r="H36" i="26"/>
  <c r="F45" i="26" s="1"/>
  <c r="L25" i="26"/>
  <c r="C115" i="26" s="1"/>
  <c r="K25" i="26"/>
  <c r="I25" i="26"/>
  <c r="E25" i="32" s="1"/>
  <c r="B25" i="26"/>
  <c r="L35" i="26"/>
  <c r="C114" i="26" s="1"/>
  <c r="K35" i="26"/>
  <c r="F35" i="26"/>
  <c r="C27" i="32" s="1"/>
  <c r="B35" i="26"/>
  <c r="L40" i="26"/>
  <c r="K40" i="26"/>
  <c r="F40" i="26"/>
  <c r="C20" i="32" s="1"/>
  <c r="B40" i="26"/>
  <c r="L28" i="26"/>
  <c r="K28" i="26"/>
  <c r="C18" i="32"/>
  <c r="B28" i="26"/>
  <c r="L27" i="26"/>
  <c r="K27" i="26"/>
  <c r="F27" i="26"/>
  <c r="C10" i="32" s="1"/>
  <c r="B27" i="26"/>
  <c r="L34" i="26"/>
  <c r="K34" i="26"/>
  <c r="F34" i="26"/>
  <c r="I34" i="26" s="1"/>
  <c r="E8" i="32" s="1"/>
  <c r="B34" i="26"/>
  <c r="L33" i="26"/>
  <c r="K33" i="26"/>
  <c r="F33" i="26"/>
  <c r="B33" i="26"/>
  <c r="L23" i="26"/>
  <c r="K23" i="26"/>
  <c r="F23" i="26"/>
  <c r="C16" i="32" s="1"/>
  <c r="B23" i="26"/>
  <c r="L24" i="26"/>
  <c r="K24" i="26"/>
  <c r="I24" i="26"/>
  <c r="E14" i="32" s="1"/>
  <c r="B24" i="26"/>
  <c r="L22" i="26"/>
  <c r="K22" i="26"/>
  <c r="F22" i="26"/>
  <c r="B22" i="26"/>
  <c r="P17" i="26"/>
  <c r="O17" i="26"/>
  <c r="N17" i="26"/>
  <c r="M17" i="26"/>
  <c r="H17" i="26"/>
  <c r="P16" i="26"/>
  <c r="O16" i="26"/>
  <c r="N16" i="26"/>
  <c r="M16" i="26"/>
  <c r="H16" i="26"/>
  <c r="P15" i="26"/>
  <c r="O15" i="26"/>
  <c r="N15" i="26"/>
  <c r="M15" i="26"/>
  <c r="H15" i="26"/>
  <c r="P14" i="26"/>
  <c r="O14" i="26"/>
  <c r="N14" i="26"/>
  <c r="M14" i="26"/>
  <c r="P13" i="26"/>
  <c r="O13" i="26"/>
  <c r="N13" i="26"/>
  <c r="M13" i="26"/>
  <c r="H13" i="26"/>
  <c r="P12" i="26"/>
  <c r="O12" i="26"/>
  <c r="N12" i="26"/>
  <c r="M12" i="26"/>
  <c r="H12" i="26"/>
  <c r="P11" i="26"/>
  <c r="O11" i="26"/>
  <c r="N11" i="26"/>
  <c r="M11" i="26"/>
  <c r="H11" i="26"/>
  <c r="P10" i="26"/>
  <c r="O10" i="26"/>
  <c r="N10" i="26"/>
  <c r="M10" i="26"/>
  <c r="H10" i="26"/>
  <c r="P9" i="26"/>
  <c r="O9" i="26"/>
  <c r="N9" i="26"/>
  <c r="M9" i="26"/>
  <c r="H9" i="26"/>
  <c r="P8" i="26"/>
  <c r="O8" i="26"/>
  <c r="N8" i="26"/>
  <c r="M8" i="26"/>
  <c r="P7" i="26"/>
  <c r="O7" i="26"/>
  <c r="N7" i="26"/>
  <c r="M7" i="26"/>
  <c r="H7" i="26"/>
  <c r="P6" i="26"/>
  <c r="O6" i="26"/>
  <c r="N6" i="26"/>
  <c r="M6" i="26"/>
  <c r="H6" i="26"/>
  <c r="P5" i="26"/>
  <c r="O5" i="26"/>
  <c r="N5" i="26"/>
  <c r="M5" i="26"/>
  <c r="H5" i="26"/>
  <c r="P4" i="26"/>
  <c r="O4" i="26"/>
  <c r="N4" i="26"/>
  <c r="M4" i="26"/>
  <c r="H4" i="26"/>
  <c r="P3" i="26"/>
  <c r="O3" i="26"/>
  <c r="N3" i="26"/>
  <c r="M3" i="26"/>
  <c r="H3" i="26"/>
  <c r="P2" i="26"/>
  <c r="O2" i="26"/>
  <c r="N2" i="26"/>
  <c r="M2" i="26"/>
  <c r="H2" i="26"/>
  <c r="F75" i="64"/>
  <c r="B75" i="64"/>
  <c r="G59" i="64"/>
  <c r="F59" i="64"/>
  <c r="D59" i="64"/>
  <c r="B59" i="64"/>
  <c r="F40" i="64"/>
  <c r="E40" i="64"/>
  <c r="B40" i="64"/>
  <c r="F39" i="64"/>
  <c r="E39" i="64"/>
  <c r="B39" i="64"/>
  <c r="C34" i="64"/>
  <c r="D34" i="64" s="1"/>
  <c r="C33" i="64"/>
  <c r="D33" i="64" s="1"/>
  <c r="C31" i="64"/>
  <c r="D31" i="64" s="1"/>
  <c r="C26" i="64"/>
  <c r="D26" i="64" s="1"/>
  <c r="G20" i="64"/>
  <c r="F20" i="64"/>
  <c r="G19" i="64"/>
  <c r="F19" i="64"/>
  <c r="G18" i="64"/>
  <c r="F18" i="64"/>
  <c r="B107" i="13"/>
  <c r="E107" i="13" s="1"/>
  <c r="B106" i="13"/>
  <c r="E106" i="13" s="1"/>
  <c r="B105" i="13"/>
  <c r="E105" i="13" s="1"/>
  <c r="B104" i="13"/>
  <c r="E104" i="13" s="1"/>
  <c r="B103" i="13"/>
  <c r="E103" i="13" s="1"/>
  <c r="B100" i="13"/>
  <c r="E100" i="13" s="1"/>
  <c r="B86" i="13"/>
  <c r="E86" i="13" s="1"/>
  <c r="B84" i="13"/>
  <c r="E84" i="13" s="1"/>
  <c r="B83" i="13"/>
  <c r="E83" i="13" s="1"/>
  <c r="B81" i="13"/>
  <c r="E81" i="13" s="1"/>
  <c r="B78" i="13"/>
  <c r="E78" i="13" s="1"/>
  <c r="B77" i="13"/>
  <c r="E77" i="13" s="1"/>
  <c r="E75" i="13"/>
  <c r="E74" i="13"/>
  <c r="B73" i="13"/>
  <c r="E73" i="13" s="1"/>
  <c r="B70" i="13"/>
  <c r="E70" i="13" s="1"/>
  <c r="B68" i="13"/>
  <c r="E68" i="13" s="1"/>
  <c r="B67" i="13"/>
  <c r="E67" i="13" s="1"/>
  <c r="B65" i="13"/>
  <c r="E65" i="13" s="1"/>
  <c r="B62" i="13"/>
  <c r="E62" i="13" s="1"/>
  <c r="B61" i="13"/>
  <c r="E61" i="13" s="1"/>
  <c r="E59" i="13"/>
  <c r="E58" i="13"/>
  <c r="B57" i="13"/>
  <c r="E57" i="13" s="1"/>
  <c r="B54" i="13"/>
  <c r="E54" i="13" s="1"/>
  <c r="B53" i="13"/>
  <c r="E53" i="13" s="1"/>
  <c r="B50" i="13"/>
  <c r="E50" i="13" s="1"/>
  <c r="B48" i="13"/>
  <c r="E48" i="13" s="1"/>
  <c r="B47" i="13"/>
  <c r="E47" i="13" s="1"/>
  <c r="B46" i="13"/>
  <c r="E46" i="13" s="1"/>
  <c r="B44" i="13"/>
  <c r="E44" i="13" s="1"/>
  <c r="B43" i="13"/>
  <c r="E43" i="13" s="1"/>
  <c r="X41" i="13"/>
  <c r="B41" i="13"/>
  <c r="E41" i="13" s="1"/>
  <c r="Y40" i="13"/>
  <c r="Y39" i="13"/>
  <c r="E250" i="4"/>
  <c r="C250" i="4"/>
  <c r="E249" i="4"/>
  <c r="C249" i="4"/>
  <c r="E248" i="4"/>
  <c r="C248" i="4"/>
  <c r="E247" i="4"/>
  <c r="D247" i="4"/>
  <c r="C247" i="4"/>
  <c r="E246" i="4"/>
  <c r="D246" i="4"/>
  <c r="C246" i="4"/>
  <c r="E245" i="4"/>
  <c r="D245" i="4"/>
  <c r="C245" i="4"/>
  <c r="F243" i="4"/>
  <c r="C243" i="4"/>
  <c r="D243" i="4" s="1"/>
  <c r="B243" i="4"/>
  <c r="A243" i="4"/>
  <c r="F242" i="4"/>
  <c r="C242" i="4"/>
  <c r="B242" i="4"/>
  <c r="A242" i="4"/>
  <c r="F241" i="4"/>
  <c r="C241" i="4"/>
  <c r="D241" i="4" s="1"/>
  <c r="B241" i="4"/>
  <c r="A241" i="4"/>
  <c r="F240" i="4"/>
  <c r="C240" i="4"/>
  <c r="D240" i="4" s="1"/>
  <c r="B240" i="4"/>
  <c r="A240" i="4"/>
  <c r="F239" i="4"/>
  <c r="C239" i="4"/>
  <c r="D239" i="4" s="1"/>
  <c r="B239" i="4"/>
  <c r="A239" i="4"/>
  <c r="F238" i="4"/>
  <c r="C238" i="4"/>
  <c r="D238" i="4" s="1"/>
  <c r="B238" i="4"/>
  <c r="A238" i="4"/>
  <c r="F237" i="4"/>
  <c r="C237" i="4"/>
  <c r="D237" i="4" s="1"/>
  <c r="B237" i="4"/>
  <c r="A237" i="4"/>
  <c r="F236" i="4"/>
  <c r="C236" i="4"/>
  <c r="D236" i="4" s="1"/>
  <c r="B236" i="4"/>
  <c r="A236" i="4"/>
  <c r="F235" i="4"/>
  <c r="C235" i="4"/>
  <c r="D235" i="4" s="1"/>
  <c r="B235" i="4"/>
  <c r="A235" i="4"/>
  <c r="F234" i="4"/>
  <c r="C234" i="4"/>
  <c r="D234" i="4" s="1"/>
  <c r="B234" i="4"/>
  <c r="A234" i="4"/>
  <c r="F233" i="4"/>
  <c r="C233" i="4"/>
  <c r="D233" i="4" s="1"/>
  <c r="B233" i="4"/>
  <c r="A233" i="4"/>
  <c r="F232" i="4"/>
  <c r="C232" i="4"/>
  <c r="D232" i="4" s="1"/>
  <c r="B232" i="4"/>
  <c r="A232" i="4"/>
  <c r="F231" i="4"/>
  <c r="C231" i="4"/>
  <c r="D231" i="4" s="1"/>
  <c r="B231" i="4"/>
  <c r="A231" i="4"/>
  <c r="F230" i="4"/>
  <c r="C230" i="4"/>
  <c r="B230" i="4"/>
  <c r="A230" i="4"/>
  <c r="F229" i="4"/>
  <c r="C229" i="4"/>
  <c r="D229" i="4" s="1"/>
  <c r="B229" i="4"/>
  <c r="A229" i="4"/>
  <c r="F228" i="4"/>
  <c r="C228" i="4"/>
  <c r="D228" i="4" s="1"/>
  <c r="B228" i="4"/>
  <c r="A228" i="4"/>
  <c r="F227" i="4"/>
  <c r="C227" i="4"/>
  <c r="D227" i="4" s="1"/>
  <c r="B227" i="4"/>
  <c r="A227" i="4"/>
  <c r="F226" i="4"/>
  <c r="C226" i="4"/>
  <c r="D226" i="4" s="1"/>
  <c r="B226" i="4"/>
  <c r="A226" i="4"/>
  <c r="F225" i="4"/>
  <c r="C225" i="4"/>
  <c r="D225" i="4" s="1"/>
  <c r="B225" i="4"/>
  <c r="A225" i="4"/>
  <c r="F224" i="4"/>
  <c r="C224" i="4"/>
  <c r="D224" i="4" s="1"/>
  <c r="B224" i="4"/>
  <c r="A224" i="4"/>
  <c r="F223" i="4"/>
  <c r="C223" i="4"/>
  <c r="D223" i="4" s="1"/>
  <c r="B223" i="4"/>
  <c r="A223" i="4"/>
  <c r="F222" i="4"/>
  <c r="C222" i="4"/>
  <c r="D222" i="4" s="1"/>
  <c r="B222" i="4"/>
  <c r="A222" i="4"/>
  <c r="F221" i="4"/>
  <c r="C221" i="4"/>
  <c r="D221" i="4" s="1"/>
  <c r="B221" i="4"/>
  <c r="A221" i="4"/>
  <c r="F220" i="4"/>
  <c r="C220" i="4"/>
  <c r="D220" i="4" s="1"/>
  <c r="B220" i="4"/>
  <c r="A220" i="4"/>
  <c r="F219" i="4"/>
  <c r="B219" i="4"/>
  <c r="A219" i="4"/>
  <c r="F218" i="4"/>
  <c r="C218" i="4"/>
  <c r="D218" i="4" s="1"/>
  <c r="B218" i="4"/>
  <c r="A218" i="4"/>
  <c r="F217" i="4"/>
  <c r="C217" i="4"/>
  <c r="D217" i="4" s="1"/>
  <c r="B217" i="4"/>
  <c r="A217" i="4"/>
  <c r="F216" i="4"/>
  <c r="C216" i="4"/>
  <c r="D216" i="4" s="1"/>
  <c r="B216" i="4"/>
  <c r="A216" i="4"/>
  <c r="F215" i="4"/>
  <c r="C215" i="4"/>
  <c r="B215" i="4"/>
  <c r="A215" i="4"/>
  <c r="F211" i="4"/>
  <c r="C211" i="4"/>
  <c r="D211" i="4" s="1"/>
  <c r="B211" i="4"/>
  <c r="A211" i="4"/>
  <c r="F210" i="4"/>
  <c r="C210" i="4"/>
  <c r="D210" i="4" s="1"/>
  <c r="B210" i="4"/>
  <c r="A210" i="4"/>
  <c r="F209" i="4"/>
  <c r="C209" i="4"/>
  <c r="D209" i="4" s="1"/>
  <c r="B209" i="4"/>
  <c r="A209" i="4"/>
  <c r="F208" i="4"/>
  <c r="C208" i="4"/>
  <c r="D208" i="4" s="1"/>
  <c r="B208" i="4"/>
  <c r="A208" i="4"/>
  <c r="F207" i="4"/>
  <c r="C207" i="4"/>
  <c r="D207" i="4" s="1"/>
  <c r="B207" i="4"/>
  <c r="A207" i="4"/>
  <c r="F206" i="4"/>
  <c r="C206" i="4"/>
  <c r="D206" i="4" s="1"/>
  <c r="B206" i="4"/>
  <c r="A206" i="4"/>
  <c r="F205" i="4"/>
  <c r="C205" i="4"/>
  <c r="D205" i="4" s="1"/>
  <c r="B205" i="4"/>
  <c r="A205" i="4"/>
  <c r="F204" i="4"/>
  <c r="C204" i="4"/>
  <c r="D204" i="4" s="1"/>
  <c r="B204" i="4"/>
  <c r="A204" i="4"/>
  <c r="F203" i="4"/>
  <c r="C203" i="4"/>
  <c r="D203" i="4" s="1"/>
  <c r="B203" i="4"/>
  <c r="A203" i="4"/>
  <c r="F202" i="4"/>
  <c r="C202" i="4"/>
  <c r="D202" i="4" s="1"/>
  <c r="B202" i="4"/>
  <c r="A202" i="4"/>
  <c r="F201" i="4"/>
  <c r="C201" i="4"/>
  <c r="D201" i="4" s="1"/>
  <c r="B201" i="4"/>
  <c r="A201" i="4"/>
  <c r="F200" i="4"/>
  <c r="C200" i="4"/>
  <c r="D200" i="4" s="1"/>
  <c r="B200" i="4"/>
  <c r="A200" i="4"/>
  <c r="F199" i="4"/>
  <c r="C199" i="4"/>
  <c r="D199" i="4" s="1"/>
  <c r="B199" i="4"/>
  <c r="A199" i="4"/>
  <c r="F198" i="4"/>
  <c r="C198" i="4"/>
  <c r="D198" i="4" s="1"/>
  <c r="B198" i="4"/>
  <c r="A198" i="4"/>
  <c r="F197" i="4"/>
  <c r="C197" i="4"/>
  <c r="D197" i="4" s="1"/>
  <c r="B197" i="4"/>
  <c r="A197" i="4"/>
  <c r="F196" i="4"/>
  <c r="C196" i="4"/>
  <c r="D196" i="4" s="1"/>
  <c r="B196" i="4"/>
  <c r="A196" i="4"/>
  <c r="F195" i="4"/>
  <c r="C195" i="4"/>
  <c r="D195" i="4" s="1"/>
  <c r="B195" i="4"/>
  <c r="A195" i="4"/>
  <c r="F194" i="4"/>
  <c r="C194" i="4"/>
  <c r="D194" i="4" s="1"/>
  <c r="B194" i="4"/>
  <c r="A194" i="4"/>
  <c r="F193" i="4"/>
  <c r="C193" i="4"/>
  <c r="D193" i="4" s="1"/>
  <c r="B193" i="4"/>
  <c r="A193" i="4"/>
  <c r="F192" i="4"/>
  <c r="C192" i="4"/>
  <c r="D192" i="4" s="1"/>
  <c r="B192" i="4"/>
  <c r="A192" i="4"/>
  <c r="F191" i="4"/>
  <c r="C191" i="4"/>
  <c r="D191" i="4" s="1"/>
  <c r="B191" i="4"/>
  <c r="A191" i="4"/>
  <c r="F190" i="4"/>
  <c r="C190" i="4"/>
  <c r="D190" i="4" s="1"/>
  <c r="B190" i="4"/>
  <c r="A190" i="4"/>
  <c r="F189" i="4"/>
  <c r="C189" i="4"/>
  <c r="D189" i="4" s="1"/>
  <c r="B189" i="4"/>
  <c r="A189" i="4"/>
  <c r="F188" i="4"/>
  <c r="C188" i="4"/>
  <c r="D188" i="4" s="1"/>
  <c r="B188" i="4"/>
  <c r="A188" i="4"/>
  <c r="F187" i="4"/>
  <c r="C187" i="4"/>
  <c r="D187" i="4" s="1"/>
  <c r="B187" i="4"/>
  <c r="A187" i="4"/>
  <c r="F186" i="4"/>
  <c r="C186" i="4"/>
  <c r="D186" i="4" s="1"/>
  <c r="B186" i="4"/>
  <c r="A186" i="4"/>
  <c r="F181" i="4"/>
  <c r="C181" i="4"/>
  <c r="D181" i="4" s="1"/>
  <c r="B181" i="4"/>
  <c r="A181" i="4"/>
  <c r="F180" i="4"/>
  <c r="C180" i="4"/>
  <c r="D180" i="4" s="1"/>
  <c r="B180" i="4"/>
  <c r="A180" i="4"/>
  <c r="F179" i="4"/>
  <c r="C179" i="4"/>
  <c r="D179" i="4" s="1"/>
  <c r="B179" i="4"/>
  <c r="A179" i="4"/>
  <c r="F178" i="4"/>
  <c r="C178" i="4"/>
  <c r="D178" i="4" s="1"/>
  <c r="B178" i="4"/>
  <c r="A178" i="4"/>
  <c r="F177" i="4"/>
  <c r="C177" i="4"/>
  <c r="D177" i="4" s="1"/>
  <c r="B177" i="4"/>
  <c r="A177" i="4"/>
  <c r="F176" i="4"/>
  <c r="C176" i="4"/>
  <c r="D176" i="4" s="1"/>
  <c r="B176" i="4"/>
  <c r="A176" i="4"/>
  <c r="F175" i="4"/>
  <c r="B175" i="4"/>
  <c r="A175" i="4"/>
  <c r="F174" i="4"/>
  <c r="B174" i="4"/>
  <c r="A174" i="4"/>
  <c r="F173" i="4"/>
  <c r="B173" i="4"/>
  <c r="A173" i="4"/>
  <c r="F172" i="4"/>
  <c r="B172" i="4"/>
  <c r="A172" i="4"/>
  <c r="F171" i="4"/>
  <c r="B171" i="4"/>
  <c r="A171" i="4"/>
  <c r="F170" i="4"/>
  <c r="B170" i="4"/>
  <c r="A170" i="4"/>
  <c r="F169" i="4"/>
  <c r="C169" i="4"/>
  <c r="D169" i="4" s="1"/>
  <c r="B169" i="4"/>
  <c r="A169" i="4"/>
  <c r="F168" i="4"/>
  <c r="C168" i="4"/>
  <c r="D168" i="4" s="1"/>
  <c r="B168" i="4"/>
  <c r="A168" i="4"/>
  <c r="F167" i="4"/>
  <c r="C167" i="4"/>
  <c r="D167" i="4" s="1"/>
  <c r="B167" i="4"/>
  <c r="A167" i="4"/>
  <c r="F166" i="4"/>
  <c r="C166" i="4"/>
  <c r="D166" i="4" s="1"/>
  <c r="B166" i="4"/>
  <c r="A166" i="4"/>
  <c r="F165" i="4"/>
  <c r="C165" i="4"/>
  <c r="D165" i="4" s="1"/>
  <c r="B165" i="4"/>
  <c r="A165" i="4"/>
  <c r="F164" i="4"/>
  <c r="C164" i="4"/>
  <c r="D164" i="4" s="1"/>
  <c r="B164" i="4"/>
  <c r="A164" i="4"/>
  <c r="F163" i="4"/>
  <c r="C163" i="4"/>
  <c r="D163" i="4" s="1"/>
  <c r="B163" i="4"/>
  <c r="A163" i="4"/>
  <c r="F162" i="4"/>
  <c r="C162" i="4"/>
  <c r="D162" i="4" s="1"/>
  <c r="B162" i="4"/>
  <c r="A162" i="4"/>
  <c r="F161" i="4"/>
  <c r="C161" i="4"/>
  <c r="D161" i="4" s="1"/>
  <c r="B161" i="4"/>
  <c r="F160" i="4"/>
  <c r="C160" i="4"/>
  <c r="D160" i="4" s="1"/>
  <c r="B160" i="4"/>
  <c r="A160" i="4"/>
  <c r="F159" i="4"/>
  <c r="C159" i="4"/>
  <c r="D159" i="4" s="1"/>
  <c r="B159" i="4"/>
  <c r="A159" i="4"/>
  <c r="F158" i="4"/>
  <c r="C158" i="4"/>
  <c r="D158" i="4" s="1"/>
  <c r="B158" i="4"/>
  <c r="A158" i="4"/>
  <c r="F157" i="4"/>
  <c r="C157" i="4"/>
  <c r="D157" i="4" s="1"/>
  <c r="B157" i="4"/>
  <c r="A157" i="4"/>
  <c r="F156" i="4"/>
  <c r="C156" i="4"/>
  <c r="D156" i="4" s="1"/>
  <c r="B156" i="4"/>
  <c r="A156" i="4"/>
  <c r="E148" i="4"/>
  <c r="B148" i="4"/>
  <c r="E147" i="4"/>
  <c r="B147" i="4"/>
  <c r="E146" i="4"/>
  <c r="B146" i="4"/>
  <c r="A146" i="4"/>
  <c r="E145" i="4"/>
  <c r="B145" i="4"/>
  <c r="A145" i="4"/>
  <c r="E144" i="4"/>
  <c r="B144" i="4"/>
  <c r="E143" i="4"/>
  <c r="B143" i="4"/>
  <c r="A143" i="4"/>
  <c r="E142" i="4"/>
  <c r="B142" i="4"/>
  <c r="E141" i="4"/>
  <c r="B141" i="4"/>
  <c r="E140" i="4"/>
  <c r="B140" i="4"/>
  <c r="A140" i="4"/>
  <c r="E139" i="4"/>
  <c r="B139" i="4"/>
  <c r="A139" i="4"/>
  <c r="E138" i="4"/>
  <c r="B138" i="4"/>
  <c r="A138" i="4"/>
  <c r="E137" i="4"/>
  <c r="B137" i="4"/>
  <c r="A137" i="4"/>
  <c r="E136" i="4"/>
  <c r="B136" i="4"/>
  <c r="A136" i="4"/>
  <c r="E135" i="4"/>
  <c r="B135" i="4"/>
  <c r="A135" i="4"/>
  <c r="E134" i="4"/>
  <c r="B134" i="4"/>
  <c r="A134" i="4"/>
  <c r="E133" i="4"/>
  <c r="B133" i="4"/>
  <c r="A133" i="4"/>
  <c r="E132" i="4"/>
  <c r="B132" i="4"/>
  <c r="A132" i="4"/>
  <c r="E131" i="4"/>
  <c r="B131" i="4"/>
  <c r="A131" i="4"/>
  <c r="E130" i="4"/>
  <c r="B130" i="4"/>
  <c r="A130" i="4"/>
  <c r="E129" i="4"/>
  <c r="B129" i="4"/>
  <c r="A129" i="4"/>
  <c r="E128" i="4"/>
  <c r="B128" i="4"/>
  <c r="A128" i="4"/>
  <c r="E127" i="4"/>
  <c r="B127" i="4"/>
  <c r="E126" i="4"/>
  <c r="B126" i="4"/>
  <c r="E125" i="4"/>
  <c r="B125" i="4"/>
  <c r="A125" i="4"/>
  <c r="E124" i="4"/>
  <c r="B124" i="4"/>
  <c r="A124" i="4"/>
  <c r="E123" i="4"/>
  <c r="B123" i="4"/>
  <c r="E122" i="4"/>
  <c r="B122" i="4"/>
  <c r="E121" i="4"/>
  <c r="B121" i="4"/>
  <c r="E120" i="4"/>
  <c r="B120" i="4"/>
  <c r="A120" i="4"/>
  <c r="E119" i="4"/>
  <c r="B119" i="4"/>
  <c r="A119" i="4"/>
  <c r="E118" i="4"/>
  <c r="B118" i="4"/>
  <c r="A118" i="4"/>
  <c r="E117" i="4"/>
  <c r="B117" i="4"/>
  <c r="A117" i="4"/>
  <c r="C79" i="4"/>
  <c r="I12" i="114" s="1"/>
  <c r="D31" i="4"/>
  <c r="C78" i="4"/>
  <c r="I11" i="114" s="1"/>
  <c r="D30" i="4"/>
  <c r="C77" i="4"/>
  <c r="I10" i="114" s="1"/>
  <c r="A70" i="4"/>
  <c r="A69" i="4"/>
  <c r="A68" i="4"/>
  <c r="A67" i="4"/>
  <c r="A66" i="4"/>
  <c r="A65" i="4"/>
  <c r="A64" i="4"/>
  <c r="A63" i="4"/>
  <c r="A62" i="4"/>
  <c r="A61" i="4"/>
  <c r="D56" i="4"/>
  <c r="D70" i="4" s="1"/>
  <c r="I55" i="4"/>
  <c r="D55" i="4"/>
  <c r="D69" i="4" s="1"/>
  <c r="I54" i="4"/>
  <c r="D54" i="4"/>
  <c r="D68" i="4" s="1"/>
  <c r="I53" i="4"/>
  <c r="D53" i="4"/>
  <c r="D67" i="4" s="1"/>
  <c r="I52" i="4"/>
  <c r="D52" i="4"/>
  <c r="D66" i="4" s="1"/>
  <c r="I51" i="4"/>
  <c r="D51" i="4"/>
  <c r="D65" i="4" s="1"/>
  <c r="D50" i="4"/>
  <c r="D64" i="4" s="1"/>
  <c r="I49" i="4"/>
  <c r="D49" i="4"/>
  <c r="D63" i="4" s="1"/>
  <c r="I47" i="4"/>
  <c r="D47" i="4"/>
  <c r="I48" i="4"/>
  <c r="D48" i="4"/>
  <c r="D61" i="4" s="1"/>
  <c r="I46" i="4"/>
  <c r="D46" i="4"/>
  <c r="D60" i="4" s="1"/>
  <c r="A35" i="4"/>
  <c r="A34" i="4"/>
  <c r="A84" i="4"/>
  <c r="A29" i="4"/>
  <c r="H16" i="4"/>
  <c r="I15" i="4"/>
  <c r="F20" i="114" s="1"/>
  <c r="D15" i="4"/>
  <c r="D17" i="64" s="1"/>
  <c r="M18" i="64" s="1"/>
  <c r="I14" i="4"/>
  <c r="F19" i="114" s="1"/>
  <c r="D14" i="4"/>
  <c r="I9" i="4"/>
  <c r="F14" i="114" s="1"/>
  <c r="D9" i="4"/>
  <c r="D11" i="64" s="1"/>
  <c r="M12" i="64" s="1"/>
  <c r="I6" i="4"/>
  <c r="F11" i="114" s="1"/>
  <c r="D6" i="4"/>
  <c r="D29" i="4" s="1"/>
  <c r="F101" i="27"/>
  <c r="E101" i="27"/>
  <c r="D101" i="27"/>
  <c r="C101" i="27"/>
  <c r="B101" i="27"/>
  <c r="A101" i="27"/>
  <c r="F100" i="27"/>
  <c r="E100" i="27"/>
  <c r="D100" i="27"/>
  <c r="C100" i="27"/>
  <c r="B100" i="27"/>
  <c r="A100" i="27"/>
  <c r="F99" i="27"/>
  <c r="E99" i="27"/>
  <c r="D99" i="27"/>
  <c r="C99" i="27"/>
  <c r="B99" i="27"/>
  <c r="A99" i="27"/>
  <c r="F98" i="27"/>
  <c r="E98" i="27"/>
  <c r="D98" i="27"/>
  <c r="C98" i="27"/>
  <c r="B98" i="27"/>
  <c r="A98" i="27"/>
  <c r="F97" i="27"/>
  <c r="E97" i="27"/>
  <c r="D97" i="27"/>
  <c r="C97" i="27"/>
  <c r="B97" i="27"/>
  <c r="A97" i="27"/>
  <c r="F96" i="27"/>
  <c r="E96" i="27"/>
  <c r="D96" i="27"/>
  <c r="C96" i="27"/>
  <c r="B96" i="27"/>
  <c r="A96" i="27"/>
  <c r="F95" i="27"/>
  <c r="E95" i="27"/>
  <c r="D95" i="27"/>
  <c r="C95" i="27"/>
  <c r="B95" i="27"/>
  <c r="A95" i="27"/>
  <c r="F94" i="27"/>
  <c r="E94" i="27"/>
  <c r="D94" i="27"/>
  <c r="C94" i="27"/>
  <c r="B94" i="27"/>
  <c r="A94" i="27"/>
  <c r="E93" i="27"/>
  <c r="F93" i="27"/>
  <c r="D93" i="27"/>
  <c r="C93" i="27"/>
  <c r="B93" i="27"/>
  <c r="A93" i="27"/>
  <c r="F92" i="27"/>
  <c r="E92" i="27"/>
  <c r="D92" i="27"/>
  <c r="C92" i="27"/>
  <c r="B92" i="27"/>
  <c r="A92" i="27"/>
  <c r="F91" i="27"/>
  <c r="E91" i="27"/>
  <c r="D91" i="27"/>
  <c r="C91" i="27"/>
  <c r="B91" i="27"/>
  <c r="A91" i="27"/>
  <c r="F90" i="27"/>
  <c r="E90" i="27"/>
  <c r="D90" i="27"/>
  <c r="C90" i="27"/>
  <c r="B90" i="27"/>
  <c r="A90" i="27"/>
  <c r="F89" i="27"/>
  <c r="E89" i="27"/>
  <c r="D89" i="27"/>
  <c r="C89" i="27"/>
  <c r="B89" i="27"/>
  <c r="A89" i="27"/>
  <c r="F88" i="27"/>
  <c r="E88" i="27"/>
  <c r="D88" i="27"/>
  <c r="C88" i="27"/>
  <c r="B88" i="27"/>
  <c r="A88" i="27"/>
  <c r="F87" i="27"/>
  <c r="E87" i="27"/>
  <c r="D87" i="27"/>
  <c r="C87" i="27"/>
  <c r="B87" i="27"/>
  <c r="A87" i="27"/>
  <c r="E86" i="27"/>
  <c r="F86" i="27"/>
  <c r="D86" i="27"/>
  <c r="C86" i="27"/>
  <c r="B86" i="27"/>
  <c r="A86" i="27"/>
  <c r="F85" i="27"/>
  <c r="E85" i="27"/>
  <c r="D85" i="27"/>
  <c r="C85" i="27"/>
  <c r="B85" i="27"/>
  <c r="A85" i="27"/>
  <c r="F84" i="27"/>
  <c r="E84" i="27"/>
  <c r="D84" i="27"/>
  <c r="C84" i="27"/>
  <c r="B84" i="27"/>
  <c r="A84" i="27"/>
  <c r="F83" i="27"/>
  <c r="E83" i="27"/>
  <c r="D83" i="27"/>
  <c r="C83" i="27"/>
  <c r="B83" i="27"/>
  <c r="A83" i="27"/>
  <c r="E82" i="27"/>
  <c r="F82" i="27"/>
  <c r="D82" i="27"/>
  <c r="C82" i="27"/>
  <c r="B82" i="27"/>
  <c r="A82" i="27"/>
  <c r="E81" i="27"/>
  <c r="F81" i="27"/>
  <c r="D81" i="27"/>
  <c r="C81" i="27"/>
  <c r="B81" i="27"/>
  <c r="A81" i="27"/>
  <c r="F80" i="27"/>
  <c r="E80" i="27"/>
  <c r="D80" i="27"/>
  <c r="C80" i="27"/>
  <c r="B80" i="27"/>
  <c r="A80" i="27"/>
  <c r="F79" i="27"/>
  <c r="E79" i="27"/>
  <c r="D79" i="27"/>
  <c r="C79" i="27"/>
  <c r="B79" i="27"/>
  <c r="A79" i="27"/>
  <c r="F78" i="27"/>
  <c r="E78" i="27"/>
  <c r="D78" i="27"/>
  <c r="C78" i="27"/>
  <c r="B78" i="27"/>
  <c r="A78" i="27"/>
  <c r="F77" i="27"/>
  <c r="E77" i="27"/>
  <c r="D77" i="27"/>
  <c r="C77" i="27"/>
  <c r="B77" i="27"/>
  <c r="A77" i="27"/>
  <c r="F76" i="27"/>
  <c r="E76" i="27"/>
  <c r="D76" i="27"/>
  <c r="C76" i="27"/>
  <c r="B76" i="27"/>
  <c r="A76" i="27"/>
  <c r="F75" i="27"/>
  <c r="E75" i="27"/>
  <c r="D75" i="27"/>
  <c r="C75" i="27"/>
  <c r="B75" i="27"/>
  <c r="A75" i="27"/>
  <c r="F74" i="27"/>
  <c r="E74" i="27"/>
  <c r="D74" i="27"/>
  <c r="C74" i="27"/>
  <c r="B74" i="27"/>
  <c r="A74" i="27"/>
  <c r="F73" i="27"/>
  <c r="E73" i="27"/>
  <c r="D73" i="27"/>
  <c r="C73" i="27"/>
  <c r="B73" i="27"/>
  <c r="A73" i="27"/>
  <c r="F72" i="27"/>
  <c r="E72" i="27"/>
  <c r="D72" i="27"/>
  <c r="C72" i="27"/>
  <c r="B72" i="27"/>
  <c r="A72" i="27"/>
  <c r="F71" i="27"/>
  <c r="E71" i="27"/>
  <c r="D71" i="27"/>
  <c r="C71" i="27"/>
  <c r="B71" i="27"/>
  <c r="A71" i="27"/>
  <c r="F70" i="27"/>
  <c r="E70" i="27"/>
  <c r="D70" i="27"/>
  <c r="C70" i="27"/>
  <c r="B70" i="27"/>
  <c r="A70" i="27"/>
  <c r="F69" i="27"/>
  <c r="E69" i="27"/>
  <c r="D69" i="27"/>
  <c r="C69" i="27"/>
  <c r="B69" i="27"/>
  <c r="A69" i="27"/>
  <c r="F68" i="27"/>
  <c r="E68" i="27"/>
  <c r="D68" i="27"/>
  <c r="C68" i="27"/>
  <c r="B68" i="27"/>
  <c r="A68" i="27"/>
  <c r="F67" i="27"/>
  <c r="E67" i="27"/>
  <c r="D67" i="27"/>
  <c r="C67" i="27"/>
  <c r="B67" i="27"/>
  <c r="A67" i="27"/>
  <c r="F66" i="27"/>
  <c r="E66" i="27"/>
  <c r="D66" i="27"/>
  <c r="C66" i="27"/>
  <c r="B66" i="27"/>
  <c r="A66" i="27"/>
  <c r="F65" i="27"/>
  <c r="E65" i="27"/>
  <c r="D65" i="27"/>
  <c r="C65" i="27"/>
  <c r="B65" i="27"/>
  <c r="A65" i="27"/>
  <c r="F64" i="27"/>
  <c r="E64" i="27"/>
  <c r="D64" i="27"/>
  <c r="C64" i="27"/>
  <c r="B64" i="27"/>
  <c r="A64" i="27"/>
  <c r="F63" i="27"/>
  <c r="E63" i="27"/>
  <c r="D63" i="27"/>
  <c r="C63" i="27"/>
  <c r="B63" i="27"/>
  <c r="A63" i="27"/>
  <c r="F62" i="27"/>
  <c r="E62" i="27"/>
  <c r="D62" i="27"/>
  <c r="C62" i="27"/>
  <c r="B62" i="27"/>
  <c r="A62" i="27"/>
  <c r="F61" i="27"/>
  <c r="E61" i="27"/>
  <c r="D61" i="27"/>
  <c r="C61" i="27"/>
  <c r="B61" i="27"/>
  <c r="A61" i="27"/>
  <c r="F60" i="27"/>
  <c r="E60" i="27"/>
  <c r="D60" i="27"/>
  <c r="C60" i="27"/>
  <c r="B60" i="27"/>
  <c r="A60" i="27"/>
  <c r="F59" i="27"/>
  <c r="E59" i="27"/>
  <c r="D59" i="27"/>
  <c r="C59" i="27"/>
  <c r="B59" i="27"/>
  <c r="A59" i="27"/>
  <c r="F58" i="27"/>
  <c r="E58" i="27"/>
  <c r="D58" i="27"/>
  <c r="C58" i="27"/>
  <c r="B58" i="27"/>
  <c r="A58" i="27"/>
  <c r="F57" i="27"/>
  <c r="E57" i="27"/>
  <c r="D57" i="27"/>
  <c r="C57" i="27"/>
  <c r="B57" i="27"/>
  <c r="A57" i="27"/>
  <c r="F56" i="27"/>
  <c r="E56" i="27"/>
  <c r="D56" i="27"/>
  <c r="C56" i="27"/>
  <c r="B56" i="27"/>
  <c r="A56" i="27"/>
  <c r="F55" i="27"/>
  <c r="E55" i="27"/>
  <c r="D55" i="27"/>
  <c r="C55" i="27"/>
  <c r="B55" i="27"/>
  <c r="A55" i="27"/>
  <c r="F54" i="27"/>
  <c r="E54" i="27"/>
  <c r="D54" i="27"/>
  <c r="C54" i="27"/>
  <c r="B54" i="27"/>
  <c r="A54" i="27"/>
  <c r="F53" i="27"/>
  <c r="E53" i="27"/>
  <c r="D53" i="27"/>
  <c r="C53" i="27"/>
  <c r="B53" i="27"/>
  <c r="A53" i="27"/>
  <c r="F52" i="27"/>
  <c r="E52" i="27"/>
  <c r="D52" i="27"/>
  <c r="C52" i="27"/>
  <c r="B52" i="27"/>
  <c r="A52" i="27"/>
  <c r="F51" i="27"/>
  <c r="E51" i="27"/>
  <c r="D51" i="27"/>
  <c r="C51" i="27"/>
  <c r="B51" i="27"/>
  <c r="A51" i="27"/>
  <c r="F50" i="27"/>
  <c r="E50" i="27"/>
  <c r="D50" i="27"/>
  <c r="C50" i="27"/>
  <c r="B50" i="27"/>
  <c r="A50" i="27"/>
  <c r="F49" i="27"/>
  <c r="E49" i="27"/>
  <c r="D49" i="27"/>
  <c r="C49" i="27"/>
  <c r="B49" i="27"/>
  <c r="A49" i="27"/>
  <c r="F48" i="27"/>
  <c r="E48" i="27"/>
  <c r="D48" i="27"/>
  <c r="C48" i="27"/>
  <c r="B48" i="27"/>
  <c r="A48" i="27"/>
  <c r="E47" i="27"/>
  <c r="F47" i="27"/>
  <c r="D47" i="27"/>
  <c r="C47" i="27"/>
  <c r="B47" i="27"/>
  <c r="A47" i="27"/>
  <c r="F46" i="27"/>
  <c r="E46" i="27"/>
  <c r="D46" i="27"/>
  <c r="C46" i="27"/>
  <c r="B46" i="27"/>
  <c r="A46" i="27"/>
  <c r="F44" i="27"/>
  <c r="E44" i="27"/>
  <c r="D44" i="27"/>
  <c r="C44" i="27"/>
  <c r="B44" i="27"/>
  <c r="A44" i="27"/>
  <c r="E43" i="27"/>
  <c r="F43" i="27"/>
  <c r="D43" i="27"/>
  <c r="C43" i="27"/>
  <c r="B43" i="27"/>
  <c r="A43" i="27"/>
  <c r="F42" i="27"/>
  <c r="E42" i="27"/>
  <c r="D42" i="27"/>
  <c r="C42" i="27"/>
  <c r="B42" i="27"/>
  <c r="A42" i="27"/>
  <c r="F41" i="27"/>
  <c r="E41" i="27"/>
  <c r="D41" i="27"/>
  <c r="C41" i="27"/>
  <c r="B41" i="27"/>
  <c r="A41" i="27"/>
  <c r="F40" i="27"/>
  <c r="E40" i="27"/>
  <c r="D40" i="27"/>
  <c r="C40" i="27"/>
  <c r="B40" i="27"/>
  <c r="A40" i="27"/>
  <c r="F39" i="27"/>
  <c r="E39" i="27"/>
  <c r="D39" i="27"/>
  <c r="C39" i="27"/>
  <c r="B39" i="27"/>
  <c r="A39" i="27"/>
  <c r="F38" i="27"/>
  <c r="E38" i="27"/>
  <c r="D38" i="27"/>
  <c r="C38" i="27"/>
  <c r="B38" i="27"/>
  <c r="A38" i="27"/>
  <c r="F37" i="27"/>
  <c r="E37" i="27"/>
  <c r="D37" i="27"/>
  <c r="C37" i="27"/>
  <c r="B37" i="27"/>
  <c r="A37" i="27"/>
  <c r="F36" i="27"/>
  <c r="E36" i="27"/>
  <c r="D36" i="27"/>
  <c r="C36" i="27"/>
  <c r="B36" i="27"/>
  <c r="A36" i="27"/>
  <c r="F35" i="27"/>
  <c r="E35" i="27"/>
  <c r="D35" i="27"/>
  <c r="C35" i="27"/>
  <c r="B35" i="27"/>
  <c r="A35" i="27"/>
  <c r="F34" i="27"/>
  <c r="E34" i="27"/>
  <c r="D34" i="27"/>
  <c r="C34" i="27"/>
  <c r="B34" i="27"/>
  <c r="A34" i="27"/>
  <c r="F33" i="27"/>
  <c r="E33" i="27"/>
  <c r="D33" i="27"/>
  <c r="C33" i="27"/>
  <c r="B33" i="27"/>
  <c r="A33" i="27"/>
  <c r="F32" i="27"/>
  <c r="E32" i="27"/>
  <c r="D32" i="27"/>
  <c r="C32" i="27"/>
  <c r="B32" i="27"/>
  <c r="A32" i="27"/>
  <c r="F31" i="27"/>
  <c r="E31" i="27"/>
  <c r="D31" i="27"/>
  <c r="C31" i="27"/>
  <c r="B31" i="27"/>
  <c r="A31" i="27"/>
  <c r="F30" i="27"/>
  <c r="E30" i="27"/>
  <c r="D30" i="27"/>
  <c r="C30" i="27"/>
  <c r="B30" i="27"/>
  <c r="A30" i="27"/>
  <c r="E29" i="27"/>
  <c r="F29" i="27"/>
  <c r="D29" i="27"/>
  <c r="C29" i="27"/>
  <c r="B29" i="27"/>
  <c r="A29" i="27"/>
  <c r="F28" i="27"/>
  <c r="E28" i="27"/>
  <c r="D28" i="27"/>
  <c r="C28" i="27"/>
  <c r="B28" i="27"/>
  <c r="A28" i="27"/>
  <c r="F27" i="27"/>
  <c r="E27" i="27"/>
  <c r="D27" i="27"/>
  <c r="C27" i="27"/>
  <c r="B27" i="27"/>
  <c r="A27" i="27"/>
  <c r="F26" i="27"/>
  <c r="E26" i="27"/>
  <c r="D26" i="27"/>
  <c r="C26" i="27"/>
  <c r="B26" i="27"/>
  <c r="A26" i="27"/>
  <c r="F25" i="27"/>
  <c r="E25" i="27"/>
  <c r="D25" i="27"/>
  <c r="C25" i="27"/>
  <c r="B25" i="27"/>
  <c r="A25" i="27"/>
  <c r="F24" i="27"/>
  <c r="E24" i="27"/>
  <c r="D24" i="27"/>
  <c r="C24" i="27"/>
  <c r="B24" i="27"/>
  <c r="A24" i="27"/>
  <c r="F23" i="27"/>
  <c r="E23" i="27"/>
  <c r="D23" i="27"/>
  <c r="C23" i="27"/>
  <c r="B23" i="27"/>
  <c r="A23" i="27"/>
  <c r="F22" i="27"/>
  <c r="E22" i="27"/>
  <c r="D22" i="27"/>
  <c r="C22" i="27"/>
  <c r="B22" i="27"/>
  <c r="A22" i="27"/>
  <c r="F16" i="27"/>
  <c r="F15" i="27"/>
  <c r="F14" i="27"/>
  <c r="R59" i="1"/>
  <c r="F10" i="27"/>
  <c r="F7" i="27"/>
  <c r="F5" i="27"/>
  <c r="F4" i="27"/>
  <c r="F3" i="27"/>
  <c r="H115" i="86"/>
  <c r="L115" i="86" s="1"/>
  <c r="M115" i="86" s="1"/>
  <c r="G115" i="86"/>
  <c r="E115" i="86"/>
  <c r="D115" i="86"/>
  <c r="C115" i="86"/>
  <c r="B115" i="86"/>
  <c r="A115" i="86"/>
  <c r="H114" i="86"/>
  <c r="L114" i="86" s="1"/>
  <c r="M114" i="86" s="1"/>
  <c r="G114" i="86"/>
  <c r="F114" i="86"/>
  <c r="E114" i="86"/>
  <c r="D114" i="86"/>
  <c r="C114" i="86"/>
  <c r="B114" i="86"/>
  <c r="A114" i="86"/>
  <c r="H113" i="86"/>
  <c r="L113" i="86" s="1"/>
  <c r="M113" i="86" s="1"/>
  <c r="G113" i="86"/>
  <c r="F113" i="86"/>
  <c r="E113" i="86"/>
  <c r="D113" i="86"/>
  <c r="C113" i="86"/>
  <c r="B113" i="86"/>
  <c r="A113" i="86"/>
  <c r="H112" i="86"/>
  <c r="L112" i="86" s="1"/>
  <c r="M112" i="86" s="1"/>
  <c r="G112" i="86"/>
  <c r="E112" i="86"/>
  <c r="D112" i="86"/>
  <c r="C112" i="86"/>
  <c r="B112" i="86"/>
  <c r="A112" i="86"/>
  <c r="H111" i="86"/>
  <c r="L111" i="86" s="1"/>
  <c r="M111" i="86" s="1"/>
  <c r="G111" i="86"/>
  <c r="F111" i="86"/>
  <c r="E111" i="86"/>
  <c r="D111" i="86"/>
  <c r="C111" i="86"/>
  <c r="B111" i="86"/>
  <c r="A111" i="86"/>
  <c r="H110" i="86"/>
  <c r="L110" i="86" s="1"/>
  <c r="M110" i="86" s="1"/>
  <c r="G110" i="86"/>
  <c r="E110" i="86"/>
  <c r="D110" i="86"/>
  <c r="C110" i="86"/>
  <c r="B110" i="86"/>
  <c r="A110" i="86"/>
  <c r="H109" i="86"/>
  <c r="L109" i="86" s="1"/>
  <c r="M109" i="86" s="1"/>
  <c r="G109" i="86"/>
  <c r="F109" i="86"/>
  <c r="E109" i="86"/>
  <c r="D109" i="86"/>
  <c r="C109" i="86"/>
  <c r="B109" i="86"/>
  <c r="A109" i="86"/>
  <c r="H108" i="86"/>
  <c r="L108" i="86" s="1"/>
  <c r="M108" i="86" s="1"/>
  <c r="G108" i="86"/>
  <c r="E108" i="86"/>
  <c r="D108" i="86"/>
  <c r="C108" i="86"/>
  <c r="B108" i="86"/>
  <c r="A108" i="86"/>
  <c r="H107" i="86"/>
  <c r="L107" i="86" s="1"/>
  <c r="M107" i="86" s="1"/>
  <c r="G107" i="86"/>
  <c r="F107" i="86"/>
  <c r="E107" i="86"/>
  <c r="D107" i="86"/>
  <c r="C107" i="86"/>
  <c r="B107" i="86"/>
  <c r="A107" i="86"/>
  <c r="H106" i="86"/>
  <c r="L106" i="86" s="1"/>
  <c r="M106" i="86" s="1"/>
  <c r="G106" i="86"/>
  <c r="F106" i="86"/>
  <c r="E106" i="86"/>
  <c r="D106" i="86"/>
  <c r="C106" i="86"/>
  <c r="B106" i="86"/>
  <c r="A106" i="86"/>
  <c r="H105" i="86"/>
  <c r="L105" i="86" s="1"/>
  <c r="M105" i="86" s="1"/>
  <c r="G105" i="86"/>
  <c r="E105" i="86"/>
  <c r="D105" i="86"/>
  <c r="C105" i="86"/>
  <c r="B105" i="86"/>
  <c r="A105" i="86"/>
  <c r="H104" i="86"/>
  <c r="G104" i="86"/>
  <c r="E104" i="86"/>
  <c r="D104" i="86"/>
  <c r="C104" i="86"/>
  <c r="B104" i="86"/>
  <c r="A104" i="86"/>
  <c r="H103" i="86"/>
  <c r="G103" i="86"/>
  <c r="E103" i="86"/>
  <c r="D103" i="86"/>
  <c r="C103" i="86"/>
  <c r="B103" i="86"/>
  <c r="A103" i="86"/>
  <c r="H102" i="86"/>
  <c r="L102" i="86" s="1"/>
  <c r="M102" i="86" s="1"/>
  <c r="G102" i="86"/>
  <c r="F102" i="86"/>
  <c r="E102" i="86"/>
  <c r="D102" i="86"/>
  <c r="C102" i="86"/>
  <c r="B102" i="86"/>
  <c r="A102" i="86"/>
  <c r="H101" i="86"/>
  <c r="L101" i="86" s="1"/>
  <c r="M101" i="86" s="1"/>
  <c r="G101" i="86"/>
  <c r="E101" i="86"/>
  <c r="D101" i="86"/>
  <c r="C101" i="86"/>
  <c r="B101" i="86"/>
  <c r="A101" i="86"/>
  <c r="H100" i="86"/>
  <c r="L100" i="86" s="1"/>
  <c r="M100" i="86" s="1"/>
  <c r="G100" i="86"/>
  <c r="F100" i="86"/>
  <c r="E100" i="86"/>
  <c r="D100" i="86"/>
  <c r="C100" i="86"/>
  <c r="B100" i="86"/>
  <c r="A100" i="86"/>
  <c r="H99" i="86"/>
  <c r="L99" i="86" s="1"/>
  <c r="M99" i="86" s="1"/>
  <c r="G99" i="86"/>
  <c r="E99" i="86"/>
  <c r="D99" i="86"/>
  <c r="C99" i="86"/>
  <c r="B99" i="86"/>
  <c r="A99" i="86"/>
  <c r="H98" i="86"/>
  <c r="L98" i="86" s="1"/>
  <c r="M98" i="86" s="1"/>
  <c r="D98" i="86"/>
  <c r="G98" i="86"/>
  <c r="F98" i="86"/>
  <c r="E98" i="86"/>
  <c r="C98" i="86"/>
  <c r="B98" i="86"/>
  <c r="A98" i="86"/>
  <c r="H97" i="86"/>
  <c r="L97" i="86" s="1"/>
  <c r="M97" i="86" s="1"/>
  <c r="G97" i="86"/>
  <c r="E97" i="86"/>
  <c r="D97" i="86"/>
  <c r="C97" i="86"/>
  <c r="B97" i="86"/>
  <c r="A97" i="86"/>
  <c r="H96" i="86"/>
  <c r="L96" i="86" s="1"/>
  <c r="M96" i="86" s="1"/>
  <c r="G96" i="86"/>
  <c r="F96" i="86"/>
  <c r="E96" i="86"/>
  <c r="D96" i="86"/>
  <c r="C96" i="86"/>
  <c r="B96" i="86"/>
  <c r="A96" i="86"/>
  <c r="H95" i="86"/>
  <c r="L95" i="86" s="1"/>
  <c r="M95" i="86" s="1"/>
  <c r="G95" i="86"/>
  <c r="E95" i="86"/>
  <c r="D95" i="86"/>
  <c r="C95" i="86"/>
  <c r="B95" i="86"/>
  <c r="A95" i="86"/>
  <c r="H94" i="86"/>
  <c r="L94" i="86" s="1"/>
  <c r="M94" i="86" s="1"/>
  <c r="G94" i="86"/>
  <c r="F94" i="86"/>
  <c r="E94" i="86"/>
  <c r="D94" i="86"/>
  <c r="C94" i="86"/>
  <c r="B94" i="86"/>
  <c r="A94" i="86"/>
  <c r="H93" i="86"/>
  <c r="L93" i="86" s="1"/>
  <c r="M93" i="86" s="1"/>
  <c r="G93" i="86"/>
  <c r="E93" i="86"/>
  <c r="D93" i="86"/>
  <c r="C93" i="86"/>
  <c r="B93" i="86"/>
  <c r="A93" i="86"/>
  <c r="H92" i="86"/>
  <c r="L92" i="86" s="1"/>
  <c r="M92" i="86" s="1"/>
  <c r="G92" i="86"/>
  <c r="F92" i="86"/>
  <c r="E92" i="86"/>
  <c r="D92" i="86"/>
  <c r="C92" i="86"/>
  <c r="B92" i="86"/>
  <c r="A92" i="86"/>
  <c r="H91" i="86"/>
  <c r="L91" i="86" s="1"/>
  <c r="M91" i="86" s="1"/>
  <c r="G91" i="86"/>
  <c r="E91" i="86"/>
  <c r="D91" i="86"/>
  <c r="C91" i="86"/>
  <c r="B91" i="86"/>
  <c r="A91" i="86"/>
  <c r="H90" i="86"/>
  <c r="L90" i="86" s="1"/>
  <c r="M90" i="86" s="1"/>
  <c r="G90" i="86"/>
  <c r="F90" i="86"/>
  <c r="E90" i="86"/>
  <c r="D90" i="86"/>
  <c r="C90" i="86"/>
  <c r="B90" i="86"/>
  <c r="A90" i="86"/>
  <c r="H89" i="86"/>
  <c r="L89" i="86" s="1"/>
  <c r="M89" i="86" s="1"/>
  <c r="G89" i="86"/>
  <c r="E89" i="86"/>
  <c r="D89" i="86"/>
  <c r="C89" i="86"/>
  <c r="B89" i="86"/>
  <c r="A89" i="86"/>
  <c r="H88" i="86"/>
  <c r="L88" i="86" s="1"/>
  <c r="M88" i="86" s="1"/>
  <c r="G88" i="86"/>
  <c r="F88" i="86"/>
  <c r="E88" i="86"/>
  <c r="D88" i="86"/>
  <c r="C88" i="86"/>
  <c r="B88" i="86"/>
  <c r="A88" i="86"/>
  <c r="H87" i="86"/>
  <c r="L87" i="86" s="1"/>
  <c r="M87" i="86" s="1"/>
  <c r="G87" i="86"/>
  <c r="F87" i="86"/>
  <c r="E87" i="86"/>
  <c r="D87" i="86"/>
  <c r="C87" i="86"/>
  <c r="B87" i="86"/>
  <c r="A87" i="86"/>
  <c r="H86" i="86"/>
  <c r="L86" i="86" s="1"/>
  <c r="M86" i="86" s="1"/>
  <c r="G86" i="86"/>
  <c r="E86" i="86"/>
  <c r="D86" i="86"/>
  <c r="C86" i="86"/>
  <c r="B86" i="86"/>
  <c r="A86" i="86"/>
  <c r="H85" i="86"/>
  <c r="L85" i="86" s="1"/>
  <c r="M85" i="86" s="1"/>
  <c r="G85" i="86"/>
  <c r="F85" i="86"/>
  <c r="E85" i="86"/>
  <c r="D85" i="86"/>
  <c r="C85" i="86"/>
  <c r="B85" i="86"/>
  <c r="A85" i="86"/>
  <c r="H84" i="86"/>
  <c r="L84" i="86" s="1"/>
  <c r="M84" i="86" s="1"/>
  <c r="G84" i="86"/>
  <c r="E84" i="86"/>
  <c r="D84" i="86"/>
  <c r="C84" i="86"/>
  <c r="B84" i="86"/>
  <c r="A84" i="86"/>
  <c r="H83" i="86"/>
  <c r="L83" i="86" s="1"/>
  <c r="M83" i="86" s="1"/>
  <c r="G83" i="86"/>
  <c r="F83" i="86"/>
  <c r="E83" i="86"/>
  <c r="D83" i="86"/>
  <c r="C83" i="86"/>
  <c r="B83" i="86"/>
  <c r="A83" i="86"/>
  <c r="H82" i="86"/>
  <c r="L82" i="86" s="1"/>
  <c r="M82" i="86" s="1"/>
  <c r="G82" i="86"/>
  <c r="E82" i="86"/>
  <c r="D82" i="86"/>
  <c r="C82" i="86"/>
  <c r="B82" i="86"/>
  <c r="A82" i="86"/>
  <c r="H81" i="86"/>
  <c r="L81" i="86" s="1"/>
  <c r="M81" i="86" s="1"/>
  <c r="G81" i="86"/>
  <c r="F81" i="86"/>
  <c r="E81" i="86"/>
  <c r="D81" i="86"/>
  <c r="C81" i="86"/>
  <c r="B81" i="86"/>
  <c r="A81" i="86"/>
  <c r="H80" i="86"/>
  <c r="L80" i="86" s="1"/>
  <c r="M80" i="86" s="1"/>
  <c r="G80" i="86"/>
  <c r="F80" i="86"/>
  <c r="E80" i="86"/>
  <c r="D80" i="86"/>
  <c r="C80" i="86"/>
  <c r="B80" i="86"/>
  <c r="A80" i="86"/>
  <c r="H79" i="86"/>
  <c r="L79" i="86" s="1"/>
  <c r="M79" i="86" s="1"/>
  <c r="G79" i="86"/>
  <c r="E79" i="86"/>
  <c r="D79" i="86"/>
  <c r="C79" i="86"/>
  <c r="B79" i="86"/>
  <c r="A79" i="86"/>
  <c r="H78" i="86"/>
  <c r="L78" i="86" s="1"/>
  <c r="M78" i="86" s="1"/>
  <c r="G78" i="86"/>
  <c r="F78" i="86"/>
  <c r="E78" i="86"/>
  <c r="D78" i="86"/>
  <c r="C78" i="86"/>
  <c r="B78" i="86"/>
  <c r="A78" i="86"/>
  <c r="H77" i="86"/>
  <c r="L77" i="86" s="1"/>
  <c r="M77" i="86" s="1"/>
  <c r="G77" i="86"/>
  <c r="E77" i="86"/>
  <c r="D77" i="86"/>
  <c r="C77" i="86"/>
  <c r="B77" i="86"/>
  <c r="A77" i="86"/>
  <c r="H76" i="86"/>
  <c r="L76" i="86" s="1"/>
  <c r="M76" i="86" s="1"/>
  <c r="G76" i="86"/>
  <c r="F76" i="86"/>
  <c r="E76" i="86"/>
  <c r="D76" i="86"/>
  <c r="C76" i="86"/>
  <c r="B76" i="86"/>
  <c r="A76" i="86"/>
  <c r="H75" i="86"/>
  <c r="L75" i="86" s="1"/>
  <c r="M75" i="86" s="1"/>
  <c r="G75" i="86"/>
  <c r="E75" i="86"/>
  <c r="D75" i="86"/>
  <c r="C75" i="86"/>
  <c r="B75" i="86"/>
  <c r="A75" i="86"/>
  <c r="H74" i="86"/>
  <c r="L74" i="86" s="1"/>
  <c r="M74" i="86" s="1"/>
  <c r="G74" i="86"/>
  <c r="F74" i="86"/>
  <c r="E74" i="86"/>
  <c r="D74" i="86"/>
  <c r="C74" i="86"/>
  <c r="B74" i="86"/>
  <c r="A74" i="86"/>
  <c r="H73" i="86"/>
  <c r="L73" i="86" s="1"/>
  <c r="M73" i="86" s="1"/>
  <c r="G73" i="86"/>
  <c r="E73" i="86"/>
  <c r="D73" i="86"/>
  <c r="C73" i="86"/>
  <c r="B73" i="86"/>
  <c r="A73" i="86"/>
  <c r="H72" i="86"/>
  <c r="L72" i="86" s="1"/>
  <c r="M72" i="86" s="1"/>
  <c r="G72" i="86"/>
  <c r="F72" i="86"/>
  <c r="E72" i="86"/>
  <c r="D72" i="86"/>
  <c r="C72" i="86"/>
  <c r="B72" i="86"/>
  <c r="A72" i="86"/>
  <c r="H71" i="86"/>
  <c r="L71" i="86" s="1"/>
  <c r="M71" i="86" s="1"/>
  <c r="G71" i="86"/>
  <c r="F71" i="86"/>
  <c r="E71" i="86"/>
  <c r="D71" i="86"/>
  <c r="C71" i="86"/>
  <c r="B71" i="86"/>
  <c r="A71" i="86"/>
  <c r="H70" i="86"/>
  <c r="L70" i="86" s="1"/>
  <c r="M70" i="86" s="1"/>
  <c r="G70" i="86"/>
  <c r="E70" i="86"/>
  <c r="D70" i="86"/>
  <c r="C70" i="86"/>
  <c r="B70" i="86"/>
  <c r="A70" i="86"/>
  <c r="H69" i="86"/>
  <c r="L69" i="86" s="1"/>
  <c r="M69" i="86" s="1"/>
  <c r="G69" i="86"/>
  <c r="F69" i="86"/>
  <c r="E69" i="86"/>
  <c r="D69" i="86"/>
  <c r="C69" i="86"/>
  <c r="B69" i="86"/>
  <c r="A69" i="86"/>
  <c r="H68" i="86"/>
  <c r="L68" i="86" s="1"/>
  <c r="M68" i="86" s="1"/>
  <c r="G68" i="86"/>
  <c r="F68" i="86"/>
  <c r="E68" i="86"/>
  <c r="D68" i="86"/>
  <c r="C68" i="86"/>
  <c r="B68" i="86"/>
  <c r="A68" i="86"/>
  <c r="H67" i="86"/>
  <c r="L67" i="86" s="1"/>
  <c r="M67" i="86" s="1"/>
  <c r="G67" i="86"/>
  <c r="E67" i="86"/>
  <c r="D67" i="86"/>
  <c r="C67" i="86"/>
  <c r="B67" i="86"/>
  <c r="A67" i="86"/>
  <c r="H66" i="86"/>
  <c r="L66" i="86" s="1"/>
  <c r="M66" i="86" s="1"/>
  <c r="G66" i="86"/>
  <c r="F66" i="86"/>
  <c r="E66" i="86"/>
  <c r="D66" i="86"/>
  <c r="C66" i="86"/>
  <c r="B66" i="86"/>
  <c r="A66" i="86"/>
  <c r="H65" i="86"/>
  <c r="L65" i="86" s="1"/>
  <c r="M65" i="86" s="1"/>
  <c r="G65" i="86"/>
  <c r="F65" i="86"/>
  <c r="E65" i="86"/>
  <c r="D65" i="86"/>
  <c r="C65" i="86"/>
  <c r="B65" i="86"/>
  <c r="A65" i="86"/>
  <c r="H64" i="86"/>
  <c r="L64" i="86" s="1"/>
  <c r="M64" i="86" s="1"/>
  <c r="G64" i="86"/>
  <c r="E64" i="86"/>
  <c r="D64" i="86"/>
  <c r="C64" i="86"/>
  <c r="B64" i="86"/>
  <c r="A64" i="86"/>
  <c r="H63" i="86"/>
  <c r="L63" i="86" s="1"/>
  <c r="M63" i="86" s="1"/>
  <c r="G63" i="86"/>
  <c r="F63" i="86"/>
  <c r="E63" i="86"/>
  <c r="D63" i="86"/>
  <c r="C63" i="86"/>
  <c r="B63" i="86"/>
  <c r="A63" i="86"/>
  <c r="H62" i="86"/>
  <c r="L62" i="86" s="1"/>
  <c r="M62" i="86" s="1"/>
  <c r="G62" i="86"/>
  <c r="F62" i="86"/>
  <c r="E62" i="86"/>
  <c r="D62" i="86"/>
  <c r="C62" i="86"/>
  <c r="B62" i="86"/>
  <c r="A62" i="86"/>
  <c r="H61" i="86"/>
  <c r="L61" i="86" s="1"/>
  <c r="M61" i="86" s="1"/>
  <c r="G61" i="86"/>
  <c r="E61" i="86"/>
  <c r="D61" i="86"/>
  <c r="C61" i="86"/>
  <c r="B61" i="86"/>
  <c r="A61" i="86"/>
  <c r="H60" i="86"/>
  <c r="G60" i="86"/>
  <c r="F60" i="86"/>
  <c r="E60" i="86"/>
  <c r="D60" i="86"/>
  <c r="C60" i="86"/>
  <c r="B60" i="86"/>
  <c r="A60" i="86"/>
  <c r="H59" i="86"/>
  <c r="L59" i="86" s="1"/>
  <c r="M59" i="86" s="1"/>
  <c r="G59" i="86"/>
  <c r="F59" i="86"/>
  <c r="E59" i="86"/>
  <c r="D59" i="86"/>
  <c r="C59" i="86"/>
  <c r="B59" i="86"/>
  <c r="A59" i="86"/>
  <c r="H58" i="86"/>
  <c r="L58" i="86" s="1"/>
  <c r="M58" i="86" s="1"/>
  <c r="G58" i="86"/>
  <c r="E58" i="86"/>
  <c r="D58" i="86"/>
  <c r="C58" i="86"/>
  <c r="B58" i="86"/>
  <c r="A58" i="86"/>
  <c r="H57" i="86"/>
  <c r="L57" i="86" s="1"/>
  <c r="M57" i="86" s="1"/>
  <c r="G57" i="86"/>
  <c r="F57" i="86"/>
  <c r="E57" i="86"/>
  <c r="D57" i="86"/>
  <c r="C57" i="86"/>
  <c r="B57" i="86"/>
  <c r="A57" i="86"/>
  <c r="H56" i="86"/>
  <c r="L56" i="86" s="1"/>
  <c r="M56" i="86" s="1"/>
  <c r="G56" i="86"/>
  <c r="D56" i="86"/>
  <c r="F56" i="86"/>
  <c r="E56" i="86"/>
  <c r="C56" i="86"/>
  <c r="B56" i="86"/>
  <c r="A56" i="86"/>
  <c r="H55" i="86"/>
  <c r="L55" i="86" s="1"/>
  <c r="M55" i="86" s="1"/>
  <c r="G55" i="86"/>
  <c r="E55" i="86"/>
  <c r="D55" i="86"/>
  <c r="C55" i="86"/>
  <c r="B55" i="86"/>
  <c r="A55" i="86"/>
  <c r="H54" i="86"/>
  <c r="G54" i="86"/>
  <c r="F54" i="86"/>
  <c r="E54" i="86"/>
  <c r="D54" i="86"/>
  <c r="C54" i="86"/>
  <c r="B54" i="86"/>
  <c r="A54" i="86"/>
  <c r="H53" i="86"/>
  <c r="L53" i="86" s="1"/>
  <c r="M53" i="86" s="1"/>
  <c r="G53" i="86"/>
  <c r="F53" i="86"/>
  <c r="E53" i="86"/>
  <c r="D53" i="86"/>
  <c r="C53" i="86"/>
  <c r="B53" i="86"/>
  <c r="A53" i="86"/>
  <c r="H52" i="86"/>
  <c r="L52" i="86" s="1"/>
  <c r="M52" i="86" s="1"/>
  <c r="G52" i="86"/>
  <c r="E52" i="86"/>
  <c r="D52" i="86"/>
  <c r="C52" i="86"/>
  <c r="B52" i="86"/>
  <c r="A52" i="86"/>
  <c r="H51" i="86"/>
  <c r="L51" i="86" s="1"/>
  <c r="M51" i="86" s="1"/>
  <c r="G51" i="86"/>
  <c r="F51" i="86"/>
  <c r="E51" i="86"/>
  <c r="D51" i="86"/>
  <c r="C51" i="86"/>
  <c r="B51" i="86"/>
  <c r="A51" i="86"/>
  <c r="H50" i="86"/>
  <c r="L50" i="86" s="1"/>
  <c r="M50" i="86" s="1"/>
  <c r="G50" i="86"/>
  <c r="F50" i="86"/>
  <c r="E50" i="86"/>
  <c r="D50" i="86"/>
  <c r="C50" i="86"/>
  <c r="B50" i="86"/>
  <c r="A50" i="86"/>
  <c r="H49" i="86"/>
  <c r="L49" i="86" s="1"/>
  <c r="M49" i="86" s="1"/>
  <c r="G49" i="86"/>
  <c r="F49" i="86"/>
  <c r="E49" i="86"/>
  <c r="D49" i="86"/>
  <c r="C49" i="86"/>
  <c r="B49" i="86"/>
  <c r="A49" i="86"/>
  <c r="H48" i="86"/>
  <c r="L48" i="86" s="1"/>
  <c r="M48" i="86" s="1"/>
  <c r="G48" i="86"/>
  <c r="E48" i="86"/>
  <c r="D48" i="86"/>
  <c r="C48" i="86"/>
  <c r="B48" i="86"/>
  <c r="A48" i="86"/>
  <c r="H47" i="86"/>
  <c r="L47" i="86" s="1"/>
  <c r="M47" i="86" s="1"/>
  <c r="G47" i="86"/>
  <c r="F47" i="86"/>
  <c r="E47" i="86"/>
  <c r="D47" i="86"/>
  <c r="C47" i="86"/>
  <c r="B47" i="86"/>
  <c r="A47" i="86"/>
  <c r="H46" i="86"/>
  <c r="L46" i="86" s="1"/>
  <c r="M46" i="86" s="1"/>
  <c r="G46" i="86"/>
  <c r="F46" i="86"/>
  <c r="E46" i="86"/>
  <c r="D46" i="86"/>
  <c r="C46" i="86"/>
  <c r="B46" i="86"/>
  <c r="A46" i="86"/>
  <c r="H45" i="86"/>
  <c r="L45" i="86" s="1"/>
  <c r="M45" i="86" s="1"/>
  <c r="G45" i="86"/>
  <c r="F45" i="86"/>
  <c r="E45" i="86"/>
  <c r="D45" i="86"/>
  <c r="C45" i="86"/>
  <c r="B45" i="86"/>
  <c r="A45" i="86"/>
  <c r="H44" i="86"/>
  <c r="L44" i="86" s="1"/>
  <c r="M44" i="86" s="1"/>
  <c r="G44" i="86"/>
  <c r="F44" i="86"/>
  <c r="E44" i="86"/>
  <c r="D44" i="86"/>
  <c r="C44" i="86"/>
  <c r="B44" i="86"/>
  <c r="A44" i="86"/>
  <c r="H43" i="86"/>
  <c r="L43" i="86" s="1"/>
  <c r="M43" i="86" s="1"/>
  <c r="G43" i="86"/>
  <c r="F43" i="86"/>
  <c r="E43" i="86"/>
  <c r="D43" i="86"/>
  <c r="C43" i="86"/>
  <c r="B43" i="86"/>
  <c r="A43" i="86"/>
  <c r="H42" i="86"/>
  <c r="L42" i="86" s="1"/>
  <c r="M42" i="86" s="1"/>
  <c r="G42" i="86"/>
  <c r="F42" i="86"/>
  <c r="E42" i="86"/>
  <c r="D42" i="86"/>
  <c r="C42" i="86"/>
  <c r="B42" i="86"/>
  <c r="A42" i="86"/>
  <c r="H41" i="86"/>
  <c r="L41" i="86" s="1"/>
  <c r="M41" i="86" s="1"/>
  <c r="G41" i="86"/>
  <c r="E41" i="86"/>
  <c r="D41" i="86"/>
  <c r="C41" i="86"/>
  <c r="B41" i="86"/>
  <c r="A41" i="86"/>
  <c r="H40" i="86"/>
  <c r="L40" i="86" s="1"/>
  <c r="M40" i="86" s="1"/>
  <c r="G40" i="86"/>
  <c r="F40" i="86"/>
  <c r="E40" i="86"/>
  <c r="D40" i="86"/>
  <c r="C40" i="86"/>
  <c r="B40" i="86"/>
  <c r="A40" i="86"/>
  <c r="H39" i="86"/>
  <c r="L39" i="86" s="1"/>
  <c r="M39" i="86" s="1"/>
  <c r="G39" i="86"/>
  <c r="F39" i="86"/>
  <c r="E39" i="86"/>
  <c r="D39" i="86"/>
  <c r="C39" i="86"/>
  <c r="B39" i="86"/>
  <c r="A39" i="86"/>
  <c r="L38" i="86"/>
  <c r="M38" i="86" s="1"/>
  <c r="G38" i="86"/>
  <c r="E38" i="86"/>
  <c r="D38" i="86"/>
  <c r="C38" i="86"/>
  <c r="B38" i="86"/>
  <c r="A38" i="86"/>
  <c r="H37" i="86"/>
  <c r="L37" i="86" s="1"/>
  <c r="M37" i="86" s="1"/>
  <c r="G37" i="86"/>
  <c r="F37" i="86"/>
  <c r="E37" i="86"/>
  <c r="D37" i="86"/>
  <c r="C37" i="86"/>
  <c r="B37" i="86"/>
  <c r="A37" i="86"/>
  <c r="H36" i="86"/>
  <c r="L36" i="86" s="1"/>
  <c r="M36" i="86" s="1"/>
  <c r="G36" i="86"/>
  <c r="F36" i="86"/>
  <c r="E36" i="86"/>
  <c r="D36" i="86"/>
  <c r="C36" i="86"/>
  <c r="B36" i="86"/>
  <c r="A36" i="86"/>
  <c r="H35" i="86"/>
  <c r="G35" i="86"/>
  <c r="E35" i="86"/>
  <c r="D35" i="86"/>
  <c r="C35" i="86"/>
  <c r="B35" i="86"/>
  <c r="A35" i="86"/>
  <c r="H34" i="86"/>
  <c r="L34" i="86" s="1"/>
  <c r="M34" i="86" s="1"/>
  <c r="F34" i="86"/>
  <c r="E34" i="86"/>
  <c r="D34" i="86"/>
  <c r="C34" i="86"/>
  <c r="B34" i="86"/>
  <c r="A34" i="86"/>
  <c r="H33" i="86"/>
  <c r="L33" i="86" s="1"/>
  <c r="M33" i="86" s="1"/>
  <c r="E33" i="86"/>
  <c r="D33" i="86"/>
  <c r="C33" i="86"/>
  <c r="B33" i="86"/>
  <c r="A33" i="86"/>
  <c r="H32" i="86"/>
  <c r="L32" i="86" s="1"/>
  <c r="M32" i="86" s="1"/>
  <c r="F32" i="86"/>
  <c r="E32" i="86"/>
  <c r="D32" i="86"/>
  <c r="C32" i="86"/>
  <c r="B32" i="86"/>
  <c r="A32" i="86"/>
  <c r="H31" i="86"/>
  <c r="L31" i="86" s="1"/>
  <c r="M31" i="86" s="1"/>
  <c r="F31" i="86"/>
  <c r="E31" i="86"/>
  <c r="D31" i="86"/>
  <c r="C31" i="86"/>
  <c r="B31" i="86"/>
  <c r="A31" i="86"/>
  <c r="H30" i="86"/>
  <c r="E30" i="86"/>
  <c r="D30" i="86"/>
  <c r="C30" i="86"/>
  <c r="B30" i="86"/>
  <c r="A30" i="86"/>
  <c r="H29" i="86"/>
  <c r="L29" i="86" s="1"/>
  <c r="M29" i="86" s="1"/>
  <c r="G29" i="86"/>
  <c r="F29" i="86"/>
  <c r="E29" i="86"/>
  <c r="D29" i="86"/>
  <c r="C29" i="86"/>
  <c r="B29" i="86"/>
  <c r="A29" i="86"/>
  <c r="H28" i="86"/>
  <c r="G28" i="86"/>
  <c r="E28" i="86"/>
  <c r="D28" i="86"/>
  <c r="C28" i="86"/>
  <c r="B28" i="86"/>
  <c r="A28" i="86"/>
  <c r="H27" i="86"/>
  <c r="L27" i="86" s="1"/>
  <c r="M27" i="86" s="1"/>
  <c r="G27" i="86"/>
  <c r="F27" i="86"/>
  <c r="E27" i="86"/>
  <c r="D27" i="86"/>
  <c r="C27" i="86"/>
  <c r="B27" i="86"/>
  <c r="A27" i="86"/>
  <c r="H26" i="86"/>
  <c r="L26" i="86" s="1"/>
  <c r="M26" i="86" s="1"/>
  <c r="G26" i="86"/>
  <c r="F26" i="86"/>
  <c r="E26" i="86"/>
  <c r="D26" i="86"/>
  <c r="C26" i="86"/>
  <c r="B26" i="86"/>
  <c r="A26" i="86"/>
  <c r="H25" i="86"/>
  <c r="L25" i="86" s="1"/>
  <c r="M25" i="86" s="1"/>
  <c r="G25" i="86"/>
  <c r="E25" i="86"/>
  <c r="D25" i="86"/>
  <c r="C25" i="86"/>
  <c r="B25" i="86"/>
  <c r="A25" i="86"/>
  <c r="H24" i="86"/>
  <c r="L24" i="86" s="1"/>
  <c r="M24" i="86" s="1"/>
  <c r="G24" i="86"/>
  <c r="F24" i="86"/>
  <c r="E24" i="86"/>
  <c r="D24" i="86"/>
  <c r="C24" i="86"/>
  <c r="B24" i="86"/>
  <c r="A24" i="86"/>
  <c r="H23" i="86"/>
  <c r="L23" i="86" s="1"/>
  <c r="M23" i="86" s="1"/>
  <c r="G23" i="86"/>
  <c r="F23" i="86"/>
  <c r="E23" i="86"/>
  <c r="D23" i="86"/>
  <c r="C23" i="86"/>
  <c r="B23" i="86"/>
  <c r="A23" i="86"/>
  <c r="H22" i="86"/>
  <c r="G22" i="86"/>
  <c r="E22" i="86"/>
  <c r="D22" i="86"/>
  <c r="C22" i="86"/>
  <c r="B22" i="86"/>
  <c r="A22" i="86"/>
  <c r="H21" i="86"/>
  <c r="L21" i="86" s="1"/>
  <c r="M21" i="86" s="1"/>
  <c r="G21" i="86"/>
  <c r="F21" i="86"/>
  <c r="E21" i="86"/>
  <c r="D21" i="86"/>
  <c r="C21" i="86"/>
  <c r="B21" i="86"/>
  <c r="A21" i="86"/>
  <c r="H20" i="86"/>
  <c r="G20" i="86"/>
  <c r="E20" i="86"/>
  <c r="D20" i="86"/>
  <c r="C20" i="86"/>
  <c r="B20" i="86"/>
  <c r="A20" i="86"/>
  <c r="H19" i="86"/>
  <c r="G19" i="86"/>
  <c r="F19" i="86"/>
  <c r="E19" i="86"/>
  <c r="D19" i="86"/>
  <c r="C19" i="86"/>
  <c r="B19" i="86"/>
  <c r="A19" i="86"/>
  <c r="H18" i="86"/>
  <c r="L18" i="86" s="1"/>
  <c r="M18" i="86" s="1"/>
  <c r="G18" i="86"/>
  <c r="F18" i="86"/>
  <c r="E18" i="86"/>
  <c r="D18" i="86"/>
  <c r="C18" i="86"/>
  <c r="B18" i="86"/>
  <c r="A18" i="86"/>
  <c r="H17" i="86"/>
  <c r="L17" i="86" s="1"/>
  <c r="M17" i="86" s="1"/>
  <c r="G17" i="86"/>
  <c r="E17" i="86"/>
  <c r="D17" i="86"/>
  <c r="C17" i="86"/>
  <c r="B17" i="86"/>
  <c r="A17" i="86"/>
  <c r="H16" i="86"/>
  <c r="L16" i="86" s="1"/>
  <c r="M16" i="86" s="1"/>
  <c r="G16" i="86"/>
  <c r="F16" i="86"/>
  <c r="E16" i="86"/>
  <c r="D16" i="86"/>
  <c r="C16" i="86"/>
  <c r="B16" i="86"/>
  <c r="A16" i="86"/>
  <c r="H15" i="86"/>
  <c r="G15" i="86"/>
  <c r="F15" i="86"/>
  <c r="E15" i="86"/>
  <c r="D15" i="86"/>
  <c r="C15" i="86"/>
  <c r="B15" i="86"/>
  <c r="A15" i="86"/>
  <c r="H14" i="86"/>
  <c r="L14" i="86" s="1"/>
  <c r="M14" i="86" s="1"/>
  <c r="G14" i="86"/>
  <c r="F14" i="86"/>
  <c r="E14" i="86"/>
  <c r="D14" i="86"/>
  <c r="C14" i="86"/>
  <c r="B14" i="86"/>
  <c r="A14" i="86"/>
  <c r="H13" i="86"/>
  <c r="G13" i="86"/>
  <c r="E13" i="86"/>
  <c r="D13" i="86"/>
  <c r="C13" i="86"/>
  <c r="B13" i="86"/>
  <c r="A13" i="86"/>
  <c r="H12" i="86"/>
  <c r="L12" i="86" s="1"/>
  <c r="M12" i="86" s="1"/>
  <c r="G12" i="86"/>
  <c r="F12" i="86"/>
  <c r="E12" i="86"/>
  <c r="D12" i="86"/>
  <c r="C12" i="86"/>
  <c r="B12" i="86"/>
  <c r="A12" i="86"/>
  <c r="H11" i="86"/>
  <c r="L11" i="86" s="1"/>
  <c r="M11" i="86" s="1"/>
  <c r="G11" i="86"/>
  <c r="F11" i="86"/>
  <c r="E11" i="86"/>
  <c r="D11" i="86"/>
  <c r="C11" i="86"/>
  <c r="B11" i="86"/>
  <c r="A11" i="86"/>
  <c r="H10" i="86"/>
  <c r="G10" i="86"/>
  <c r="F10" i="86"/>
  <c r="E10" i="86"/>
  <c r="D10" i="86"/>
  <c r="C10" i="86"/>
  <c r="B10" i="86"/>
  <c r="A10" i="86"/>
  <c r="H9" i="86"/>
  <c r="L9" i="86" s="1"/>
  <c r="M9" i="86" s="1"/>
  <c r="G9" i="86"/>
  <c r="E9" i="86"/>
  <c r="D9" i="86"/>
  <c r="C9" i="86"/>
  <c r="B9" i="86"/>
  <c r="A9" i="86"/>
  <c r="H8" i="86"/>
  <c r="L8" i="86" s="1"/>
  <c r="M8" i="86" s="1"/>
  <c r="G8" i="86"/>
  <c r="F8" i="86"/>
  <c r="E8" i="86"/>
  <c r="D8" i="86"/>
  <c r="C8" i="86"/>
  <c r="B8" i="86"/>
  <c r="A8" i="86"/>
  <c r="H7" i="86"/>
  <c r="L7" i="86" s="1"/>
  <c r="M7" i="86" s="1"/>
  <c r="G7" i="86"/>
  <c r="E7" i="86"/>
  <c r="D7" i="86"/>
  <c r="C7" i="86"/>
  <c r="B7" i="86"/>
  <c r="A7" i="86"/>
  <c r="H6" i="86"/>
  <c r="L6" i="86" s="1"/>
  <c r="M6" i="86" s="1"/>
  <c r="G6" i="86"/>
  <c r="F6" i="86"/>
  <c r="E6" i="86"/>
  <c r="D6" i="86"/>
  <c r="C6" i="86"/>
  <c r="B6" i="86"/>
  <c r="A6" i="86"/>
  <c r="H5" i="86"/>
  <c r="L5" i="86" s="1"/>
  <c r="M5" i="86" s="1"/>
  <c r="G5" i="86"/>
  <c r="F5" i="86"/>
  <c r="E5" i="86"/>
  <c r="D5" i="86"/>
  <c r="C5" i="86"/>
  <c r="B5" i="86"/>
  <c r="A5" i="86"/>
  <c r="L4" i="86"/>
  <c r="M4" i="86" s="1"/>
  <c r="G4" i="86"/>
  <c r="E4" i="86"/>
  <c r="D4" i="86"/>
  <c r="C4" i="86"/>
  <c r="B4" i="86"/>
  <c r="A4" i="86"/>
  <c r="I2" i="86"/>
  <c r="H2" i="86"/>
  <c r="G2" i="86"/>
  <c r="F2" i="86"/>
  <c r="E2" i="86"/>
  <c r="D2" i="86"/>
  <c r="C2" i="86"/>
  <c r="B2" i="86"/>
  <c r="A2" i="86"/>
  <c r="F215" i="29"/>
  <c r="F214" i="29"/>
  <c r="F213" i="29"/>
  <c r="F212" i="29"/>
  <c r="F211" i="29"/>
  <c r="F210" i="29"/>
  <c r="F209" i="29"/>
  <c r="F208" i="29"/>
  <c r="F207" i="29"/>
  <c r="F206" i="29"/>
  <c r="F205" i="29"/>
  <c r="F204" i="29"/>
  <c r="F203" i="29"/>
  <c r="F202" i="29"/>
  <c r="F201" i="29"/>
  <c r="F200" i="29"/>
  <c r="F199" i="29"/>
  <c r="F198" i="29"/>
  <c r="F197" i="29"/>
  <c r="F196" i="29"/>
  <c r="F195" i="29"/>
  <c r="F194" i="29"/>
  <c r="F193" i="29"/>
  <c r="F192" i="29"/>
  <c r="F191" i="29"/>
  <c r="F190" i="29"/>
  <c r="F189" i="29"/>
  <c r="P177" i="29"/>
  <c r="N177" i="29"/>
  <c r="L177" i="29"/>
  <c r="J177" i="29"/>
  <c r="H177" i="29"/>
  <c r="F177" i="29"/>
  <c r="D177" i="29"/>
  <c r="B177" i="29"/>
  <c r="R134" i="29"/>
  <c r="R135" i="29" s="1"/>
  <c r="Q134" i="29"/>
  <c r="Q135" i="29" s="1"/>
  <c r="P134" i="29"/>
  <c r="P135" i="29" s="1"/>
  <c r="O134" i="29"/>
  <c r="O135" i="29" s="1"/>
  <c r="N134" i="29"/>
  <c r="N135" i="29" s="1"/>
  <c r="M134" i="29"/>
  <c r="M135" i="29" s="1"/>
  <c r="L134" i="29"/>
  <c r="L135" i="29" s="1"/>
  <c r="K134" i="29"/>
  <c r="K135" i="29" s="1"/>
  <c r="J134" i="29"/>
  <c r="J135" i="29" s="1"/>
  <c r="I134" i="29"/>
  <c r="I135" i="29" s="1"/>
  <c r="H134" i="29"/>
  <c r="H135" i="29" s="1"/>
  <c r="G134" i="29"/>
  <c r="G135" i="29" s="1"/>
  <c r="F134" i="29"/>
  <c r="F135" i="29" s="1"/>
  <c r="E134" i="29"/>
  <c r="E135" i="29" s="1"/>
  <c r="D134" i="29"/>
  <c r="D135" i="29" s="1"/>
  <c r="C134" i="29"/>
  <c r="R133" i="29"/>
  <c r="Q133" i="29"/>
  <c r="P133" i="29"/>
  <c r="O133" i="29"/>
  <c r="N133" i="29"/>
  <c r="M133" i="29"/>
  <c r="L133" i="29"/>
  <c r="K133" i="29"/>
  <c r="J133" i="29"/>
  <c r="I133" i="29"/>
  <c r="H133" i="29"/>
  <c r="G133" i="29"/>
  <c r="F133" i="29"/>
  <c r="E133" i="29"/>
  <c r="D133" i="29"/>
  <c r="C133" i="29"/>
  <c r="R122" i="29"/>
  <c r="C122" i="29"/>
  <c r="B122" i="29"/>
  <c r="AB122" i="29" s="1"/>
  <c r="A122" i="29"/>
  <c r="R121" i="29"/>
  <c r="C121" i="29"/>
  <c r="B121" i="29"/>
  <c r="AB121" i="29" s="1"/>
  <c r="A121" i="29"/>
  <c r="R120" i="29"/>
  <c r="C120" i="29"/>
  <c r="B120" i="29"/>
  <c r="AB120" i="29" s="1"/>
  <c r="A120" i="29"/>
  <c r="AA120" i="29" s="1"/>
  <c r="R119" i="29"/>
  <c r="C119" i="29"/>
  <c r="B119" i="29"/>
  <c r="AB119" i="29" s="1"/>
  <c r="A119" i="29"/>
  <c r="R118" i="29"/>
  <c r="C118" i="29"/>
  <c r="B118" i="29"/>
  <c r="AB118" i="29" s="1"/>
  <c r="A118" i="29"/>
  <c r="AA118" i="29" s="1"/>
  <c r="R117" i="29"/>
  <c r="C117" i="29"/>
  <c r="B117" i="29"/>
  <c r="AB117" i="29" s="1"/>
  <c r="A117" i="29"/>
  <c r="R116" i="29"/>
  <c r="C116" i="29"/>
  <c r="B116" i="29"/>
  <c r="AB116" i="29" s="1"/>
  <c r="A116" i="29"/>
  <c r="AA116" i="29" s="1"/>
  <c r="R115" i="29"/>
  <c r="C115" i="29"/>
  <c r="B115" i="29"/>
  <c r="AB115" i="29" s="1"/>
  <c r="A115" i="29"/>
  <c r="R114" i="29"/>
  <c r="C114" i="29"/>
  <c r="B114" i="29"/>
  <c r="AB114" i="29" s="1"/>
  <c r="A114" i="29"/>
  <c r="R113" i="29"/>
  <c r="C113" i="29"/>
  <c r="B113" i="29"/>
  <c r="AB113" i="29" s="1"/>
  <c r="A113" i="29"/>
  <c r="AA113" i="29" s="1"/>
  <c r="R112" i="29"/>
  <c r="C112" i="29"/>
  <c r="B112" i="29"/>
  <c r="AB112" i="29" s="1"/>
  <c r="A112" i="29"/>
  <c r="R111" i="29"/>
  <c r="C111" i="29"/>
  <c r="B111" i="29"/>
  <c r="AB111" i="29" s="1"/>
  <c r="A111" i="29"/>
  <c r="AA111" i="29" s="1"/>
  <c r="R110" i="29"/>
  <c r="C110" i="29"/>
  <c r="B110" i="29"/>
  <c r="AB110" i="29" s="1"/>
  <c r="A110" i="29"/>
  <c r="R109" i="29"/>
  <c r="C109" i="29"/>
  <c r="B109" i="29"/>
  <c r="AB109" i="29" s="1"/>
  <c r="A109" i="29"/>
  <c r="AA109" i="29" s="1"/>
  <c r="R108" i="29"/>
  <c r="C108" i="29"/>
  <c r="B108" i="29"/>
  <c r="AB108" i="29" s="1"/>
  <c r="A108" i="29"/>
  <c r="R107" i="29"/>
  <c r="C107" i="29"/>
  <c r="B107" i="29"/>
  <c r="AB107" i="29" s="1"/>
  <c r="A107" i="29"/>
  <c r="AA107" i="29" s="1"/>
  <c r="R106" i="29"/>
  <c r="C106" i="29"/>
  <c r="B106" i="29"/>
  <c r="AB106" i="29" s="1"/>
  <c r="A106" i="29"/>
  <c r="R105" i="29"/>
  <c r="C105" i="29"/>
  <c r="B105" i="29"/>
  <c r="AB105" i="29" s="1"/>
  <c r="A105" i="29"/>
  <c r="AA105" i="29" s="1"/>
  <c r="R104" i="29"/>
  <c r="C104" i="29"/>
  <c r="B104" i="29"/>
  <c r="AB104" i="29" s="1"/>
  <c r="A104" i="29"/>
  <c r="R103" i="29"/>
  <c r="C103" i="29"/>
  <c r="B103" i="29"/>
  <c r="AB103" i="29" s="1"/>
  <c r="A103" i="29"/>
  <c r="AA103" i="29" s="1"/>
  <c r="R102" i="29"/>
  <c r="C102" i="29"/>
  <c r="B102" i="29"/>
  <c r="AB102" i="29" s="1"/>
  <c r="A102" i="29"/>
  <c r="R101" i="29"/>
  <c r="C101" i="29"/>
  <c r="B101" i="29"/>
  <c r="AB101" i="29" s="1"/>
  <c r="A101" i="29"/>
  <c r="R100" i="29"/>
  <c r="C100" i="29"/>
  <c r="B100" i="29"/>
  <c r="AB100" i="29" s="1"/>
  <c r="A100" i="29"/>
  <c r="AA100" i="29" s="1"/>
  <c r="R99" i="29"/>
  <c r="C99" i="29"/>
  <c r="B99" i="29"/>
  <c r="AB99" i="29" s="1"/>
  <c r="A99" i="29"/>
  <c r="R98" i="29"/>
  <c r="C98" i="29"/>
  <c r="B98" i="29"/>
  <c r="AB98" i="29" s="1"/>
  <c r="A98" i="29"/>
  <c r="AA98" i="29" s="1"/>
  <c r="R97" i="29"/>
  <c r="C97" i="29"/>
  <c r="B97" i="29"/>
  <c r="AB97" i="29" s="1"/>
  <c r="A97" i="29"/>
  <c r="R96" i="29"/>
  <c r="C96" i="29"/>
  <c r="B96" i="29"/>
  <c r="AB96" i="29" s="1"/>
  <c r="A96" i="29"/>
  <c r="R95" i="29"/>
  <c r="C95" i="29"/>
  <c r="B95" i="29"/>
  <c r="AB95" i="29" s="1"/>
  <c r="A95" i="29"/>
  <c r="R94" i="29"/>
  <c r="C94" i="29"/>
  <c r="B94" i="29"/>
  <c r="AB94" i="29" s="1"/>
  <c r="A94" i="29"/>
  <c r="R93" i="29"/>
  <c r="C93" i="29"/>
  <c r="B93" i="29"/>
  <c r="AB93" i="29" s="1"/>
  <c r="A93" i="29"/>
  <c r="AA93" i="29" s="1"/>
  <c r="R92" i="29"/>
  <c r="C92" i="29"/>
  <c r="B92" i="29"/>
  <c r="AB92" i="29" s="1"/>
  <c r="A92" i="29"/>
  <c r="R91" i="29"/>
  <c r="C91" i="29"/>
  <c r="B91" i="29"/>
  <c r="AB91" i="29" s="1"/>
  <c r="A91" i="29"/>
  <c r="R90" i="29"/>
  <c r="C90" i="29"/>
  <c r="B90" i="29"/>
  <c r="AB90" i="29" s="1"/>
  <c r="A90" i="29"/>
  <c r="R89" i="29"/>
  <c r="C89" i="29"/>
  <c r="B89" i="29"/>
  <c r="AB89" i="29" s="1"/>
  <c r="A89" i="29"/>
  <c r="AA89" i="29" s="1"/>
  <c r="R88" i="29"/>
  <c r="C88" i="29"/>
  <c r="B88" i="29"/>
  <c r="AB88" i="29" s="1"/>
  <c r="A88" i="29"/>
  <c r="R87" i="29"/>
  <c r="C87" i="29"/>
  <c r="B87" i="29"/>
  <c r="AB87" i="29" s="1"/>
  <c r="A87" i="29"/>
  <c r="R86" i="29"/>
  <c r="C86" i="29"/>
  <c r="B86" i="29"/>
  <c r="AB86" i="29" s="1"/>
  <c r="A86" i="29"/>
  <c r="R85" i="29"/>
  <c r="C85" i="29"/>
  <c r="B85" i="29"/>
  <c r="AB85" i="29" s="1"/>
  <c r="A85" i="29"/>
  <c r="R81" i="29"/>
  <c r="C81" i="29"/>
  <c r="B81" i="29"/>
  <c r="AB81" i="29" s="1"/>
  <c r="A81" i="29"/>
  <c r="R80" i="29"/>
  <c r="C80" i="29"/>
  <c r="B80" i="29"/>
  <c r="AB80" i="29" s="1"/>
  <c r="A80" i="29"/>
  <c r="R79" i="29"/>
  <c r="C79" i="29"/>
  <c r="B79" i="29"/>
  <c r="AB79" i="29" s="1"/>
  <c r="A79" i="29"/>
  <c r="R78" i="29"/>
  <c r="C78" i="29"/>
  <c r="B78" i="29"/>
  <c r="AB78" i="29" s="1"/>
  <c r="A78" i="29"/>
  <c r="R77" i="29"/>
  <c r="C77" i="29"/>
  <c r="B77" i="29"/>
  <c r="AB77" i="29" s="1"/>
  <c r="A77" i="29"/>
  <c r="R76" i="29"/>
  <c r="C76" i="29"/>
  <c r="B76" i="29"/>
  <c r="AB76" i="29" s="1"/>
  <c r="A76" i="29"/>
  <c r="AA76" i="29" s="1"/>
  <c r="R73" i="29"/>
  <c r="C73" i="29"/>
  <c r="B73" i="29"/>
  <c r="AB73" i="29" s="1"/>
  <c r="A73" i="29"/>
  <c r="R72" i="29"/>
  <c r="C72" i="29"/>
  <c r="B72" i="29"/>
  <c r="AB72" i="29" s="1"/>
  <c r="A72" i="29"/>
  <c r="R71" i="29"/>
  <c r="C71" i="29"/>
  <c r="B71" i="29"/>
  <c r="AB71" i="29" s="1"/>
  <c r="A71" i="29"/>
  <c r="R70" i="29"/>
  <c r="C70" i="29"/>
  <c r="B70" i="29"/>
  <c r="AB70" i="29" s="1"/>
  <c r="A70" i="29"/>
  <c r="R69" i="29"/>
  <c r="C69" i="29"/>
  <c r="B69" i="29"/>
  <c r="AB69" i="29" s="1"/>
  <c r="A69" i="29"/>
  <c r="R68" i="29"/>
  <c r="C68" i="29"/>
  <c r="B68" i="29"/>
  <c r="AB68" i="29" s="1"/>
  <c r="A68" i="29"/>
  <c r="AA68" i="29" s="1"/>
  <c r="R65" i="29"/>
  <c r="C65" i="29"/>
  <c r="B65" i="29"/>
  <c r="AB65" i="29" s="1"/>
  <c r="A65" i="29"/>
  <c r="R64" i="29"/>
  <c r="C64" i="29"/>
  <c r="B64" i="29"/>
  <c r="AB64" i="29" s="1"/>
  <c r="A64" i="29"/>
  <c r="R63" i="29"/>
  <c r="C63" i="29"/>
  <c r="B63" i="29"/>
  <c r="AB63" i="29" s="1"/>
  <c r="A63" i="29"/>
  <c r="R62" i="29"/>
  <c r="C62" i="29"/>
  <c r="B62" i="29"/>
  <c r="AB62" i="29" s="1"/>
  <c r="A62" i="29"/>
  <c r="R61" i="29"/>
  <c r="C61" i="29"/>
  <c r="B61" i="29"/>
  <c r="AB61" i="29" s="1"/>
  <c r="A61" i="29"/>
  <c r="R60" i="29"/>
  <c r="C60" i="29"/>
  <c r="B60" i="29"/>
  <c r="AB60" i="29" s="1"/>
  <c r="A60" i="29"/>
  <c r="AA60" i="29" s="1"/>
  <c r="R59" i="29"/>
  <c r="C59" i="29"/>
  <c r="B59" i="29"/>
  <c r="AB59" i="29" s="1"/>
  <c r="A59" i="29"/>
  <c r="R58" i="29"/>
  <c r="C58" i="29"/>
  <c r="B58" i="29"/>
  <c r="AB58" i="29" s="1"/>
  <c r="A58" i="29"/>
  <c r="R57" i="29"/>
  <c r="C57" i="29"/>
  <c r="B57" i="29"/>
  <c r="AB57" i="29" s="1"/>
  <c r="A57" i="29"/>
  <c r="R56" i="29"/>
  <c r="C56" i="29"/>
  <c r="B56" i="29"/>
  <c r="AB56" i="29" s="1"/>
  <c r="A56" i="29"/>
  <c r="R55" i="29"/>
  <c r="C55" i="29"/>
  <c r="B55" i="29"/>
  <c r="AB55" i="29" s="1"/>
  <c r="A55" i="29"/>
  <c r="R54" i="29"/>
  <c r="C54" i="29"/>
  <c r="B54" i="29"/>
  <c r="AB54" i="29" s="1"/>
  <c r="A54" i="29"/>
  <c r="R53" i="29"/>
  <c r="C53" i="29"/>
  <c r="B53" i="29"/>
  <c r="AB53" i="29" s="1"/>
  <c r="A53" i="29"/>
  <c r="R52" i="29"/>
  <c r="C52" i="29"/>
  <c r="B52" i="29"/>
  <c r="AB52" i="29" s="1"/>
  <c r="A52" i="29"/>
  <c r="R51" i="29"/>
  <c r="C51" i="29"/>
  <c r="B51" i="29"/>
  <c r="AB51" i="29" s="1"/>
  <c r="A51" i="29"/>
  <c r="AA51" i="29" s="1"/>
  <c r="R48" i="29"/>
  <c r="C48" i="29"/>
  <c r="B48" i="29"/>
  <c r="AB48" i="29" s="1"/>
  <c r="A48" i="29"/>
  <c r="R47" i="29"/>
  <c r="C47" i="29"/>
  <c r="B47" i="29"/>
  <c r="AB47" i="29" s="1"/>
  <c r="A47" i="29"/>
  <c r="R46" i="29"/>
  <c r="C46" i="29"/>
  <c r="B46" i="29"/>
  <c r="AB46" i="29" s="1"/>
  <c r="A46" i="29"/>
  <c r="R45" i="29"/>
  <c r="C45" i="29"/>
  <c r="B45" i="29"/>
  <c r="AB45" i="29" s="1"/>
  <c r="A45" i="29"/>
  <c r="R44" i="29"/>
  <c r="C44" i="29"/>
  <c r="B44" i="29"/>
  <c r="AB44" i="29" s="1"/>
  <c r="A44" i="29"/>
  <c r="R43" i="29"/>
  <c r="C43" i="29"/>
  <c r="B43" i="29"/>
  <c r="AB43" i="29" s="1"/>
  <c r="A43" i="29"/>
  <c r="AA43" i="29" s="1"/>
  <c r="R40" i="29"/>
  <c r="C40" i="29"/>
  <c r="B40" i="29"/>
  <c r="AB40" i="29" s="1"/>
  <c r="A40" i="29"/>
  <c r="R39" i="29"/>
  <c r="C39" i="29"/>
  <c r="B39" i="29"/>
  <c r="AB39" i="29" s="1"/>
  <c r="R38" i="29"/>
  <c r="C38" i="29"/>
  <c r="B38" i="29"/>
  <c r="AB38" i="29" s="1"/>
  <c r="A38" i="29"/>
  <c r="R37" i="29"/>
  <c r="C37" i="29"/>
  <c r="B37" i="29"/>
  <c r="AB37" i="29" s="1"/>
  <c r="A37" i="29"/>
  <c r="R36" i="29"/>
  <c r="C36" i="29"/>
  <c r="B36" i="29"/>
  <c r="AB36" i="29" s="1"/>
  <c r="A36" i="29"/>
  <c r="AA36" i="29" s="1"/>
  <c r="R35" i="29"/>
  <c r="C35" i="29"/>
  <c r="B35" i="29"/>
  <c r="AB35" i="29" s="1"/>
  <c r="A35" i="29"/>
  <c r="R34" i="29"/>
  <c r="C34" i="29"/>
  <c r="B34" i="29"/>
  <c r="AB34" i="29" s="1"/>
  <c r="A34" i="29"/>
  <c r="R33" i="29"/>
  <c r="C33" i="29"/>
  <c r="B33" i="29"/>
  <c r="AB33" i="29" s="1"/>
  <c r="A33" i="29"/>
  <c r="R32" i="29"/>
  <c r="C32" i="29"/>
  <c r="B32" i="29"/>
  <c r="AB32" i="29" s="1"/>
  <c r="A32" i="29"/>
  <c r="AA32" i="29" s="1"/>
  <c r="R30" i="29"/>
  <c r="B30" i="29"/>
  <c r="AB30" i="29" s="1"/>
  <c r="A30" i="29"/>
  <c r="R29" i="29"/>
  <c r="B29" i="29"/>
  <c r="AB29" i="29" s="1"/>
  <c r="A29" i="29"/>
  <c r="R28" i="29"/>
  <c r="B28" i="29"/>
  <c r="AB28" i="29" s="1"/>
  <c r="A28" i="29"/>
  <c r="R27" i="29"/>
  <c r="B27" i="29"/>
  <c r="AB27" i="29" s="1"/>
  <c r="A27" i="29"/>
  <c r="R26" i="29"/>
  <c r="B26" i="29"/>
  <c r="AB26" i="29" s="1"/>
  <c r="A26" i="29"/>
  <c r="AA26" i="29" s="1"/>
  <c r="R25" i="29"/>
  <c r="C25" i="29"/>
  <c r="B25" i="29"/>
  <c r="AB25" i="29" s="1"/>
  <c r="A25" i="29"/>
  <c r="R24" i="29"/>
  <c r="C24" i="29"/>
  <c r="B24" i="29"/>
  <c r="AB24" i="29" s="1"/>
  <c r="A24" i="29"/>
  <c r="R23" i="29"/>
  <c r="C23" i="29"/>
  <c r="B23" i="29"/>
  <c r="AB23" i="29" s="1"/>
  <c r="A23" i="29"/>
  <c r="R22" i="29"/>
  <c r="C22" i="29"/>
  <c r="B22" i="29"/>
  <c r="AB22" i="29" s="1"/>
  <c r="A22" i="29"/>
  <c r="R21" i="29"/>
  <c r="C21" i="29"/>
  <c r="B21" i="29"/>
  <c r="AB21" i="29" s="1"/>
  <c r="A21" i="29"/>
  <c r="AA21" i="29" s="1"/>
  <c r="R20" i="29"/>
  <c r="C20" i="29"/>
  <c r="B20" i="29"/>
  <c r="AB20" i="29" s="1"/>
  <c r="A20" i="29"/>
  <c r="R19" i="29"/>
  <c r="C19" i="29"/>
  <c r="B19" i="29"/>
  <c r="AB19" i="29" s="1"/>
  <c r="A19" i="29"/>
  <c r="R18" i="29"/>
  <c r="C18" i="29"/>
  <c r="B18" i="29"/>
  <c r="AB18" i="29" s="1"/>
  <c r="A18" i="29"/>
  <c r="R17" i="29"/>
  <c r="C17" i="29"/>
  <c r="B17" i="29"/>
  <c r="AB17" i="29" s="1"/>
  <c r="A17" i="29"/>
  <c r="R16" i="29"/>
  <c r="C16" i="29"/>
  <c r="B16" i="29"/>
  <c r="AB16" i="29" s="1"/>
  <c r="A16" i="29"/>
  <c r="R15" i="29"/>
  <c r="C15" i="29"/>
  <c r="B15" i="29"/>
  <c r="AB15" i="29" s="1"/>
  <c r="A15" i="29"/>
  <c r="R14" i="29"/>
  <c r="C14" i="29"/>
  <c r="B14" i="29"/>
  <c r="AB14" i="29" s="1"/>
  <c r="A14" i="29"/>
  <c r="R13" i="29"/>
  <c r="C13" i="29"/>
  <c r="B13" i="29"/>
  <c r="AB13" i="29" s="1"/>
  <c r="A13" i="29"/>
  <c r="AA13" i="29" s="1"/>
  <c r="R12" i="29"/>
  <c r="C12" i="29"/>
  <c r="B12" i="29"/>
  <c r="AB12" i="29" s="1"/>
  <c r="A12" i="29"/>
  <c r="R11" i="29"/>
  <c r="C11" i="29"/>
  <c r="B11" i="29"/>
  <c r="AB11" i="29" s="1"/>
  <c r="A11" i="29"/>
  <c r="R10" i="29"/>
  <c r="C10" i="29"/>
  <c r="B10" i="29"/>
  <c r="AB10" i="29" s="1"/>
  <c r="A10" i="29"/>
  <c r="R9" i="29"/>
  <c r="C9" i="29"/>
  <c r="B9" i="29"/>
  <c r="AB9" i="29" s="1"/>
  <c r="A9" i="29"/>
  <c r="R8" i="29"/>
  <c r="B8" i="29"/>
  <c r="AB8" i="29" s="1"/>
  <c r="A8" i="29"/>
  <c r="AA8" i="29" s="1"/>
  <c r="B5" i="29"/>
  <c r="D2" i="29" s="1"/>
  <c r="C2" i="29"/>
  <c r="C3" i="29" s="1"/>
  <c r="D115" i="12"/>
  <c r="D114" i="12"/>
  <c r="D113" i="12"/>
  <c r="E110" i="12"/>
  <c r="B110" i="12"/>
  <c r="E108" i="12"/>
  <c r="A107" i="12"/>
  <c r="A106" i="12"/>
  <c r="S53" i="12"/>
  <c r="C105" i="12" s="1"/>
  <c r="A105" i="12"/>
  <c r="A104" i="12"/>
  <c r="A103" i="12"/>
  <c r="E102" i="12"/>
  <c r="A101" i="12"/>
  <c r="A100" i="12"/>
  <c r="E99" i="12"/>
  <c r="A99" i="12"/>
  <c r="A98" i="12"/>
  <c r="A97" i="12"/>
  <c r="A96" i="12"/>
  <c r="A95" i="12"/>
  <c r="A82" i="12"/>
  <c r="G75" i="12"/>
  <c r="G74" i="12"/>
  <c r="G69" i="12"/>
  <c r="G68" i="12"/>
  <c r="A67" i="12"/>
  <c r="A66" i="12"/>
  <c r="C108" i="12"/>
  <c r="C74" i="64"/>
  <c r="S55" i="12"/>
  <c r="C107" i="12" s="1"/>
  <c r="O55" i="12"/>
  <c r="M55" i="12"/>
  <c r="C73" i="64" s="1"/>
  <c r="D73" i="64" s="1"/>
  <c r="I55" i="12"/>
  <c r="E107" i="12" s="1"/>
  <c r="H55" i="12"/>
  <c r="J55" i="12" s="1"/>
  <c r="U55" i="12" s="1"/>
  <c r="V55" i="12" s="1"/>
  <c r="S54" i="12"/>
  <c r="C106" i="12" s="1"/>
  <c r="M54" i="12"/>
  <c r="O54" i="12" s="1"/>
  <c r="B69" i="4" s="1"/>
  <c r="H54" i="12"/>
  <c r="J54" i="12" s="1"/>
  <c r="U54" i="12" s="1"/>
  <c r="V54" i="12" s="1"/>
  <c r="M53" i="12"/>
  <c r="O53" i="12" s="1"/>
  <c r="B68" i="4" s="1"/>
  <c r="I53" i="12"/>
  <c r="E105" i="12" s="1"/>
  <c r="C110" i="12"/>
  <c r="H52" i="12"/>
  <c r="J52" i="12" s="1"/>
  <c r="U52" i="12" s="1"/>
  <c r="V52" i="12" s="1"/>
  <c r="S51" i="12"/>
  <c r="C104" i="12" s="1"/>
  <c r="M51" i="12"/>
  <c r="B104" i="12" s="1"/>
  <c r="H51" i="12"/>
  <c r="J51" i="12" s="1"/>
  <c r="U51" i="12" s="1"/>
  <c r="V51" i="12" s="1"/>
  <c r="S50" i="12"/>
  <c r="C103" i="12" s="1"/>
  <c r="M50" i="12"/>
  <c r="C70" i="64" s="1"/>
  <c r="D70" i="64" s="1"/>
  <c r="H50" i="12"/>
  <c r="J50" i="12" s="1"/>
  <c r="U50" i="12" s="1"/>
  <c r="V50" i="12" s="1"/>
  <c r="C102" i="12"/>
  <c r="C69" i="64"/>
  <c r="D69" i="64" s="1"/>
  <c r="S49" i="12"/>
  <c r="C101" i="12" s="1"/>
  <c r="M49" i="12"/>
  <c r="C68" i="64" s="1"/>
  <c r="D68" i="64" s="1"/>
  <c r="H49" i="12"/>
  <c r="J49" i="12" s="1"/>
  <c r="U49" i="12" s="1"/>
  <c r="V49" i="12" s="1"/>
  <c r="C100" i="12"/>
  <c r="B100" i="12"/>
  <c r="S48" i="12"/>
  <c r="C99" i="12" s="1"/>
  <c r="M48" i="12"/>
  <c r="C66" i="64" s="1"/>
  <c r="D66" i="64" s="1"/>
  <c r="H48" i="12"/>
  <c r="J48" i="12" s="1"/>
  <c r="U48" i="12" s="1"/>
  <c r="V48" i="12" s="1"/>
  <c r="S47" i="12"/>
  <c r="C98" i="12" s="1"/>
  <c r="M47" i="12"/>
  <c r="C65" i="64" s="1"/>
  <c r="D65" i="64" s="1"/>
  <c r="I47" i="12"/>
  <c r="E98" i="12" s="1"/>
  <c r="S45" i="12"/>
  <c r="C97" i="12" s="1"/>
  <c r="M45" i="12"/>
  <c r="B97" i="12" s="1"/>
  <c r="H45" i="12"/>
  <c r="J45" i="12" s="1"/>
  <c r="U45" i="12" s="1"/>
  <c r="V45" i="12" s="1"/>
  <c r="S46" i="12"/>
  <c r="C96" i="12" s="1"/>
  <c r="M46" i="12"/>
  <c r="C64" i="64" s="1"/>
  <c r="D64" i="64" s="1"/>
  <c r="I46" i="12"/>
  <c r="E96" i="12" s="1"/>
  <c r="S44" i="12"/>
  <c r="C95" i="12" s="1"/>
  <c r="M44" i="12"/>
  <c r="C63" i="64" s="1"/>
  <c r="H44" i="12"/>
  <c r="J44" i="12" s="1"/>
  <c r="U44" i="12" s="1"/>
  <c r="V44" i="12" s="1"/>
  <c r="S40" i="12"/>
  <c r="D83" i="12" s="1"/>
  <c r="M40" i="12"/>
  <c r="B83" i="12" s="1"/>
  <c r="H40" i="12"/>
  <c r="U40" i="12" s="1"/>
  <c r="V40" i="12" s="1"/>
  <c r="D82" i="12"/>
  <c r="B82" i="12"/>
  <c r="G82" i="12"/>
  <c r="S36" i="12"/>
  <c r="D81" i="12" s="1"/>
  <c r="M36" i="12"/>
  <c r="G81" i="12"/>
  <c r="S35" i="12"/>
  <c r="M35" i="12"/>
  <c r="S34" i="12"/>
  <c r="M34" i="12"/>
  <c r="S33" i="12"/>
  <c r="M33" i="12"/>
  <c r="O33" i="12" s="1"/>
  <c r="N33" i="12" s="1"/>
  <c r="S31" i="12"/>
  <c r="M31" i="12"/>
  <c r="O31" i="12" s="1"/>
  <c r="N31" i="12" s="1"/>
  <c r="S30" i="12"/>
  <c r="M30" i="12"/>
  <c r="O30" i="12" s="1"/>
  <c r="H30" i="12"/>
  <c r="U30" i="12" s="1"/>
  <c r="V30" i="12" s="1"/>
  <c r="S29" i="12"/>
  <c r="G29" i="12"/>
  <c r="H29" i="12" s="1"/>
  <c r="U29" i="12" s="1"/>
  <c r="S28" i="12"/>
  <c r="G28" i="12"/>
  <c r="H28" i="12" s="1"/>
  <c r="U28" i="12" s="1"/>
  <c r="S27" i="12"/>
  <c r="M27" i="12"/>
  <c r="O27" i="12" s="1"/>
  <c r="N27" i="12" s="1"/>
  <c r="S26" i="12"/>
  <c r="M26" i="12"/>
  <c r="O26" i="12" s="1"/>
  <c r="D75" i="12"/>
  <c r="B75" i="12"/>
  <c r="M25" i="12"/>
  <c r="B72" i="12"/>
  <c r="H20" i="12"/>
  <c r="U20" i="12" s="1"/>
  <c r="V20" i="12" s="1"/>
  <c r="S19" i="12"/>
  <c r="M19" i="12"/>
  <c r="O19" i="12" s="1"/>
  <c r="N19" i="12" s="1"/>
  <c r="S18" i="12"/>
  <c r="M18" i="12"/>
  <c r="O18" i="12" s="1"/>
  <c r="N18" i="12" s="1"/>
  <c r="S17" i="12"/>
  <c r="M17" i="12"/>
  <c r="O17" i="12" s="1"/>
  <c r="N17" i="12" s="1"/>
  <c r="M16" i="12"/>
  <c r="O16" i="12" s="1"/>
  <c r="N16" i="12" s="1"/>
  <c r="H16" i="12"/>
  <c r="D69" i="12"/>
  <c r="B69" i="12"/>
  <c r="D68" i="12"/>
  <c r="D67" i="12"/>
  <c r="B67" i="12"/>
  <c r="G67" i="12"/>
  <c r="D66" i="12"/>
  <c r="B66" i="12"/>
  <c r="S10" i="12"/>
  <c r="D65" i="12" s="1"/>
  <c r="M10" i="12"/>
  <c r="B65" i="12" s="1"/>
  <c r="H10" i="12"/>
  <c r="U10" i="12" s="1"/>
  <c r="V10" i="12" s="1"/>
  <c r="S7" i="12"/>
  <c r="M7" i="12"/>
  <c r="O7" i="12" s="1"/>
  <c r="N7" i="12" s="1"/>
  <c r="S6" i="12"/>
  <c r="M6" i="12"/>
  <c r="O6" i="12" s="1"/>
  <c r="N6" i="12" s="1"/>
  <c r="H6" i="12"/>
  <c r="U6" i="12" s="1"/>
  <c r="V6" i="12" s="1"/>
  <c r="S5" i="12"/>
  <c r="M5" i="12"/>
  <c r="O5" i="12" s="1"/>
  <c r="N5" i="12" s="1"/>
  <c r="S4" i="12"/>
  <c r="M4" i="12"/>
  <c r="S2" i="12"/>
  <c r="D62" i="12" s="1"/>
  <c r="M2" i="12"/>
  <c r="H2" i="12"/>
  <c r="U2" i="12" s="1"/>
  <c r="V2" i="12" s="1"/>
  <c r="I127" i="1"/>
  <c r="H127" i="1"/>
  <c r="D127" i="1"/>
  <c r="C127" i="1"/>
  <c r="B127" i="1"/>
  <c r="J126" i="1"/>
  <c r="I126" i="1"/>
  <c r="H126" i="1"/>
  <c r="D126" i="1"/>
  <c r="C126" i="1"/>
  <c r="B126" i="1"/>
  <c r="C148" i="4"/>
  <c r="B108" i="13"/>
  <c r="E108" i="13" s="1"/>
  <c r="C56" i="64"/>
  <c r="E56" i="64" s="1"/>
  <c r="F108" i="86"/>
  <c r="C54" i="64"/>
  <c r="F97" i="86"/>
  <c r="F89" i="86"/>
  <c r="B99" i="13"/>
  <c r="E99" i="13" s="1"/>
  <c r="F84" i="86"/>
  <c r="B15" i="4"/>
  <c r="B45" i="13"/>
  <c r="E45" i="13" s="1"/>
  <c r="C6" i="64"/>
  <c r="K38" i="64" s="1"/>
  <c r="F4" i="86"/>
  <c r="J127" i="1"/>
  <c r="K127" i="1" s="1"/>
  <c r="E178" i="4"/>
  <c r="E162" i="4"/>
  <c r="E22" i="26"/>
  <c r="E199" i="4"/>
  <c r="I33" i="86"/>
  <c r="E166" i="4"/>
  <c r="I37" i="86"/>
  <c r="E205" i="4"/>
  <c r="I68" i="86"/>
  <c r="E210" i="4"/>
  <c r="I73" i="86"/>
  <c r="E189" i="4"/>
  <c r="I7" i="86"/>
  <c r="E157" i="4"/>
  <c r="I10" i="86"/>
  <c r="E159" i="4"/>
  <c r="I12" i="86"/>
  <c r="I15" i="86"/>
  <c r="E216" i="4"/>
  <c r="I23" i="86"/>
  <c r="E218" i="4"/>
  <c r="I25" i="86"/>
  <c r="E219" i="4"/>
  <c r="I26" i="86"/>
  <c r="E198" i="4"/>
  <c r="E165" i="4"/>
  <c r="E168" i="4"/>
  <c r="I39" i="86"/>
  <c r="E226" i="4"/>
  <c r="I43" i="86"/>
  <c r="E227" i="4"/>
  <c r="I44" i="86"/>
  <c r="E228" i="4"/>
  <c r="I45" i="86"/>
  <c r="E231" i="4"/>
  <c r="I48" i="86"/>
  <c r="E234" i="4"/>
  <c r="I51" i="86"/>
  <c r="E176" i="4"/>
  <c r="E16" i="114"/>
  <c r="I58" i="86"/>
  <c r="E177" i="4"/>
  <c r="I59" i="86"/>
  <c r="I60" i="86"/>
  <c r="E179" i="4"/>
  <c r="I61" i="86"/>
  <c r="E180" i="4"/>
  <c r="I62" i="86"/>
  <c r="E181" i="4"/>
  <c r="I63" i="86"/>
  <c r="E203" i="4"/>
  <c r="I66" i="86"/>
  <c r="E204" i="4"/>
  <c r="I67" i="86"/>
  <c r="E237" i="4"/>
  <c r="I77" i="86"/>
  <c r="E241" i="4"/>
  <c r="I81" i="86"/>
  <c r="D122" i="4"/>
  <c r="I87" i="86"/>
  <c r="D120" i="4"/>
  <c r="I90" i="86"/>
  <c r="D124" i="4"/>
  <c r="F49" i="4"/>
  <c r="G49" i="4" s="1"/>
  <c r="E28" i="114" s="1"/>
  <c r="I91" i="86"/>
  <c r="D128" i="4"/>
  <c r="C128" i="4"/>
  <c r="I95" i="86"/>
  <c r="C130" i="4"/>
  <c r="B51" i="4"/>
  <c r="C51" i="64"/>
  <c r="F99" i="86"/>
  <c r="C132" i="4"/>
  <c r="D133" i="4"/>
  <c r="I100" i="86"/>
  <c r="C135" i="4"/>
  <c r="D140" i="4"/>
  <c r="I107" i="86"/>
  <c r="D141" i="4"/>
  <c r="F54" i="4"/>
  <c r="G54" i="4" s="1"/>
  <c r="E33" i="114" s="1"/>
  <c r="I108" i="86"/>
  <c r="F55" i="4"/>
  <c r="G55" i="4" s="1"/>
  <c r="E34" i="114" s="1"/>
  <c r="D143" i="4"/>
  <c r="I110" i="86"/>
  <c r="C145" i="4"/>
  <c r="D147" i="4"/>
  <c r="I114" i="86"/>
  <c r="E187" i="4"/>
  <c r="I5" i="86"/>
  <c r="E197" i="4"/>
  <c r="I31" i="86"/>
  <c r="E167" i="4"/>
  <c r="I38" i="86"/>
  <c r="E169" i="4"/>
  <c r="I40" i="86"/>
  <c r="E243" i="4"/>
  <c r="I83" i="86"/>
  <c r="F3" i="4"/>
  <c r="G3" i="4" s="1"/>
  <c r="E8" i="114" s="1"/>
  <c r="E156" i="4"/>
  <c r="C4" i="27"/>
  <c r="I9" i="86"/>
  <c r="E158" i="4"/>
  <c r="I11" i="86"/>
  <c r="E160" i="4"/>
  <c r="I13" i="86"/>
  <c r="E161" i="4"/>
  <c r="I14" i="86"/>
  <c r="E163" i="4"/>
  <c r="I16" i="86"/>
  <c r="E215" i="4"/>
  <c r="I22" i="86"/>
  <c r="E217" i="4"/>
  <c r="I24" i="86"/>
  <c r="E222" i="4"/>
  <c r="I28" i="86"/>
  <c r="E191" i="4"/>
  <c r="F4" i="4"/>
  <c r="G4" i="4" s="1"/>
  <c r="E9" i="114" s="1"/>
  <c r="C5" i="27"/>
  <c r="I17" i="86"/>
  <c r="E194" i="4"/>
  <c r="I20" i="86"/>
  <c r="E195" i="4"/>
  <c r="I21" i="86"/>
  <c r="E220" i="4"/>
  <c r="F6" i="4"/>
  <c r="G6" i="4" s="1"/>
  <c r="E11" i="114" s="1"/>
  <c r="C7" i="27"/>
  <c r="E223" i="4"/>
  <c r="I29" i="86"/>
  <c r="I32" i="86"/>
  <c r="E164" i="4"/>
  <c r="I35" i="86"/>
  <c r="I36" i="86"/>
  <c r="E224" i="4"/>
  <c r="F77" i="4"/>
  <c r="G77" i="4" s="1"/>
  <c r="K10" i="114" s="1"/>
  <c r="F9" i="4"/>
  <c r="G9" i="4" s="1"/>
  <c r="E14" i="114" s="1"/>
  <c r="C10" i="27"/>
  <c r="I41" i="86"/>
  <c r="E229" i="4"/>
  <c r="F78" i="4"/>
  <c r="G78" i="4" s="1"/>
  <c r="K11" i="114" s="1"/>
  <c r="I46" i="86"/>
  <c r="E232" i="4"/>
  <c r="F79" i="4"/>
  <c r="G79" i="4" s="1"/>
  <c r="K12" i="114" s="1"/>
  <c r="I49" i="86"/>
  <c r="E233" i="4"/>
  <c r="I50" i="86"/>
  <c r="E201" i="4"/>
  <c r="I64" i="86"/>
  <c r="E207" i="4"/>
  <c r="F13" i="4"/>
  <c r="G13" i="4" s="1"/>
  <c r="E18" i="114" s="1"/>
  <c r="I70" i="86"/>
  <c r="C14" i="27"/>
  <c r="E209" i="4"/>
  <c r="I72" i="86"/>
  <c r="E235" i="4"/>
  <c r="F14" i="4"/>
  <c r="G14" i="4" s="1"/>
  <c r="E19" i="114" s="1"/>
  <c r="C15" i="27"/>
  <c r="I75" i="86"/>
  <c r="E239" i="4"/>
  <c r="F15" i="4"/>
  <c r="C16" i="27"/>
  <c r="I79" i="86"/>
  <c r="E242" i="4"/>
  <c r="I82" i="86"/>
  <c r="C121" i="4"/>
  <c r="C123" i="4"/>
  <c r="C119" i="4"/>
  <c r="C125" i="4"/>
  <c r="C49" i="64"/>
  <c r="E49" i="64" s="1"/>
  <c r="F93" i="86"/>
  <c r="C126" i="4"/>
  <c r="C127" i="4"/>
  <c r="D127" i="4"/>
  <c r="C129" i="4"/>
  <c r="D130" i="4"/>
  <c r="I97" i="86"/>
  <c r="D132" i="4"/>
  <c r="F51" i="4"/>
  <c r="G51" i="4" s="1"/>
  <c r="E30" i="114" s="1"/>
  <c r="I99" i="86"/>
  <c r="D135" i="4"/>
  <c r="I102" i="86"/>
  <c r="C142" i="4"/>
  <c r="D142" i="4"/>
  <c r="C144" i="4"/>
  <c r="D145" i="4"/>
  <c r="F56" i="4"/>
  <c r="G56" i="4" s="1"/>
  <c r="E35" i="114" s="1"/>
  <c r="I112" i="86"/>
  <c r="F2" i="4"/>
  <c r="G2" i="4" s="1"/>
  <c r="E7" i="114" s="1"/>
  <c r="E186" i="4"/>
  <c r="C3" i="27"/>
  <c r="I4" i="86"/>
  <c r="E188" i="4"/>
  <c r="I6" i="86"/>
  <c r="E230" i="4"/>
  <c r="I47" i="86"/>
  <c r="E238" i="4"/>
  <c r="I78" i="86"/>
  <c r="C117" i="4"/>
  <c r="C118" i="4"/>
  <c r="D121" i="4"/>
  <c r="F47" i="4"/>
  <c r="G47" i="4" s="1"/>
  <c r="E27" i="114" s="1"/>
  <c r="I86" i="86"/>
  <c r="D123" i="4"/>
  <c r="I88" i="86"/>
  <c r="D119" i="4"/>
  <c r="F48" i="4"/>
  <c r="I89" i="86"/>
  <c r="D125" i="4"/>
  <c r="I92" i="86"/>
  <c r="D126" i="4"/>
  <c r="F50" i="4"/>
  <c r="G50" i="4" s="1"/>
  <c r="I93" i="86"/>
  <c r="I94" i="86"/>
  <c r="D129" i="4"/>
  <c r="I96" i="86"/>
  <c r="C131" i="4"/>
  <c r="C134" i="4"/>
  <c r="C136" i="4"/>
  <c r="C137" i="4"/>
  <c r="C138" i="4"/>
  <c r="C139" i="4"/>
  <c r="D139" i="4"/>
  <c r="I109" i="86"/>
  <c r="D144" i="4"/>
  <c r="I111" i="86"/>
  <c r="C146" i="4"/>
  <c r="D146" i="4"/>
  <c r="E190" i="4"/>
  <c r="I8" i="86"/>
  <c r="E192" i="4"/>
  <c r="I18" i="86"/>
  <c r="E193" i="4"/>
  <c r="I19" i="86"/>
  <c r="E221" i="4"/>
  <c r="I27" i="86"/>
  <c r="E196" i="4"/>
  <c r="G7" i="4"/>
  <c r="E12" i="114" s="1"/>
  <c r="I30" i="86"/>
  <c r="X32" i="1"/>
  <c r="E200" i="4"/>
  <c r="I34" i="86"/>
  <c r="E225" i="4"/>
  <c r="I42" i="86"/>
  <c r="E170" i="4"/>
  <c r="I52" i="86"/>
  <c r="E171" i="4"/>
  <c r="I53" i="86"/>
  <c r="E172" i="4"/>
  <c r="I54" i="86"/>
  <c r="E173" i="4"/>
  <c r="I55" i="86"/>
  <c r="E174" i="4"/>
  <c r="I56" i="86"/>
  <c r="E175" i="4"/>
  <c r="I57" i="86"/>
  <c r="E202" i="4"/>
  <c r="I65" i="86"/>
  <c r="E206" i="4"/>
  <c r="I69" i="86"/>
  <c r="E208" i="4"/>
  <c r="I71" i="86"/>
  <c r="E211" i="4"/>
  <c r="I74" i="86"/>
  <c r="E236" i="4"/>
  <c r="I76" i="86"/>
  <c r="E240" i="4"/>
  <c r="I80" i="86"/>
  <c r="F46" i="4"/>
  <c r="G46" i="4" s="1"/>
  <c r="E25" i="114" s="1"/>
  <c r="D117" i="4"/>
  <c r="I84" i="86"/>
  <c r="D118" i="4"/>
  <c r="I85" i="86"/>
  <c r="C122" i="4"/>
  <c r="C120" i="4"/>
  <c r="F91" i="86"/>
  <c r="B49" i="4"/>
  <c r="C124" i="4"/>
  <c r="D131" i="4"/>
  <c r="I98" i="86"/>
  <c r="C133" i="4"/>
  <c r="G53" i="4"/>
  <c r="E31" i="114" s="1"/>
  <c r="D134" i="4"/>
  <c r="I101" i="86"/>
  <c r="D136" i="4"/>
  <c r="I103" i="86"/>
  <c r="D137" i="4"/>
  <c r="I104" i="86"/>
  <c r="D138" i="4"/>
  <c r="F52" i="4"/>
  <c r="G52" i="4" s="1"/>
  <c r="E32" i="114" s="1"/>
  <c r="I105" i="86"/>
  <c r="I106" i="86"/>
  <c r="C140" i="4"/>
  <c r="C141" i="4"/>
  <c r="C143" i="4"/>
  <c r="I113" i="86"/>
  <c r="C147" i="4"/>
  <c r="C5" i="32"/>
  <c r="C48" i="32"/>
  <c r="H12" i="92"/>
  <c r="H14" i="95"/>
  <c r="H15" i="97"/>
  <c r="H17" i="97"/>
  <c r="B77" i="12"/>
  <c r="B69" i="13"/>
  <c r="E69" i="13" s="1"/>
  <c r="B56" i="4"/>
  <c r="F112" i="86"/>
  <c r="C57" i="64"/>
  <c r="E57" i="64" s="1"/>
  <c r="B85" i="13"/>
  <c r="E85" i="13" s="1"/>
  <c r="F110" i="86"/>
  <c r="B55" i="4"/>
  <c r="B49" i="13"/>
  <c r="E49" i="13" s="1"/>
  <c r="B54" i="4"/>
  <c r="C68" i="4" s="1"/>
  <c r="C55" i="64"/>
  <c r="E55" i="64" s="1"/>
  <c r="B52" i="4"/>
  <c r="C53" i="64"/>
  <c r="F105" i="86"/>
  <c r="B64" i="13"/>
  <c r="E64" i="13" s="1"/>
  <c r="B53" i="4"/>
  <c r="B80" i="13"/>
  <c r="E80" i="13" s="1"/>
  <c r="F101" i="86"/>
  <c r="C52" i="64"/>
  <c r="E52" i="64" s="1"/>
  <c r="B76" i="13"/>
  <c r="E76" i="13" s="1"/>
  <c r="F95" i="86"/>
  <c r="B60" i="13"/>
  <c r="E60" i="13" s="1"/>
  <c r="B102" i="13"/>
  <c r="E102" i="13" s="1"/>
  <c r="C50" i="64"/>
  <c r="E50" i="64" s="1"/>
  <c r="B50" i="4"/>
  <c r="B98" i="13"/>
  <c r="E98" i="13" s="1"/>
  <c r="B101" i="13"/>
  <c r="E101" i="13" s="1"/>
  <c r="C48" i="64"/>
  <c r="E48" i="64" s="1"/>
  <c r="B48" i="4"/>
  <c r="C46" i="64"/>
  <c r="E46" i="64" s="1"/>
  <c r="F86" i="86"/>
  <c r="C47" i="64"/>
  <c r="B47" i="4"/>
  <c r="C61" i="4" s="1"/>
  <c r="C45" i="64"/>
  <c r="B46" i="4"/>
  <c r="B97" i="13"/>
  <c r="E97" i="13" s="1"/>
  <c r="B16" i="27"/>
  <c r="B16" i="13"/>
  <c r="E16" i="13" s="1"/>
  <c r="B52" i="13"/>
  <c r="E52" i="13" s="1"/>
  <c r="C17" i="64"/>
  <c r="L18" i="64" s="1"/>
  <c r="F79" i="86"/>
  <c r="B15" i="27"/>
  <c r="B15" i="13"/>
  <c r="E15" i="13" s="1"/>
  <c r="B14" i="4"/>
  <c r="C16" i="64"/>
  <c r="L15" i="64" s="1"/>
  <c r="F75" i="86"/>
  <c r="B14" i="27"/>
  <c r="C15" i="64"/>
  <c r="K47" i="64" s="1"/>
  <c r="F70" i="86"/>
  <c r="B11" i="13"/>
  <c r="E11" i="13" s="1"/>
  <c r="F64" i="86"/>
  <c r="B51" i="13"/>
  <c r="E51" i="13" s="1"/>
  <c r="B10" i="13"/>
  <c r="E10" i="13" s="1"/>
  <c r="C14" i="64"/>
  <c r="K44" i="64" s="1"/>
  <c r="B13" i="27"/>
  <c r="F58" i="86"/>
  <c r="C13" i="64"/>
  <c r="K32" i="64" s="1"/>
  <c r="B12" i="27"/>
  <c r="B6" i="13"/>
  <c r="E6" i="13" s="1"/>
  <c r="B66" i="13"/>
  <c r="E66" i="13" s="1"/>
  <c r="B82" i="13"/>
  <c r="E82" i="13" s="1"/>
  <c r="F52" i="86"/>
  <c r="B11" i="27"/>
  <c r="F41" i="86"/>
  <c r="B10" i="27"/>
  <c r="B14" i="13"/>
  <c r="E14" i="13" s="1"/>
  <c r="C11" i="64"/>
  <c r="L12" i="64" s="1"/>
  <c r="B9" i="4"/>
  <c r="B9" i="27"/>
  <c r="F35" i="86"/>
  <c r="B9" i="13"/>
  <c r="E9" i="13" s="1"/>
  <c r="C9" i="64"/>
  <c r="K41" i="64" s="1"/>
  <c r="B8" i="27"/>
  <c r="F30" i="86"/>
  <c r="B6" i="4"/>
  <c r="B13" i="13"/>
  <c r="E13" i="13" s="1"/>
  <c r="B7" i="27"/>
  <c r="C8" i="64"/>
  <c r="L9" i="64" s="1"/>
  <c r="B6" i="27"/>
  <c r="B12" i="13"/>
  <c r="E12" i="13" s="1"/>
  <c r="C7" i="64"/>
  <c r="L6" i="64" s="1"/>
  <c r="F22" i="86"/>
  <c r="F17" i="86"/>
  <c r="B8" i="13"/>
  <c r="E8" i="13" s="1"/>
  <c r="B5" i="27"/>
  <c r="B4" i="27"/>
  <c r="C5" i="64"/>
  <c r="K23" i="64" s="1"/>
  <c r="B3" i="13"/>
  <c r="E3" i="13" s="1"/>
  <c r="F9" i="86"/>
  <c r="B7" i="13"/>
  <c r="E7" i="13" s="1"/>
  <c r="C4" i="64"/>
  <c r="K35" i="64" s="1"/>
  <c r="B3" i="27"/>
  <c r="P100" i="1" l="1"/>
  <c r="X99" i="1"/>
  <c r="F100" i="1"/>
  <c r="O100" i="1"/>
  <c r="F99" i="1"/>
  <c r="O99" i="1"/>
  <c r="P92" i="1"/>
  <c r="X89" i="1"/>
  <c r="T92" i="1"/>
  <c r="P83" i="1"/>
  <c r="U16" i="12"/>
  <c r="V16" i="12" s="1"/>
  <c r="U48" i="1"/>
  <c r="U83" i="1"/>
  <c r="T66" i="29"/>
  <c r="D66" i="29" s="1"/>
  <c r="T67" i="29"/>
  <c r="D67" i="29" s="1"/>
  <c r="X64" i="1"/>
  <c r="U107" i="1"/>
  <c r="U88" i="1"/>
  <c r="W103" i="1"/>
  <c r="P13" i="1"/>
  <c r="H9" i="115"/>
  <c r="J9" i="115" s="1"/>
  <c r="T75" i="29"/>
  <c r="D75" i="29" s="1"/>
  <c r="T74" i="29"/>
  <c r="D74" i="29" s="1"/>
  <c r="T50" i="29"/>
  <c r="D50" i="29" s="1"/>
  <c r="T49" i="29"/>
  <c r="D49" i="29" s="1"/>
  <c r="T84" i="29"/>
  <c r="D84" i="29" s="1"/>
  <c r="T83" i="29"/>
  <c r="D83" i="29" s="1"/>
  <c r="T82" i="29"/>
  <c r="D82" i="29" s="1"/>
  <c r="T41" i="29"/>
  <c r="D41" i="29" s="1"/>
  <c r="T42" i="29"/>
  <c r="D42" i="29" s="1"/>
  <c r="G35" i="1"/>
  <c r="F33" i="86" s="1"/>
  <c r="P35" i="1"/>
  <c r="R35" i="1"/>
  <c r="T35" i="1"/>
  <c r="D11" i="114"/>
  <c r="P30" i="1"/>
  <c r="R30" i="1"/>
  <c r="T30" i="1"/>
  <c r="G30" i="1"/>
  <c r="F28" i="86" s="1"/>
  <c r="G87" i="1"/>
  <c r="F77" i="86" s="1"/>
  <c r="P87" i="1"/>
  <c r="R87" i="1"/>
  <c r="T87" i="1"/>
  <c r="G92" i="1"/>
  <c r="F82" i="86" s="1"/>
  <c r="R92" i="1"/>
  <c r="R25" i="1"/>
  <c r="T25" i="1"/>
  <c r="G25" i="1"/>
  <c r="F25" i="86" s="1"/>
  <c r="G42" i="1"/>
  <c r="F38" i="86" s="1"/>
  <c r="R42" i="1"/>
  <c r="P42" i="1"/>
  <c r="T42" i="1"/>
  <c r="R13" i="1"/>
  <c r="T13" i="1"/>
  <c r="G13" i="1"/>
  <c r="F13" i="86" s="1"/>
  <c r="G20" i="1"/>
  <c r="F20" i="86" s="1"/>
  <c r="R20" i="1"/>
  <c r="P20" i="1"/>
  <c r="T20" i="1"/>
  <c r="P52" i="1"/>
  <c r="R52" i="1"/>
  <c r="T52" i="1"/>
  <c r="G52" i="1"/>
  <c r="F48" i="86" s="1"/>
  <c r="G67" i="1"/>
  <c r="F61" i="86" s="1"/>
  <c r="R67" i="1"/>
  <c r="P67" i="1"/>
  <c r="T67" i="1"/>
  <c r="G75" i="1"/>
  <c r="P75" i="1"/>
  <c r="R75" i="1"/>
  <c r="T75" i="1"/>
  <c r="G83" i="1"/>
  <c r="F73" i="86" s="1"/>
  <c r="R83" i="1"/>
  <c r="T83" i="1"/>
  <c r="U110" i="1"/>
  <c r="X9" i="1"/>
  <c r="U30" i="1"/>
  <c r="U90" i="1"/>
  <c r="O90" i="1"/>
  <c r="O88" i="1"/>
  <c r="W109" i="1"/>
  <c r="U117" i="1"/>
  <c r="W107" i="1"/>
  <c r="F89" i="1"/>
  <c r="W117" i="1"/>
  <c r="U89" i="1"/>
  <c r="W89" i="1"/>
  <c r="Y89" i="1" s="1"/>
  <c r="U114" i="1"/>
  <c r="F84" i="1"/>
  <c r="W85" i="1"/>
  <c r="Y85" i="1" s="1"/>
  <c r="W102" i="1"/>
  <c r="W98" i="1"/>
  <c r="O86" i="1"/>
  <c r="W104" i="1"/>
  <c r="F86" i="1"/>
  <c r="U86" i="1"/>
  <c r="W114" i="1"/>
  <c r="U84" i="1"/>
  <c r="O85" i="1"/>
  <c r="W110" i="1"/>
  <c r="U85" i="1"/>
  <c r="U104" i="1"/>
  <c r="O84" i="1"/>
  <c r="O83" i="1"/>
  <c r="W83" i="1"/>
  <c r="Y83" i="1" s="1"/>
  <c r="O53" i="1"/>
  <c r="Z39" i="1"/>
  <c r="W112" i="1"/>
  <c r="O50" i="1"/>
  <c r="F92" i="1"/>
  <c r="F93" i="1"/>
  <c r="U34" i="1"/>
  <c r="O87" i="1"/>
  <c r="W48" i="1"/>
  <c r="Y48" i="1" s="1"/>
  <c r="W52" i="1"/>
  <c r="Y52" i="1" s="1"/>
  <c r="O51" i="1"/>
  <c r="F26" i="1"/>
  <c r="U52" i="1"/>
  <c r="O19" i="1"/>
  <c r="Y90" i="1"/>
  <c r="Y86" i="1"/>
  <c r="U42" i="1"/>
  <c r="U87" i="1"/>
  <c r="F66" i="1"/>
  <c r="U10" i="1"/>
  <c r="U9" i="1"/>
  <c r="W44" i="1"/>
  <c r="Y44" i="1" s="1"/>
  <c r="F87" i="1"/>
  <c r="O75" i="1"/>
  <c r="F88" i="1"/>
  <c r="U50" i="1"/>
  <c r="W66" i="1"/>
  <c r="Y66" i="1" s="1"/>
  <c r="W93" i="1"/>
  <c r="Y93" i="1" s="1"/>
  <c r="W115" i="1"/>
  <c r="U92" i="1"/>
  <c r="U66" i="1"/>
  <c r="U93" i="1"/>
  <c r="W96" i="1"/>
  <c r="W116" i="1"/>
  <c r="U113" i="1"/>
  <c r="O65" i="1"/>
  <c r="F43" i="1"/>
  <c r="W113" i="1"/>
  <c r="U75" i="1"/>
  <c r="U41" i="1"/>
  <c r="O69" i="1"/>
  <c r="O44" i="1"/>
  <c r="U44" i="1"/>
  <c r="O10" i="1"/>
  <c r="O92" i="1"/>
  <c r="W108" i="1"/>
  <c r="Y30" i="1"/>
  <c r="Y92" i="1"/>
  <c r="U91" i="1"/>
  <c r="U20" i="1"/>
  <c r="O56" i="1"/>
  <c r="U98" i="1"/>
  <c r="U22" i="1"/>
  <c r="W39" i="1"/>
  <c r="Y39" i="1" s="1"/>
  <c r="O72" i="1"/>
  <c r="F80" i="1"/>
  <c r="W118" i="1"/>
  <c r="F60" i="1"/>
  <c r="W91" i="1"/>
  <c r="Y91" i="1" s="1"/>
  <c r="U13" i="1"/>
  <c r="Y13" i="1" s="1"/>
  <c r="O22" i="1"/>
  <c r="F59" i="1"/>
  <c r="O91" i="1"/>
  <c r="U39" i="1"/>
  <c r="O23" i="1"/>
  <c r="U54" i="1"/>
  <c r="O57" i="1"/>
  <c r="O35" i="1"/>
  <c r="U80" i="1"/>
  <c r="O80" i="1"/>
  <c r="F35" i="1"/>
  <c r="U82" i="1"/>
  <c r="Y82" i="1" s="1"/>
  <c r="U76" i="1"/>
  <c r="Y76" i="1" s="1"/>
  <c r="F61" i="1"/>
  <c r="O81" i="1"/>
  <c r="U81" i="1"/>
  <c r="U14" i="1"/>
  <c r="W101" i="1"/>
  <c r="F81" i="1"/>
  <c r="O24" i="1"/>
  <c r="W77" i="1"/>
  <c r="Y77" i="1" s="1"/>
  <c r="O47" i="1"/>
  <c r="W100" i="1"/>
  <c r="W111" i="1"/>
  <c r="U101" i="1"/>
  <c r="O33" i="1"/>
  <c r="O82" i="1"/>
  <c r="O29" i="1"/>
  <c r="O77" i="1"/>
  <c r="F82" i="1"/>
  <c r="O32" i="1"/>
  <c r="U77" i="1"/>
  <c r="U100" i="1"/>
  <c r="O76" i="1"/>
  <c r="O36" i="1"/>
  <c r="F25" i="1"/>
  <c r="Y88" i="1"/>
  <c r="Y84" i="1"/>
  <c r="Y42" i="1"/>
  <c r="Y9" i="1"/>
  <c r="Y10" i="1"/>
  <c r="F39" i="1"/>
  <c r="C55" i="4"/>
  <c r="E55" i="4" s="1"/>
  <c r="E69" i="4" s="1"/>
  <c r="D34" i="114"/>
  <c r="O16" i="1"/>
  <c r="O64" i="1"/>
  <c r="F33" i="1"/>
  <c r="O55" i="1"/>
  <c r="O41" i="1"/>
  <c r="D29" i="114"/>
  <c r="C56" i="4"/>
  <c r="E56" i="4" s="1"/>
  <c r="E70" i="4" s="1"/>
  <c r="D35" i="114"/>
  <c r="O58" i="1"/>
  <c r="O13" i="1"/>
  <c r="W20" i="1"/>
  <c r="Y20" i="1" s="1"/>
  <c r="F54" i="1"/>
  <c r="C48" i="4"/>
  <c r="E48" i="4" s="1"/>
  <c r="E62" i="4" s="1"/>
  <c r="D27" i="114"/>
  <c r="D18" i="114"/>
  <c r="C47" i="4"/>
  <c r="E47" i="4" s="1"/>
  <c r="E61" i="4" s="1"/>
  <c r="D26" i="114"/>
  <c r="O9" i="1"/>
  <c r="W41" i="1"/>
  <c r="Y41" i="1" s="1"/>
  <c r="F53" i="1"/>
  <c r="C49" i="4"/>
  <c r="E49" i="4" s="1"/>
  <c r="E63" i="4" s="1"/>
  <c r="D28" i="114"/>
  <c r="F24" i="1"/>
  <c r="O67" i="1"/>
  <c r="O49" i="1"/>
  <c r="F32" i="1"/>
  <c r="F67" i="1"/>
  <c r="O11" i="1"/>
  <c r="F49" i="1"/>
  <c r="U24" i="1"/>
  <c r="Y24" i="1" s="1"/>
  <c r="O14" i="1"/>
  <c r="F11" i="1"/>
  <c r="O18" i="1"/>
  <c r="U11" i="1"/>
  <c r="Y11" i="1" s="1"/>
  <c r="U32" i="1"/>
  <c r="O68" i="1"/>
  <c r="F14" i="1"/>
  <c r="F28" i="1"/>
  <c r="U68" i="1"/>
  <c r="U49" i="1"/>
  <c r="Y49" i="1" s="1"/>
  <c r="U18" i="1"/>
  <c r="F68" i="1"/>
  <c r="F76" i="1"/>
  <c r="U25" i="1"/>
  <c r="Y25" i="1" s="1"/>
  <c r="U67" i="1"/>
  <c r="Y67" i="1" s="1"/>
  <c r="O25" i="1"/>
  <c r="O17" i="1"/>
  <c r="X47" i="1"/>
  <c r="U69" i="1"/>
  <c r="Y69" i="1" s="1"/>
  <c r="U16" i="1"/>
  <c r="Y16" i="1" s="1"/>
  <c r="U23" i="1"/>
  <c r="Y23" i="1" s="1"/>
  <c r="F12" i="1"/>
  <c r="F15" i="1"/>
  <c r="W29" i="1"/>
  <c r="Y29" i="1" s="1"/>
  <c r="O74" i="1"/>
  <c r="O42" i="1"/>
  <c r="F34" i="1"/>
  <c r="F75" i="1"/>
  <c r="F40" i="1"/>
  <c r="O31" i="1"/>
  <c r="O73" i="1"/>
  <c r="W31" i="1"/>
  <c r="Y31" i="1" s="1"/>
  <c r="F29" i="1"/>
  <c r="F19" i="1"/>
  <c r="X4" i="1"/>
  <c r="U15" i="1"/>
  <c r="Y15" i="1" s="1"/>
  <c r="U21" i="1"/>
  <c r="O26" i="1"/>
  <c r="F74" i="1"/>
  <c r="F42" i="1"/>
  <c r="W50" i="1"/>
  <c r="Y50" i="1" s="1"/>
  <c r="F31" i="1"/>
  <c r="F73" i="1"/>
  <c r="W35" i="1"/>
  <c r="Y35" i="1" s="1"/>
  <c r="O54" i="1"/>
  <c r="W19" i="1"/>
  <c r="Y19" i="1" s="1"/>
  <c r="U55" i="1"/>
  <c r="U12" i="1"/>
  <c r="Y12" i="1" s="1"/>
  <c r="U74" i="1"/>
  <c r="Y74" i="1" s="1"/>
  <c r="F69" i="1"/>
  <c r="F16" i="1"/>
  <c r="F23" i="1"/>
  <c r="O30" i="1"/>
  <c r="F55" i="1"/>
  <c r="F51" i="1"/>
  <c r="U33" i="1"/>
  <c r="U51" i="1"/>
  <c r="U53" i="1"/>
  <c r="Y53" i="1" s="1"/>
  <c r="F30" i="1"/>
  <c r="E29" i="114"/>
  <c r="U73" i="1"/>
  <c r="F22" i="1"/>
  <c r="F10" i="1"/>
  <c r="F9" i="1"/>
  <c r="F13" i="1"/>
  <c r="O52" i="1"/>
  <c r="O20" i="1"/>
  <c r="W34" i="1"/>
  <c r="Y34" i="1" s="1"/>
  <c r="O48" i="1"/>
  <c r="W18" i="1"/>
  <c r="Y18" i="1" s="1"/>
  <c r="F21" i="1"/>
  <c r="X85" i="1"/>
  <c r="X17" i="1"/>
  <c r="U40" i="1"/>
  <c r="Y40" i="1" s="1"/>
  <c r="O12" i="1"/>
  <c r="O15" i="1"/>
  <c r="O40" i="1"/>
  <c r="O21" i="1"/>
  <c r="C46" i="4"/>
  <c r="E46" i="4" s="1"/>
  <c r="E60" i="4" s="1"/>
  <c r="D25" i="114"/>
  <c r="D8" i="114"/>
  <c r="U109" i="1"/>
  <c r="Y68" i="1"/>
  <c r="U108" i="1"/>
  <c r="X72" i="1"/>
  <c r="X39" i="1"/>
  <c r="C28" i="103"/>
  <c r="D28" i="103" s="1"/>
  <c r="X28" i="1"/>
  <c r="X80" i="1"/>
  <c r="F84" i="4"/>
  <c r="Y81" i="1"/>
  <c r="U111" i="1"/>
  <c r="Y87" i="1"/>
  <c r="N26" i="12"/>
  <c r="B22" i="4"/>
  <c r="U112" i="1"/>
  <c r="U96" i="1"/>
  <c r="Y73" i="1"/>
  <c r="E168" i="103"/>
  <c r="U103" i="1"/>
  <c r="C4" i="32"/>
  <c r="H20" i="64"/>
  <c r="U118" i="1"/>
  <c r="U116" i="1"/>
  <c r="U115" i="1"/>
  <c r="U102" i="1"/>
  <c r="U95" i="1"/>
  <c r="Y33" i="1"/>
  <c r="Z4" i="1"/>
  <c r="Z17" i="1"/>
  <c r="Z47" i="1"/>
  <c r="Z72" i="1"/>
  <c r="Z85" i="1"/>
  <c r="Z89" i="1"/>
  <c r="Z80" i="1"/>
  <c r="Y75" i="1"/>
  <c r="Y32" i="1"/>
  <c r="Y54" i="1"/>
  <c r="U17" i="1"/>
  <c r="W17" i="1"/>
  <c r="Y17" i="1" s="1"/>
  <c r="U43" i="1"/>
  <c r="W43" i="1"/>
  <c r="U28" i="1"/>
  <c r="W28" i="1"/>
  <c r="U65" i="1"/>
  <c r="W65" i="1"/>
  <c r="U47" i="1"/>
  <c r="W47" i="1"/>
  <c r="Z28" i="1"/>
  <c r="V49" i="54"/>
  <c r="E55" i="54"/>
  <c r="P55" i="54" s="1"/>
  <c r="U99" i="1"/>
  <c r="V99" i="1" s="1"/>
  <c r="V100" i="1" s="1"/>
  <c r="W99" i="1"/>
  <c r="U94" i="1"/>
  <c r="V94" i="1" s="1"/>
  <c r="W94" i="1"/>
  <c r="U97" i="1"/>
  <c r="W97" i="1"/>
  <c r="U64" i="1"/>
  <c r="W64" i="1"/>
  <c r="U72" i="1"/>
  <c r="W72" i="1"/>
  <c r="U36" i="1"/>
  <c r="W36" i="1"/>
  <c r="F7" i="86"/>
  <c r="G59" i="1"/>
  <c r="F55" i="86" s="1"/>
  <c r="Z9" i="1"/>
  <c r="E52" i="54"/>
  <c r="I52" i="54" s="1"/>
  <c r="I11" i="92"/>
  <c r="H26" i="92"/>
  <c r="J20" i="92" s="1"/>
  <c r="G22" i="96"/>
  <c r="H22" i="96" s="1"/>
  <c r="H19" i="64"/>
  <c r="H12" i="95"/>
  <c r="F41" i="64"/>
  <c r="G18" i="96"/>
  <c r="H18" i="96" s="1"/>
  <c r="G19" i="96"/>
  <c r="H19" i="96" s="1"/>
  <c r="C61" i="32"/>
  <c r="D16" i="114"/>
  <c r="Y41" i="13"/>
  <c r="E54" i="54"/>
  <c r="F54" i="54" s="1"/>
  <c r="L54" i="54" s="1"/>
  <c r="M54" i="54" s="1"/>
  <c r="C59" i="32"/>
  <c r="C47" i="32"/>
  <c r="K68" i="26"/>
  <c r="C53" i="32"/>
  <c r="K71" i="26"/>
  <c r="B74" i="12"/>
  <c r="C13" i="32"/>
  <c r="C19" i="32"/>
  <c r="E35" i="26"/>
  <c r="E26" i="32" s="1"/>
  <c r="C34" i="32"/>
  <c r="C28" i="32"/>
  <c r="E26" i="26"/>
  <c r="E11" i="32" s="1"/>
  <c r="E25" i="26"/>
  <c r="E24" i="32" s="1"/>
  <c r="N55" i="12"/>
  <c r="B70" i="4"/>
  <c r="C70" i="4" s="1"/>
  <c r="H13" i="92"/>
  <c r="I13" i="92"/>
  <c r="N30" i="12"/>
  <c r="B21" i="4"/>
  <c r="L36" i="26"/>
  <c r="C116" i="26" s="1"/>
  <c r="B107" i="32"/>
  <c r="B108" i="32"/>
  <c r="D40" i="64"/>
  <c r="B98" i="32"/>
  <c r="H26" i="96"/>
  <c r="C69" i="32"/>
  <c r="H26" i="95"/>
  <c r="I41" i="26"/>
  <c r="E35" i="32" s="1"/>
  <c r="I13" i="95"/>
  <c r="C49" i="32"/>
  <c r="C55" i="32"/>
  <c r="B101" i="26"/>
  <c r="D101" i="26" s="1"/>
  <c r="K101" i="26" s="1"/>
  <c r="C8" i="32"/>
  <c r="C6" i="32"/>
  <c r="I40" i="26"/>
  <c r="E20" i="32" s="1"/>
  <c r="I35" i="26"/>
  <c r="I27" i="26"/>
  <c r="E10" i="32" s="1"/>
  <c r="I33" i="26"/>
  <c r="E5" i="32"/>
  <c r="B88" i="32"/>
  <c r="B90" i="32"/>
  <c r="B93" i="32"/>
  <c r="E48" i="32"/>
  <c r="E56" i="32"/>
  <c r="C57" i="32"/>
  <c r="E66" i="32"/>
  <c r="E54" i="32"/>
  <c r="E68" i="32"/>
  <c r="C7" i="32"/>
  <c r="E34" i="26"/>
  <c r="E40" i="26"/>
  <c r="B99" i="32"/>
  <c r="B95" i="32"/>
  <c r="C65" i="32"/>
  <c r="I37" i="26"/>
  <c r="E24" i="26"/>
  <c r="E13" i="32" s="1"/>
  <c r="B92" i="32"/>
  <c r="B112" i="32"/>
  <c r="C9" i="32"/>
  <c r="C12" i="32"/>
  <c r="B87" i="26"/>
  <c r="C51" i="32"/>
  <c r="C54" i="32"/>
  <c r="C56" i="32"/>
  <c r="C67" i="32"/>
  <c r="C66" i="32"/>
  <c r="C68" i="32"/>
  <c r="J39" i="26"/>
  <c r="B106" i="32"/>
  <c r="S27" i="29"/>
  <c r="T27" i="29" s="1"/>
  <c r="D27" i="29" s="1"/>
  <c r="S32" i="29"/>
  <c r="T32" i="29" s="1"/>
  <c r="D32" i="29" s="1"/>
  <c r="S33" i="29"/>
  <c r="T33" i="29" s="1"/>
  <c r="D33" i="29" s="1"/>
  <c r="S34" i="29"/>
  <c r="T34" i="29" s="1"/>
  <c r="D34" i="29" s="1"/>
  <c r="S37" i="29"/>
  <c r="T37" i="29" s="1"/>
  <c r="D37" i="29" s="1"/>
  <c r="S38" i="29"/>
  <c r="T38" i="29" s="1"/>
  <c r="D38" i="29" s="1"/>
  <c r="S39" i="29"/>
  <c r="T39" i="29" s="1"/>
  <c r="D39" i="29" s="1"/>
  <c r="S40" i="29"/>
  <c r="T40" i="29" s="1"/>
  <c r="D40" i="29" s="1"/>
  <c r="S43" i="29"/>
  <c r="T43" i="29" s="1"/>
  <c r="D43" i="29" s="1"/>
  <c r="S44" i="29"/>
  <c r="T44" i="29" s="1"/>
  <c r="D44" i="29" s="1"/>
  <c r="S45" i="29"/>
  <c r="T45" i="29" s="1"/>
  <c r="D45" i="29" s="1"/>
  <c r="S46" i="29"/>
  <c r="T46" i="29" s="1"/>
  <c r="D46" i="29" s="1"/>
  <c r="S47" i="29"/>
  <c r="T47" i="29" s="1"/>
  <c r="D47" i="29" s="1"/>
  <c r="S48" i="29"/>
  <c r="T48" i="29" s="1"/>
  <c r="D48" i="29" s="1"/>
  <c r="S51" i="29"/>
  <c r="T51" i="29" s="1"/>
  <c r="D51" i="29" s="1"/>
  <c r="S52" i="29"/>
  <c r="T52" i="29" s="1"/>
  <c r="D52" i="29" s="1"/>
  <c r="S53" i="29"/>
  <c r="T53" i="29" s="1"/>
  <c r="D53" i="29" s="1"/>
  <c r="S59" i="29"/>
  <c r="T59" i="29" s="1"/>
  <c r="D59" i="29" s="1"/>
  <c r="S72" i="29"/>
  <c r="T72" i="29" s="1"/>
  <c r="D72" i="29" s="1"/>
  <c r="S76" i="29"/>
  <c r="T76" i="29" s="1"/>
  <c r="D76" i="29" s="1"/>
  <c r="S77" i="29"/>
  <c r="T77" i="29" s="1"/>
  <c r="D77" i="29" s="1"/>
  <c r="S78" i="29"/>
  <c r="T78" i="29" s="1"/>
  <c r="D78" i="29" s="1"/>
  <c r="S79" i="29"/>
  <c r="T79" i="29" s="1"/>
  <c r="D79" i="29" s="1"/>
  <c r="S80" i="29"/>
  <c r="T80" i="29" s="1"/>
  <c r="D80" i="29" s="1"/>
  <c r="S81" i="29"/>
  <c r="T81" i="29" s="1"/>
  <c r="D81" i="29" s="1"/>
  <c r="S85" i="29"/>
  <c r="T85" i="29" s="1"/>
  <c r="D85" i="29" s="1"/>
  <c r="S86" i="29"/>
  <c r="T86" i="29" s="1"/>
  <c r="D86" i="29" s="1"/>
  <c r="S88" i="29"/>
  <c r="T88" i="29" s="1"/>
  <c r="D88" i="29" s="1"/>
  <c r="S89" i="29"/>
  <c r="T89" i="29" s="1"/>
  <c r="D89" i="29" s="1"/>
  <c r="S90" i="29"/>
  <c r="T90" i="29" s="1"/>
  <c r="D90" i="29" s="1"/>
  <c r="S91" i="29"/>
  <c r="T91" i="29" s="1"/>
  <c r="D91" i="29" s="1"/>
  <c r="S92" i="29"/>
  <c r="T92" i="29" s="1"/>
  <c r="D92" i="29" s="1"/>
  <c r="S93" i="29"/>
  <c r="T93" i="29" s="1"/>
  <c r="D93" i="29" s="1"/>
  <c r="S94" i="29"/>
  <c r="T94" i="29" s="1"/>
  <c r="D94" i="29" s="1"/>
  <c r="S95" i="29"/>
  <c r="T95" i="29" s="1"/>
  <c r="D95" i="29" s="1"/>
  <c r="S96" i="29"/>
  <c r="T96" i="29" s="1"/>
  <c r="D96" i="29" s="1"/>
  <c r="S97" i="29"/>
  <c r="T97" i="29" s="1"/>
  <c r="D97" i="29" s="1"/>
  <c r="S98" i="29"/>
  <c r="T98" i="29" s="1"/>
  <c r="D98" i="29" s="1"/>
  <c r="S99" i="29"/>
  <c r="T99" i="29" s="1"/>
  <c r="D99" i="29" s="1"/>
  <c r="S101" i="29"/>
  <c r="T101" i="29" s="1"/>
  <c r="D101" i="29" s="1"/>
  <c r="S102" i="29"/>
  <c r="T102" i="29" s="1"/>
  <c r="D102" i="29" s="1"/>
  <c r="S103" i="29"/>
  <c r="T103" i="29" s="1"/>
  <c r="D103" i="29" s="1"/>
  <c r="S104" i="29"/>
  <c r="T104" i="29" s="1"/>
  <c r="D104" i="29" s="1"/>
  <c r="S105" i="29"/>
  <c r="T105" i="29" s="1"/>
  <c r="D105" i="29" s="1"/>
  <c r="S106" i="29"/>
  <c r="T106" i="29" s="1"/>
  <c r="D106" i="29" s="1"/>
  <c r="S107" i="29"/>
  <c r="T107" i="29" s="1"/>
  <c r="D107" i="29" s="1"/>
  <c r="S108" i="29"/>
  <c r="T108" i="29" s="1"/>
  <c r="D108" i="29" s="1"/>
  <c r="K177" i="29"/>
  <c r="M177" i="29"/>
  <c r="H26" i="97"/>
  <c r="I26" i="97" s="1"/>
  <c r="H23" i="97"/>
  <c r="I23" i="97" s="1"/>
  <c r="H20" i="97"/>
  <c r="I20" i="97" s="1"/>
  <c r="H25" i="97"/>
  <c r="I25" i="97" s="1"/>
  <c r="H22" i="97"/>
  <c r="I22" i="97" s="1"/>
  <c r="H27" i="97"/>
  <c r="I27" i="97" s="1"/>
  <c r="H24" i="97"/>
  <c r="I24" i="97" s="1"/>
  <c r="H21" i="97"/>
  <c r="I21" i="97" s="1"/>
  <c r="G23" i="95"/>
  <c r="H23" i="95" s="1"/>
  <c r="G21" i="95"/>
  <c r="H21" i="95" s="1"/>
  <c r="G18" i="95"/>
  <c r="H18" i="95" s="1"/>
  <c r="G19" i="95"/>
  <c r="H19" i="95" s="1"/>
  <c r="G20" i="95"/>
  <c r="H20" i="95" s="1"/>
  <c r="G22" i="95"/>
  <c r="H22" i="95" s="1"/>
  <c r="C32" i="32"/>
  <c r="C30" i="32"/>
  <c r="J33" i="26"/>
  <c r="J37" i="26"/>
  <c r="G177" i="29"/>
  <c r="B36" i="26"/>
  <c r="B45" i="26" s="1"/>
  <c r="G23" i="96"/>
  <c r="H23" i="96" s="1"/>
  <c r="G20" i="96"/>
  <c r="H20" i="96" s="1"/>
  <c r="J18" i="95"/>
  <c r="B109" i="32"/>
  <c r="B114" i="32"/>
  <c r="B110" i="32"/>
  <c r="E41" i="26"/>
  <c r="C3" i="32"/>
  <c r="J40" i="26"/>
  <c r="B102" i="26"/>
  <c r="D102" i="26" s="1"/>
  <c r="K102" i="26" s="1"/>
  <c r="J38" i="26"/>
  <c r="C26" i="32"/>
  <c r="B103" i="32"/>
  <c r="B105" i="32"/>
  <c r="B108" i="26"/>
  <c r="B111" i="32"/>
  <c r="B113" i="32"/>
  <c r="J35" i="26"/>
  <c r="O177" i="29"/>
  <c r="I177" i="29"/>
  <c r="N53" i="12"/>
  <c r="E38" i="26"/>
  <c r="E39" i="26"/>
  <c r="C69" i="4"/>
  <c r="N54" i="12"/>
  <c r="C31" i="32"/>
  <c r="C33" i="32"/>
  <c r="G21" i="96"/>
  <c r="H21" i="96" s="1"/>
  <c r="H16" i="97"/>
  <c r="H30" i="97"/>
  <c r="J22" i="95"/>
  <c r="B104" i="32"/>
  <c r="E27" i="26"/>
  <c r="J27" i="26"/>
  <c r="Q177" i="29"/>
  <c r="H13" i="97"/>
  <c r="E33" i="26"/>
  <c r="F36" i="26"/>
  <c r="E45" i="26" s="1"/>
  <c r="J34" i="26"/>
  <c r="C177" i="29"/>
  <c r="E177" i="29"/>
  <c r="E41" i="64"/>
  <c r="D41" i="64" s="1"/>
  <c r="J18" i="92"/>
  <c r="J19" i="95"/>
  <c r="P26" i="32"/>
  <c r="S30" i="29"/>
  <c r="T30" i="29" s="1"/>
  <c r="D30" i="29" s="1"/>
  <c r="R123" i="29"/>
  <c r="S29" i="29"/>
  <c r="T29" i="29" s="1"/>
  <c r="D29" i="29" s="1"/>
  <c r="S28" i="29"/>
  <c r="T28" i="29" s="1"/>
  <c r="D28" i="29" s="1"/>
  <c r="D3" i="29"/>
  <c r="S8" i="29"/>
  <c r="T8" i="29" s="1"/>
  <c r="D8" i="29" s="1"/>
  <c r="C135" i="29"/>
  <c r="T31" i="29"/>
  <c r="D31" i="29" s="1"/>
  <c r="E2" i="29"/>
  <c r="D144" i="29" s="1"/>
  <c r="D145" i="29" s="1"/>
  <c r="D146" i="29" s="1"/>
  <c r="D147" i="29" s="1"/>
  <c r="F183" i="29"/>
  <c r="D183" i="29"/>
  <c r="S100" i="29"/>
  <c r="T100" i="29" s="1"/>
  <c r="D100" i="29" s="1"/>
  <c r="S36" i="29"/>
  <c r="T36" i="29" s="1"/>
  <c r="D36" i="29" s="1"/>
  <c r="I42" i="26"/>
  <c r="E37" i="32" s="1"/>
  <c r="B101" i="32"/>
  <c r="S9" i="29"/>
  <c r="T9" i="29" s="1"/>
  <c r="D9" i="29" s="1"/>
  <c r="S10" i="29"/>
  <c r="T10" i="29" s="1"/>
  <c r="D10" i="29" s="1"/>
  <c r="S11" i="29"/>
  <c r="T11" i="29" s="1"/>
  <c r="D11" i="29" s="1"/>
  <c r="S12" i="29"/>
  <c r="T12" i="29" s="1"/>
  <c r="S13" i="29"/>
  <c r="T13" i="29" s="1"/>
  <c r="D13" i="29" s="1"/>
  <c r="S14" i="29"/>
  <c r="T14" i="29" s="1"/>
  <c r="D14" i="29" s="1"/>
  <c r="S15" i="29"/>
  <c r="T15" i="29" s="1"/>
  <c r="D15" i="29" s="1"/>
  <c r="S16" i="29"/>
  <c r="T16" i="29" s="1"/>
  <c r="D16" i="29" s="1"/>
  <c r="S17" i="29"/>
  <c r="T17" i="29" s="1"/>
  <c r="D17" i="29" s="1"/>
  <c r="S18" i="29"/>
  <c r="T18" i="29" s="1"/>
  <c r="D18" i="29" s="1"/>
  <c r="S19" i="29"/>
  <c r="T19" i="29" s="1"/>
  <c r="D19" i="29" s="1"/>
  <c r="S20" i="29"/>
  <c r="T20" i="29" s="1"/>
  <c r="D20" i="29" s="1"/>
  <c r="S21" i="29"/>
  <c r="T21" i="29" s="1"/>
  <c r="D21" i="29" s="1"/>
  <c r="S22" i="29"/>
  <c r="T22" i="29" s="1"/>
  <c r="D22" i="29" s="1"/>
  <c r="S23" i="29"/>
  <c r="T23" i="29" s="1"/>
  <c r="D23" i="29" s="1"/>
  <c r="S24" i="29"/>
  <c r="T24" i="29" s="1"/>
  <c r="D24" i="29" s="1"/>
  <c r="S25" i="29"/>
  <c r="T25" i="29" s="1"/>
  <c r="D25" i="29" s="1"/>
  <c r="S26" i="29"/>
  <c r="T26" i="29" s="1"/>
  <c r="D26" i="29" s="1"/>
  <c r="P27" i="32"/>
  <c r="P24" i="32"/>
  <c r="P22" i="32"/>
  <c r="B133" i="1"/>
  <c r="C25" i="32"/>
  <c r="C24" i="32"/>
  <c r="J41" i="26"/>
  <c r="B117" i="26" s="1"/>
  <c r="I23" i="26"/>
  <c r="E16" i="32" s="1"/>
  <c r="B97" i="32"/>
  <c r="Q183" i="29"/>
  <c r="G183" i="29"/>
  <c r="J183" i="29"/>
  <c r="H183" i="29"/>
  <c r="N183" i="29"/>
  <c r="L183" i="29"/>
  <c r="B183" i="29"/>
  <c r="R183" i="29"/>
  <c r="P183" i="29"/>
  <c r="S73" i="29"/>
  <c r="T73" i="29" s="1"/>
  <c r="D73" i="29" s="1"/>
  <c r="S71" i="29"/>
  <c r="T71" i="29" s="1"/>
  <c r="D71" i="29" s="1"/>
  <c r="S70" i="29"/>
  <c r="T70" i="29" s="1"/>
  <c r="D70" i="29" s="1"/>
  <c r="S69" i="29"/>
  <c r="T69" i="29" s="1"/>
  <c r="D69" i="29" s="1"/>
  <c r="S68" i="29"/>
  <c r="T68" i="29" s="1"/>
  <c r="D68" i="29" s="1"/>
  <c r="E65" i="12"/>
  <c r="H65" i="12" s="1"/>
  <c r="E42" i="26"/>
  <c r="C36" i="32"/>
  <c r="J42" i="26"/>
  <c r="B118" i="26" s="1"/>
  <c r="O36" i="12"/>
  <c r="B33" i="4" s="1"/>
  <c r="B81" i="12"/>
  <c r="E81" i="12" s="1"/>
  <c r="H81" i="12" s="1"/>
  <c r="G63" i="12"/>
  <c r="I28" i="26"/>
  <c r="E18" i="32" s="1"/>
  <c r="J28" i="26"/>
  <c r="G71" i="12"/>
  <c r="G76" i="12"/>
  <c r="E89" i="12" s="1"/>
  <c r="E83" i="12"/>
  <c r="H83" i="12" s="1"/>
  <c r="J25" i="26"/>
  <c r="B91" i="32"/>
  <c r="C15" i="32"/>
  <c r="E23" i="26"/>
  <c r="J23" i="26"/>
  <c r="D80" i="12"/>
  <c r="E72" i="12"/>
  <c r="H72" i="12" s="1"/>
  <c r="D73" i="12"/>
  <c r="B73" i="12"/>
  <c r="B62" i="12"/>
  <c r="E62" i="12" s="1"/>
  <c r="H62" i="12" s="1"/>
  <c r="J30" i="86"/>
  <c r="C11" i="32"/>
  <c r="B94" i="32"/>
  <c r="J26" i="26"/>
  <c r="C51" i="4"/>
  <c r="E51" i="4" s="1"/>
  <c r="E65" i="4" s="1"/>
  <c r="V58" i="54"/>
  <c r="J24" i="26"/>
  <c r="C14" i="32"/>
  <c r="B96" i="32"/>
  <c r="P23" i="32"/>
  <c r="V59" i="54"/>
  <c r="B80" i="12"/>
  <c r="D70" i="12"/>
  <c r="B100" i="32"/>
  <c r="C53" i="4"/>
  <c r="E53" i="4" s="1"/>
  <c r="E67" i="4" s="1"/>
  <c r="E127" i="1"/>
  <c r="G127" i="1" s="1"/>
  <c r="C17" i="32"/>
  <c r="E28" i="26"/>
  <c r="H7" i="12"/>
  <c r="U7" i="12" s="1"/>
  <c r="V7" i="12" s="1"/>
  <c r="D44" i="32"/>
  <c r="H56" i="4"/>
  <c r="I56" i="4" s="1"/>
  <c r="I50" i="12"/>
  <c r="E103" i="12" s="1"/>
  <c r="D63" i="12"/>
  <c r="H24" i="12"/>
  <c r="U24" i="12" s="1"/>
  <c r="V24" i="12" s="1"/>
  <c r="C38" i="64"/>
  <c r="D38" i="64" s="1"/>
  <c r="D79" i="12"/>
  <c r="S61" i="29"/>
  <c r="T61" i="29" s="1"/>
  <c r="D61" i="29" s="1"/>
  <c r="S62" i="29"/>
  <c r="T62" i="29" s="1"/>
  <c r="D62" i="29" s="1"/>
  <c r="S63" i="29"/>
  <c r="T63" i="29" s="1"/>
  <c r="D63" i="29" s="1"/>
  <c r="S64" i="29"/>
  <c r="T64" i="29" s="1"/>
  <c r="D64" i="29" s="1"/>
  <c r="S65" i="29"/>
  <c r="T65" i="29" s="1"/>
  <c r="D65" i="29" s="1"/>
  <c r="S60" i="29"/>
  <c r="T60" i="29" s="1"/>
  <c r="D60" i="29" s="1"/>
  <c r="S35" i="29"/>
  <c r="T35" i="29" s="1"/>
  <c r="D35" i="29" s="1"/>
  <c r="S55" i="29"/>
  <c r="T55" i="29" s="1"/>
  <c r="D55" i="29" s="1"/>
  <c r="S56" i="29"/>
  <c r="T56" i="29" s="1"/>
  <c r="D56" i="29" s="1"/>
  <c r="S57" i="29"/>
  <c r="T57" i="29" s="1"/>
  <c r="D57" i="29" s="1"/>
  <c r="S58" i="29"/>
  <c r="T58" i="29" s="1"/>
  <c r="D58" i="29" s="1"/>
  <c r="S54" i="29"/>
  <c r="T54" i="29" s="1"/>
  <c r="D54" i="29" s="1"/>
  <c r="S87" i="29"/>
  <c r="T87" i="29" s="1"/>
  <c r="D87" i="29" s="1"/>
  <c r="G23" i="92"/>
  <c r="H23" i="92" s="1"/>
  <c r="G21" i="92"/>
  <c r="H21" i="92" s="1"/>
  <c r="G19" i="92"/>
  <c r="H19" i="92" s="1"/>
  <c r="G22" i="92"/>
  <c r="H22" i="92" s="1"/>
  <c r="G20" i="92"/>
  <c r="H20" i="92" s="1"/>
  <c r="G18" i="92"/>
  <c r="H18" i="92" s="1"/>
  <c r="J23" i="96"/>
  <c r="J22" i="96"/>
  <c r="K22" i="96" s="1"/>
  <c r="L22" i="96" s="1"/>
  <c r="B73" i="32"/>
  <c r="E87" i="26"/>
  <c r="E28" i="32"/>
  <c r="V73" i="29"/>
  <c r="E3" i="29"/>
  <c r="M183" i="29"/>
  <c r="C183" i="29"/>
  <c r="I183" i="29"/>
  <c r="O183" i="29"/>
  <c r="E183" i="29"/>
  <c r="K183" i="29"/>
  <c r="S183" i="29"/>
  <c r="H100" i="26"/>
  <c r="B100" i="26"/>
  <c r="D100" i="26" s="1"/>
  <c r="H34" i="12"/>
  <c r="U34" i="12" s="1"/>
  <c r="V34" i="12" s="1"/>
  <c r="H53" i="12"/>
  <c r="J53" i="12" s="1"/>
  <c r="U53" i="12" s="1"/>
  <c r="V53" i="12" s="1"/>
  <c r="H33" i="12"/>
  <c r="C58" i="32"/>
  <c r="D83" i="26"/>
  <c r="C63" i="32"/>
  <c r="J23" i="92"/>
  <c r="J21" i="92"/>
  <c r="J19" i="92"/>
  <c r="J20" i="95"/>
  <c r="J21" i="96"/>
  <c r="C50" i="32"/>
  <c r="C52" i="32"/>
  <c r="C62" i="32"/>
  <c r="C73" i="32"/>
  <c r="J18" i="96"/>
  <c r="K18" i="96" s="1"/>
  <c r="L18" i="96" s="1"/>
  <c r="D78" i="12"/>
  <c r="N4" i="86"/>
  <c r="O4" i="86" s="1"/>
  <c r="P4" i="86" s="1"/>
  <c r="R4" i="86" s="1"/>
  <c r="B41" i="64"/>
  <c r="H99" i="26"/>
  <c r="B99" i="26"/>
  <c r="D99" i="26" s="1"/>
  <c r="J22" i="92"/>
  <c r="J20" i="96"/>
  <c r="S109" i="29"/>
  <c r="T109" i="29" s="1"/>
  <c r="D109" i="29" s="1"/>
  <c r="S110" i="29"/>
  <c r="T110" i="29" s="1"/>
  <c r="D110" i="29" s="1"/>
  <c r="S111" i="29"/>
  <c r="T111" i="29" s="1"/>
  <c r="D111" i="29" s="1"/>
  <c r="S112" i="29"/>
  <c r="T112" i="29" s="1"/>
  <c r="D112" i="29" s="1"/>
  <c r="S113" i="29"/>
  <c r="T113" i="29" s="1"/>
  <c r="D113" i="29" s="1"/>
  <c r="S114" i="29"/>
  <c r="T114" i="29" s="1"/>
  <c r="D114" i="29" s="1"/>
  <c r="S115" i="29"/>
  <c r="T115" i="29" s="1"/>
  <c r="D115" i="29" s="1"/>
  <c r="S116" i="29"/>
  <c r="T116" i="29" s="1"/>
  <c r="D116" i="29" s="1"/>
  <c r="S117" i="29"/>
  <c r="T117" i="29" s="1"/>
  <c r="D117" i="29" s="1"/>
  <c r="S118" i="29"/>
  <c r="T118" i="29" s="1"/>
  <c r="D118" i="29" s="1"/>
  <c r="S119" i="29"/>
  <c r="T119" i="29" s="1"/>
  <c r="D119" i="29" s="1"/>
  <c r="S120" i="29"/>
  <c r="T120" i="29" s="1"/>
  <c r="D120" i="29" s="1"/>
  <c r="S121" i="29"/>
  <c r="T121" i="29" s="1"/>
  <c r="D121" i="29" s="1"/>
  <c r="S122" i="29"/>
  <c r="T122" i="29" s="1"/>
  <c r="D122" i="29" s="1"/>
  <c r="N38" i="86"/>
  <c r="O38" i="86" s="1"/>
  <c r="Q38" i="86" s="1"/>
  <c r="S38" i="86" s="1"/>
  <c r="H55" i="27"/>
  <c r="J55" i="27" s="1"/>
  <c r="L55" i="27" s="1"/>
  <c r="G63" i="27"/>
  <c r="I63" i="27" s="1"/>
  <c r="K63" i="27" s="1"/>
  <c r="I14" i="92"/>
  <c r="I11" i="95"/>
  <c r="H14" i="97"/>
  <c r="B89" i="32"/>
  <c r="L2" i="54"/>
  <c r="M2" i="54" s="1"/>
  <c r="J19" i="96"/>
  <c r="K19" i="96" s="1"/>
  <c r="L19" i="96" s="1"/>
  <c r="H19" i="12"/>
  <c r="U19" i="12" s="1"/>
  <c r="V19" i="12" s="1"/>
  <c r="D110" i="12"/>
  <c r="I44" i="12"/>
  <c r="E95" i="12" s="1"/>
  <c r="G70" i="12"/>
  <c r="O49" i="12"/>
  <c r="B65" i="4" s="1"/>
  <c r="C67" i="64"/>
  <c r="D67" i="64" s="1"/>
  <c r="C29" i="64"/>
  <c r="D29" i="64" s="1"/>
  <c r="C28" i="64"/>
  <c r="D28" i="64" s="1"/>
  <c r="C29" i="4"/>
  <c r="B76" i="12"/>
  <c r="B89" i="12" s="1"/>
  <c r="H47" i="12"/>
  <c r="J47" i="12" s="1"/>
  <c r="U47" i="12" s="1"/>
  <c r="V47" i="12" s="1"/>
  <c r="D76" i="12"/>
  <c r="C89" i="12" s="1"/>
  <c r="C27" i="64"/>
  <c r="D27" i="64" s="1"/>
  <c r="B98" i="12"/>
  <c r="D98" i="12" s="1"/>
  <c r="H36" i="12"/>
  <c r="H17" i="12"/>
  <c r="G64" i="12"/>
  <c r="H18" i="12"/>
  <c r="U18" i="12" s="1"/>
  <c r="V18" i="12" s="1"/>
  <c r="D71" i="12"/>
  <c r="K11" i="4"/>
  <c r="B106" i="12"/>
  <c r="D106" i="12" s="1"/>
  <c r="O47" i="12"/>
  <c r="B63" i="4" s="1"/>
  <c r="O2" i="12"/>
  <c r="N2" i="12" s="1"/>
  <c r="C25" i="64"/>
  <c r="D25" i="64" s="1"/>
  <c r="I54" i="12"/>
  <c r="E106" i="12" s="1"/>
  <c r="I45" i="12"/>
  <c r="E97" i="12" s="1"/>
  <c r="H26" i="12"/>
  <c r="U26" i="12" s="1"/>
  <c r="V26" i="12" s="1"/>
  <c r="H3" i="12"/>
  <c r="U3" i="12" s="1"/>
  <c r="V3" i="12" s="1"/>
  <c r="O45" i="12"/>
  <c r="B61" i="4" s="1"/>
  <c r="H46" i="12"/>
  <c r="J46" i="12" s="1"/>
  <c r="U46" i="12" s="1"/>
  <c r="V46" i="12" s="1"/>
  <c r="B78" i="12"/>
  <c r="D64" i="12"/>
  <c r="D77" i="12"/>
  <c r="E77" i="12" s="1"/>
  <c r="H77" i="12" s="1"/>
  <c r="I49" i="12"/>
  <c r="E101" i="12" s="1"/>
  <c r="D148" i="4"/>
  <c r="F148" i="4" s="1"/>
  <c r="G202" i="4"/>
  <c r="N113" i="86"/>
  <c r="O113" i="86" s="1"/>
  <c r="P113" i="86" s="1"/>
  <c r="R113" i="86" s="1"/>
  <c r="H44" i="27"/>
  <c r="J44" i="27" s="1"/>
  <c r="L44" i="27" s="1"/>
  <c r="H91" i="27"/>
  <c r="J91" i="27" s="1"/>
  <c r="L91" i="27" s="1"/>
  <c r="M51" i="27"/>
  <c r="H31" i="27"/>
  <c r="J31" i="27" s="1"/>
  <c r="L31" i="27" s="1"/>
  <c r="E9" i="54"/>
  <c r="I9" i="54" s="1"/>
  <c r="E33" i="54"/>
  <c r="P33" i="54" s="1"/>
  <c r="D42" i="32"/>
  <c r="I16" i="4"/>
  <c r="C12" i="64"/>
  <c r="K29" i="64" s="1"/>
  <c r="O10" i="12"/>
  <c r="B28" i="4" s="1"/>
  <c r="C34" i="4"/>
  <c r="C30" i="64"/>
  <c r="D30" i="64" s="1"/>
  <c r="O20" i="12"/>
  <c r="G60" i="27"/>
  <c r="I60" i="27" s="1"/>
  <c r="K60" i="27" s="1"/>
  <c r="F136" i="4"/>
  <c r="P2" i="54"/>
  <c r="G203" i="4"/>
  <c r="G200" i="4"/>
  <c r="C52" i="4"/>
  <c r="E52" i="4" s="1"/>
  <c r="E66" i="4" s="1"/>
  <c r="G2" i="54"/>
  <c r="H2" i="54" s="1"/>
  <c r="D35" i="4"/>
  <c r="I115" i="86"/>
  <c r="H42" i="27"/>
  <c r="J42" i="27" s="1"/>
  <c r="L42" i="27" s="1"/>
  <c r="H83" i="27"/>
  <c r="J83" i="27" s="1"/>
  <c r="L83" i="27" s="1"/>
  <c r="M99" i="27"/>
  <c r="N101" i="27"/>
  <c r="I2" i="54"/>
  <c r="N26" i="86"/>
  <c r="O26" i="86" s="1"/>
  <c r="Q26" i="86" s="1"/>
  <c r="S26" i="86" s="1"/>
  <c r="N59" i="86"/>
  <c r="O59" i="86" s="1"/>
  <c r="Q59" i="86" s="1"/>
  <c r="S59" i="86" s="1"/>
  <c r="J77" i="86"/>
  <c r="J97" i="86"/>
  <c r="G25" i="27"/>
  <c r="I25" i="27" s="1"/>
  <c r="K25" i="27" s="1"/>
  <c r="H27" i="27"/>
  <c r="J27" i="27" s="1"/>
  <c r="L27" i="27" s="1"/>
  <c r="H33" i="27"/>
  <c r="J33" i="27" s="1"/>
  <c r="L33" i="27" s="1"/>
  <c r="G35" i="27"/>
  <c r="I35" i="27" s="1"/>
  <c r="K35" i="27" s="1"/>
  <c r="H37" i="27"/>
  <c r="J37" i="27" s="1"/>
  <c r="L37" i="27" s="1"/>
  <c r="H41" i="27"/>
  <c r="J41" i="27" s="1"/>
  <c r="L41" i="27" s="1"/>
  <c r="G50" i="27"/>
  <c r="I50" i="27" s="1"/>
  <c r="K50" i="27" s="1"/>
  <c r="H56" i="27"/>
  <c r="J56" i="27" s="1"/>
  <c r="L56" i="27" s="1"/>
  <c r="H58" i="27"/>
  <c r="J58" i="27" s="1"/>
  <c r="L58" i="27" s="1"/>
  <c r="H64" i="27"/>
  <c r="J64" i="27" s="1"/>
  <c r="L64" i="27" s="1"/>
  <c r="H66" i="27"/>
  <c r="J66" i="27" s="1"/>
  <c r="L66" i="27" s="1"/>
  <c r="H74" i="27"/>
  <c r="J74" i="27" s="1"/>
  <c r="L74" i="27" s="1"/>
  <c r="H76" i="27"/>
  <c r="J76" i="27" s="1"/>
  <c r="L76" i="27" s="1"/>
  <c r="H78" i="27"/>
  <c r="J78" i="27" s="1"/>
  <c r="L78" i="27" s="1"/>
  <c r="G80" i="27"/>
  <c r="I80" i="27" s="1"/>
  <c r="K80" i="27" s="1"/>
  <c r="E13" i="54"/>
  <c r="I13" i="54" s="1"/>
  <c r="E25" i="54"/>
  <c r="F25" i="54" s="1"/>
  <c r="E28" i="54"/>
  <c r="I28" i="54" s="1"/>
  <c r="E29" i="54"/>
  <c r="P29" i="54" s="1"/>
  <c r="E34" i="54"/>
  <c r="P34" i="54" s="1"/>
  <c r="E97" i="54"/>
  <c r="I97" i="54" s="1"/>
  <c r="E103" i="54"/>
  <c r="I103" i="54" s="1"/>
  <c r="N5" i="86"/>
  <c r="O5" i="86" s="1"/>
  <c r="P5" i="86" s="1"/>
  <c r="R5" i="86" s="1"/>
  <c r="N22" i="27"/>
  <c r="M36" i="27"/>
  <c r="M38" i="27"/>
  <c r="M55" i="27"/>
  <c r="N65" i="27"/>
  <c r="M77" i="27"/>
  <c r="N85" i="27"/>
  <c r="N89" i="27"/>
  <c r="M97" i="27"/>
  <c r="N99" i="27"/>
  <c r="C58" i="64"/>
  <c r="C59" i="64" s="1"/>
  <c r="E59" i="64" s="1"/>
  <c r="C30" i="4"/>
  <c r="N39" i="86"/>
  <c r="O39" i="86" s="1"/>
  <c r="Q39" i="86" s="1"/>
  <c r="S39" i="86" s="1"/>
  <c r="M30" i="27"/>
  <c r="M34" i="27"/>
  <c r="M49" i="27"/>
  <c r="M53" i="27"/>
  <c r="M57" i="27"/>
  <c r="M61" i="27"/>
  <c r="N87" i="27"/>
  <c r="N91" i="27"/>
  <c r="N93" i="27"/>
  <c r="N95" i="27"/>
  <c r="G186" i="4"/>
  <c r="N114" i="86"/>
  <c r="O114" i="86" s="1"/>
  <c r="Q114" i="86" s="1"/>
  <c r="S114" i="86" s="1"/>
  <c r="N36" i="27"/>
  <c r="M95" i="27"/>
  <c r="N27" i="86"/>
  <c r="O27" i="86" s="1"/>
  <c r="Q27" i="86" s="1"/>
  <c r="S27" i="86" s="1"/>
  <c r="N62" i="86"/>
  <c r="O62" i="86" s="1"/>
  <c r="Q62" i="86" s="1"/>
  <c r="S62" i="86" s="1"/>
  <c r="N100" i="86"/>
  <c r="O100" i="86" s="1"/>
  <c r="Q100" i="86" s="1"/>
  <c r="S100" i="86" s="1"/>
  <c r="H25" i="27"/>
  <c r="J25" i="27" s="1"/>
  <c r="L25" i="27" s="1"/>
  <c r="G27" i="27"/>
  <c r="I27" i="27" s="1"/>
  <c r="K27" i="27" s="1"/>
  <c r="H35" i="27"/>
  <c r="J35" i="27" s="1"/>
  <c r="L35" i="27" s="1"/>
  <c r="G37" i="27"/>
  <c r="I37" i="27" s="1"/>
  <c r="K37" i="27" s="1"/>
  <c r="H46" i="27"/>
  <c r="J46" i="27" s="1"/>
  <c r="L46" i="27" s="1"/>
  <c r="H48" i="27"/>
  <c r="J48" i="27" s="1"/>
  <c r="L48" i="27" s="1"/>
  <c r="H52" i="27"/>
  <c r="J52" i="27" s="1"/>
  <c r="L52" i="27" s="1"/>
  <c r="H62" i="27"/>
  <c r="J62" i="27" s="1"/>
  <c r="L62" i="27" s="1"/>
  <c r="G66" i="27"/>
  <c r="I66" i="27" s="1"/>
  <c r="K66" i="27" s="1"/>
  <c r="H68" i="27"/>
  <c r="J68" i="27" s="1"/>
  <c r="L68" i="27" s="1"/>
  <c r="G76" i="27"/>
  <c r="I76" i="27" s="1"/>
  <c r="K76" i="27" s="1"/>
  <c r="G78" i="27"/>
  <c r="I78" i="27" s="1"/>
  <c r="K78" i="27" s="1"/>
  <c r="H84" i="27"/>
  <c r="J84" i="27" s="1"/>
  <c r="L84" i="27" s="1"/>
  <c r="H88" i="27"/>
  <c r="J88" i="27" s="1"/>
  <c r="L88" i="27" s="1"/>
  <c r="H98" i="27"/>
  <c r="J98" i="27" s="1"/>
  <c r="L98" i="27" s="1"/>
  <c r="H80" i="27"/>
  <c r="J80" i="27" s="1"/>
  <c r="L80" i="27" s="1"/>
  <c r="M85" i="27"/>
  <c r="G74" i="27"/>
  <c r="I74" i="27" s="1"/>
  <c r="K74" i="27" s="1"/>
  <c r="J4" i="86"/>
  <c r="N12" i="86"/>
  <c r="O12" i="86" s="1"/>
  <c r="Q12" i="86" s="1"/>
  <c r="S12" i="86" s="1"/>
  <c r="N102" i="86"/>
  <c r="O102" i="86" s="1"/>
  <c r="Q102" i="86" s="1"/>
  <c r="S102" i="86" s="1"/>
  <c r="C172" i="4"/>
  <c r="K126" i="1"/>
  <c r="B131" i="1" s="1"/>
  <c r="B132" i="1" s="1"/>
  <c r="J5" i="86"/>
  <c r="J8" i="86"/>
  <c r="J18" i="86"/>
  <c r="J24" i="86"/>
  <c r="J26" i="86"/>
  <c r="J27" i="86"/>
  <c r="J31" i="86"/>
  <c r="J35" i="86"/>
  <c r="J44" i="86"/>
  <c r="J51" i="86"/>
  <c r="J74" i="86"/>
  <c r="N107" i="86"/>
  <c r="O107" i="86" s="1"/>
  <c r="Q107" i="86" s="1"/>
  <c r="S107" i="86" s="1"/>
  <c r="M27" i="27"/>
  <c r="H29" i="27"/>
  <c r="J29" i="27" s="1"/>
  <c r="L29" i="27" s="1"/>
  <c r="H30" i="27"/>
  <c r="J30" i="27" s="1"/>
  <c r="L30" i="27" s="1"/>
  <c r="G32" i="27"/>
  <c r="I32" i="27" s="1"/>
  <c r="K32" i="27" s="1"/>
  <c r="G34" i="27"/>
  <c r="I34" i="27" s="1"/>
  <c r="K34" i="27" s="1"/>
  <c r="H36" i="27"/>
  <c r="J36" i="27" s="1"/>
  <c r="L36" i="27" s="1"/>
  <c r="N39" i="27"/>
  <c r="H43" i="27"/>
  <c r="J43" i="27" s="1"/>
  <c r="L43" i="27" s="1"/>
  <c r="H47" i="27"/>
  <c r="J47" i="27" s="1"/>
  <c r="L47" i="27" s="1"/>
  <c r="N50" i="27"/>
  <c r="G53" i="27"/>
  <c r="I53" i="27" s="1"/>
  <c r="K53" i="27" s="1"/>
  <c r="G55" i="27"/>
  <c r="I55" i="27" s="1"/>
  <c r="K55" i="27" s="1"/>
  <c r="G57" i="27"/>
  <c r="I57" i="27" s="1"/>
  <c r="K57" i="27" s="1"/>
  <c r="H59" i="27"/>
  <c r="J59" i="27" s="1"/>
  <c r="L59" i="27" s="1"/>
  <c r="M64" i="27"/>
  <c r="M70" i="27"/>
  <c r="H71" i="27"/>
  <c r="J71" i="27" s="1"/>
  <c r="L71" i="27" s="1"/>
  <c r="H73" i="27"/>
  <c r="J73" i="27" s="1"/>
  <c r="L73" i="27" s="1"/>
  <c r="M78" i="27"/>
  <c r="H81" i="27"/>
  <c r="J81" i="27" s="1"/>
  <c r="L81" i="27" s="1"/>
  <c r="H82" i="27"/>
  <c r="J82" i="27" s="1"/>
  <c r="L82" i="27" s="1"/>
  <c r="H85" i="27"/>
  <c r="J85" i="27" s="1"/>
  <c r="L85" i="27" s="1"/>
  <c r="H86" i="27"/>
  <c r="J86" i="27" s="1"/>
  <c r="L86" i="27" s="1"/>
  <c r="G89" i="27"/>
  <c r="I89" i="27" s="1"/>
  <c r="K89" i="27" s="1"/>
  <c r="V47" i="54"/>
  <c r="J12" i="86"/>
  <c r="J14" i="86"/>
  <c r="N18" i="86"/>
  <c r="O18" i="86" s="1"/>
  <c r="P18" i="86" s="1"/>
  <c r="R18" i="86" s="1"/>
  <c r="N52" i="86"/>
  <c r="O52" i="86" s="1"/>
  <c r="P52" i="86" s="1"/>
  <c r="R52" i="86" s="1"/>
  <c r="N85" i="86"/>
  <c r="O85" i="86" s="1"/>
  <c r="Q85" i="86" s="1"/>
  <c r="S85" i="86" s="1"/>
  <c r="N30" i="27"/>
  <c r="N34" i="27"/>
  <c r="N38" i="27"/>
  <c r="N49" i="27"/>
  <c r="N55" i="27"/>
  <c r="N57" i="27"/>
  <c r="N61" i="27"/>
  <c r="N79" i="27"/>
  <c r="M81" i="27"/>
  <c r="M87" i="27"/>
  <c r="M89" i="27"/>
  <c r="M91" i="27"/>
  <c r="M101" i="27"/>
  <c r="E8" i="54"/>
  <c r="F8" i="54" s="1"/>
  <c r="L8" i="54" s="1"/>
  <c r="M8" i="54" s="1"/>
  <c r="E12" i="54"/>
  <c r="P12" i="54" s="1"/>
  <c r="E14" i="54"/>
  <c r="F14" i="54" s="1"/>
  <c r="E17" i="54"/>
  <c r="I17" i="54" s="1"/>
  <c r="E19" i="54"/>
  <c r="P19" i="54" s="1"/>
  <c r="E23" i="54"/>
  <c r="P23" i="54" s="1"/>
  <c r="E37" i="54"/>
  <c r="I37" i="54" s="1"/>
  <c r="E38" i="54"/>
  <c r="F38" i="54" s="1"/>
  <c r="G38" i="54" s="1"/>
  <c r="H38" i="54" s="1"/>
  <c r="E39" i="54"/>
  <c r="I39" i="54" s="1"/>
  <c r="E40" i="54"/>
  <c r="P40" i="54" s="1"/>
  <c r="E41" i="54"/>
  <c r="F41" i="54" s="1"/>
  <c r="L41" i="54" s="1"/>
  <c r="M41" i="54" s="1"/>
  <c r="E42" i="54"/>
  <c r="F42" i="54" s="1"/>
  <c r="E43" i="54"/>
  <c r="I43" i="54" s="1"/>
  <c r="E44" i="54"/>
  <c r="F44" i="54" s="1"/>
  <c r="G44" i="54" s="1"/>
  <c r="E45" i="54"/>
  <c r="I45" i="54" s="1"/>
  <c r="E46" i="54"/>
  <c r="F46" i="54" s="1"/>
  <c r="E47" i="54"/>
  <c r="F47" i="54" s="1"/>
  <c r="E48" i="54"/>
  <c r="P48" i="54" s="1"/>
  <c r="E49" i="54"/>
  <c r="I49" i="54" s="1"/>
  <c r="E50" i="54"/>
  <c r="P50" i="54" s="1"/>
  <c r="E51" i="54"/>
  <c r="F51" i="54" s="1"/>
  <c r="G51" i="54" s="1"/>
  <c r="E58" i="54"/>
  <c r="I58" i="54" s="1"/>
  <c r="E59" i="54"/>
  <c r="F59" i="54" s="1"/>
  <c r="G59" i="54" s="1"/>
  <c r="H59" i="54" s="1"/>
  <c r="E63" i="54"/>
  <c r="P63" i="54" s="1"/>
  <c r="E72" i="54"/>
  <c r="P72" i="54" s="1"/>
  <c r="E74" i="54"/>
  <c r="P74" i="54" s="1"/>
  <c r="E75" i="54"/>
  <c r="F75" i="54" s="1"/>
  <c r="G75" i="54" s="1"/>
  <c r="H75" i="54" s="1"/>
  <c r="E96" i="54"/>
  <c r="I96" i="54" s="1"/>
  <c r="E106" i="54"/>
  <c r="F106" i="54" s="1"/>
  <c r="G106" i="54" s="1"/>
  <c r="H106" i="54" s="1"/>
  <c r="E109" i="54"/>
  <c r="I109" i="54" s="1"/>
  <c r="E110" i="54"/>
  <c r="I110" i="54" s="1"/>
  <c r="E111" i="54"/>
  <c r="F111" i="54" s="1"/>
  <c r="G111" i="54" s="1"/>
  <c r="H111" i="54" s="1"/>
  <c r="E112" i="54"/>
  <c r="I112" i="54" s="1"/>
  <c r="E113" i="54"/>
  <c r="F113" i="54" s="1"/>
  <c r="G113" i="54" s="1"/>
  <c r="H113" i="54" s="1"/>
  <c r="E114" i="54"/>
  <c r="I114" i="54" s="1"/>
  <c r="E115" i="54"/>
  <c r="F115" i="54" s="1"/>
  <c r="G115" i="54" s="1"/>
  <c r="H115" i="54" s="1"/>
  <c r="E116" i="54"/>
  <c r="I116" i="54" s="1"/>
  <c r="E117" i="54"/>
  <c r="F117" i="54" s="1"/>
  <c r="G117" i="54" s="1"/>
  <c r="E118" i="54"/>
  <c r="F118" i="54" s="1"/>
  <c r="G118" i="54" s="1"/>
  <c r="H118" i="54" s="1"/>
  <c r="E119" i="54"/>
  <c r="I119" i="54" s="1"/>
  <c r="E120" i="54"/>
  <c r="I120" i="54" s="1"/>
  <c r="H32" i="27"/>
  <c r="J32" i="27" s="1"/>
  <c r="L32" i="27" s="1"/>
  <c r="J65" i="86"/>
  <c r="J66" i="86"/>
  <c r="N72" i="86"/>
  <c r="O72" i="86" s="1"/>
  <c r="Q72" i="86" s="1"/>
  <c r="S72" i="86" s="1"/>
  <c r="N75" i="86"/>
  <c r="O75" i="86" s="1"/>
  <c r="P75" i="86" s="1"/>
  <c r="R75" i="86" s="1"/>
  <c r="N89" i="86"/>
  <c r="O89" i="86" s="1"/>
  <c r="P89" i="86" s="1"/>
  <c r="R89" i="86" s="1"/>
  <c r="J91" i="86"/>
  <c r="N93" i="86"/>
  <c r="O93" i="86" s="1"/>
  <c r="Q93" i="86" s="1"/>
  <c r="S93" i="86" s="1"/>
  <c r="J102" i="86"/>
  <c r="J108" i="86"/>
  <c r="J111" i="86"/>
  <c r="F143" i="4"/>
  <c r="J70" i="86"/>
  <c r="N68" i="86"/>
  <c r="O68" i="86" s="1"/>
  <c r="P68" i="86" s="1"/>
  <c r="R68" i="86" s="1"/>
  <c r="N108" i="86"/>
  <c r="O108" i="86" s="1"/>
  <c r="Q108" i="86" s="1"/>
  <c r="S108" i="86" s="1"/>
  <c r="N109" i="86"/>
  <c r="O109" i="86" s="1"/>
  <c r="P109" i="86" s="1"/>
  <c r="R109" i="86" s="1"/>
  <c r="G47" i="27"/>
  <c r="I47" i="27" s="1"/>
  <c r="K47" i="27" s="1"/>
  <c r="F140" i="4"/>
  <c r="H34" i="27"/>
  <c r="J34" i="27" s="1"/>
  <c r="L34" i="27" s="1"/>
  <c r="C32" i="4"/>
  <c r="L35" i="86"/>
  <c r="M35" i="86" s="1"/>
  <c r="N35" i="86" s="1"/>
  <c r="O35" i="86" s="1"/>
  <c r="P35" i="86" s="1"/>
  <c r="R35" i="86" s="1"/>
  <c r="J41" i="86"/>
  <c r="N29" i="27"/>
  <c r="N41" i="27"/>
  <c r="M43" i="27"/>
  <c r="M58" i="27"/>
  <c r="M72" i="27"/>
  <c r="M74" i="27"/>
  <c r="M96" i="27"/>
  <c r="E99" i="54"/>
  <c r="F126" i="4"/>
  <c r="H23" i="27"/>
  <c r="J23" i="27" s="1"/>
  <c r="L23" i="27" s="1"/>
  <c r="G23" i="27"/>
  <c r="I23" i="27" s="1"/>
  <c r="K23" i="27" s="1"/>
  <c r="G33" i="27"/>
  <c r="I33" i="27" s="1"/>
  <c r="K33" i="27" s="1"/>
  <c r="M33" i="27"/>
  <c r="M39" i="27"/>
  <c r="G39" i="27"/>
  <c r="I39" i="27" s="1"/>
  <c r="K39" i="27" s="1"/>
  <c r="H39" i="27"/>
  <c r="J39" i="27" s="1"/>
  <c r="L39" i="27" s="1"/>
  <c r="M50" i="27"/>
  <c r="H50" i="27"/>
  <c r="J50" i="27" s="1"/>
  <c r="L50" i="27" s="1"/>
  <c r="H54" i="27"/>
  <c r="J54" i="27" s="1"/>
  <c r="L54" i="27" s="1"/>
  <c r="G54" i="27"/>
  <c r="I54" i="27" s="1"/>
  <c r="K54" i="27" s="1"/>
  <c r="N56" i="27"/>
  <c r="G56" i="27"/>
  <c r="I56" i="27" s="1"/>
  <c r="K56" i="27" s="1"/>
  <c r="M56" i="27"/>
  <c r="M60" i="27"/>
  <c r="H60" i="27"/>
  <c r="J60" i="27" s="1"/>
  <c r="L60" i="27" s="1"/>
  <c r="G64" i="27"/>
  <c r="I64" i="27" s="1"/>
  <c r="K64" i="27" s="1"/>
  <c r="N64" i="27"/>
  <c r="G70" i="27"/>
  <c r="I70" i="27" s="1"/>
  <c r="K70" i="27" s="1"/>
  <c r="H70" i="27"/>
  <c r="J70" i="27" s="1"/>
  <c r="L70" i="27" s="1"/>
  <c r="J85" i="86"/>
  <c r="F117" i="4"/>
  <c r="F125" i="4"/>
  <c r="J6" i="86"/>
  <c r="J39" i="86"/>
  <c r="J40" i="86"/>
  <c r="J81" i="86"/>
  <c r="J114" i="86"/>
  <c r="M25" i="27"/>
  <c r="H26" i="27"/>
  <c r="J26" i="27" s="1"/>
  <c r="L26" i="27" s="1"/>
  <c r="N27" i="27"/>
  <c r="H28" i="27"/>
  <c r="J28" i="27" s="1"/>
  <c r="L28" i="27" s="1"/>
  <c r="N31" i="27"/>
  <c r="N33" i="27"/>
  <c r="N35" i="27"/>
  <c r="N37" i="27"/>
  <c r="M41" i="27"/>
  <c r="G44" i="27"/>
  <c r="I44" i="27" s="1"/>
  <c r="K44" i="27" s="1"/>
  <c r="N46" i="27"/>
  <c r="M48" i="27"/>
  <c r="H49" i="27"/>
  <c r="J49" i="27" s="1"/>
  <c r="L49" i="27" s="1"/>
  <c r="M52" i="27"/>
  <c r="N54" i="27"/>
  <c r="H57" i="27"/>
  <c r="J57" i="27" s="1"/>
  <c r="L57" i="27" s="1"/>
  <c r="N58" i="27"/>
  <c r="N60" i="27"/>
  <c r="H61" i="27"/>
  <c r="J61" i="27" s="1"/>
  <c r="L61" i="27" s="1"/>
  <c r="H63" i="27"/>
  <c r="J63" i="27" s="1"/>
  <c r="L63" i="27" s="1"/>
  <c r="G65" i="27"/>
  <c r="I65" i="27" s="1"/>
  <c r="K65" i="27" s="1"/>
  <c r="N66" i="27"/>
  <c r="H67" i="27"/>
  <c r="J67" i="27" s="1"/>
  <c r="L67" i="27" s="1"/>
  <c r="H69" i="27"/>
  <c r="J69" i="27" s="1"/>
  <c r="L69" i="27" s="1"/>
  <c r="N72" i="27"/>
  <c r="N74" i="27"/>
  <c r="G77" i="27"/>
  <c r="I77" i="27" s="1"/>
  <c r="K77" i="27" s="1"/>
  <c r="G81" i="27"/>
  <c r="I81" i="27" s="1"/>
  <c r="K81" i="27" s="1"/>
  <c r="G83" i="27"/>
  <c r="I83" i="27" s="1"/>
  <c r="K83" i="27" s="1"/>
  <c r="G86" i="27"/>
  <c r="I86" i="27" s="1"/>
  <c r="K86" i="27" s="1"/>
  <c r="G87" i="27"/>
  <c r="I87" i="27" s="1"/>
  <c r="K87" i="27" s="1"/>
  <c r="M88" i="27"/>
  <c r="H89" i="27"/>
  <c r="J89" i="27" s="1"/>
  <c r="L89" i="27" s="1"/>
  <c r="H95" i="27"/>
  <c r="J95" i="27" s="1"/>
  <c r="L95" i="27" s="1"/>
  <c r="G99" i="27"/>
  <c r="I99" i="27" s="1"/>
  <c r="K99" i="27" s="1"/>
  <c r="G101" i="27"/>
  <c r="I101" i="27" s="1"/>
  <c r="K101" i="27" s="1"/>
  <c r="G227" i="4"/>
  <c r="G228" i="4"/>
  <c r="G234" i="4"/>
  <c r="G237" i="4"/>
  <c r="G239" i="4"/>
  <c r="F145" i="4"/>
  <c r="N31" i="86"/>
  <c r="O31" i="86" s="1"/>
  <c r="Q31" i="86" s="1"/>
  <c r="S31" i="86" s="1"/>
  <c r="N32" i="86"/>
  <c r="O32" i="86" s="1"/>
  <c r="Q32" i="86" s="1"/>
  <c r="S32" i="86" s="1"/>
  <c r="J43" i="86"/>
  <c r="J63" i="86"/>
  <c r="J67" i="86"/>
  <c r="J68" i="86"/>
  <c r="J71" i="86"/>
  <c r="J78" i="86"/>
  <c r="J79" i="86"/>
  <c r="J36" i="86"/>
  <c r="N77" i="86"/>
  <c r="O77" i="86" s="1"/>
  <c r="Q77" i="86" s="1"/>
  <c r="S77" i="86" s="1"/>
  <c r="J88" i="86"/>
  <c r="N90" i="86"/>
  <c r="O90" i="86" s="1"/>
  <c r="P90" i="86" s="1"/>
  <c r="R90" i="86" s="1"/>
  <c r="N99" i="86"/>
  <c r="O99" i="86" s="1"/>
  <c r="P99" i="86" s="1"/>
  <c r="R99" i="86" s="1"/>
  <c r="J105" i="86"/>
  <c r="E15" i="54"/>
  <c r="E27" i="54"/>
  <c r="E30" i="54"/>
  <c r="E31" i="54"/>
  <c r="E35" i="54"/>
  <c r="I35" i="54" s="1"/>
  <c r="H5" i="12"/>
  <c r="U5" i="12" s="1"/>
  <c r="V5" i="12" s="1"/>
  <c r="B135" i="1"/>
  <c r="B136" i="1" s="1"/>
  <c r="H25" i="12"/>
  <c r="U25" i="12" s="1"/>
  <c r="V25" i="12" s="1"/>
  <c r="H4" i="12"/>
  <c r="U4" i="12" s="1"/>
  <c r="V4" i="12" s="1"/>
  <c r="B96" i="12"/>
  <c r="D96" i="12" s="1"/>
  <c r="AA39" i="1"/>
  <c r="B99" i="12"/>
  <c r="D99" i="12" s="1"/>
  <c r="B107" i="12"/>
  <c r="D107" i="12" s="1"/>
  <c r="D74" i="12"/>
  <c r="E74" i="12" s="1"/>
  <c r="H74" i="12" s="1"/>
  <c r="O51" i="12"/>
  <c r="B67" i="4" s="1"/>
  <c r="O46" i="12"/>
  <c r="B62" i="4" s="1"/>
  <c r="G66" i="12"/>
  <c r="L11" i="4"/>
  <c r="G65" i="12"/>
  <c r="O35" i="12"/>
  <c r="N35" i="12" s="1"/>
  <c r="O40" i="12"/>
  <c r="B35" i="4" s="1"/>
  <c r="C23" i="4"/>
  <c r="E69" i="12"/>
  <c r="H69" i="12" s="1"/>
  <c r="B70" i="12"/>
  <c r="B102" i="12"/>
  <c r="D102" i="12" s="1"/>
  <c r="C71" i="64"/>
  <c r="D71" i="64" s="1"/>
  <c r="F115" i="86"/>
  <c r="L22" i="86"/>
  <c r="M22" i="86" s="1"/>
  <c r="N22" i="86" s="1"/>
  <c r="O22" i="86" s="1"/>
  <c r="J22" i="86"/>
  <c r="L103" i="86"/>
  <c r="M103" i="86" s="1"/>
  <c r="N103" i="86" s="1"/>
  <c r="O103" i="86" s="1"/>
  <c r="J103" i="86"/>
  <c r="D8" i="64"/>
  <c r="M9" i="64" s="1"/>
  <c r="E29" i="4"/>
  <c r="F4" i="54"/>
  <c r="L4" i="54" s="1"/>
  <c r="M4" i="54" s="1"/>
  <c r="P4" i="54"/>
  <c r="C171" i="4"/>
  <c r="C175" i="4"/>
  <c r="C50" i="4"/>
  <c r="E50" i="4" s="1"/>
  <c r="E64" i="4" s="1"/>
  <c r="C54" i="4"/>
  <c r="E54" i="4" s="1"/>
  <c r="E68" i="4" s="1"/>
  <c r="G236" i="4"/>
  <c r="G224" i="4"/>
  <c r="N78" i="86"/>
  <c r="O78" i="86" s="1"/>
  <c r="P78" i="86" s="1"/>
  <c r="R78" i="86" s="1"/>
  <c r="N23" i="27"/>
  <c r="M23" i="27"/>
  <c r="G38" i="27"/>
  <c r="I38" i="27" s="1"/>
  <c r="K38" i="27" s="1"/>
  <c r="H38" i="27"/>
  <c r="J38" i="27" s="1"/>
  <c r="L38" i="27" s="1"/>
  <c r="G29" i="27"/>
  <c r="I29" i="27" s="1"/>
  <c r="K29" i="27" s="1"/>
  <c r="G49" i="27"/>
  <c r="I49" i="27" s="1"/>
  <c r="K49" i="27" s="1"/>
  <c r="G61" i="27"/>
  <c r="I61" i="27" s="1"/>
  <c r="K61" i="27" s="1"/>
  <c r="H65" i="27"/>
  <c r="J65" i="27" s="1"/>
  <c r="L65" i="27" s="1"/>
  <c r="H99" i="27"/>
  <c r="J99" i="27" s="1"/>
  <c r="L99" i="27" s="1"/>
  <c r="H101" i="27"/>
  <c r="J101" i="27" s="1"/>
  <c r="L101" i="27" s="1"/>
  <c r="M66" i="27"/>
  <c r="D84" i="4"/>
  <c r="M35" i="27"/>
  <c r="M54" i="27"/>
  <c r="G235" i="4"/>
  <c r="M31" i="27"/>
  <c r="N74" i="86"/>
  <c r="O74" i="86" s="1"/>
  <c r="P74" i="86" s="1"/>
  <c r="R74" i="86" s="1"/>
  <c r="N105" i="86"/>
  <c r="O105" i="86" s="1"/>
  <c r="Q105" i="86" s="1"/>
  <c r="S105" i="86" s="1"/>
  <c r="G36" i="27"/>
  <c r="I36" i="27" s="1"/>
  <c r="K36" i="27" s="1"/>
  <c r="M44" i="27"/>
  <c r="N44" i="27"/>
  <c r="H77" i="27"/>
  <c r="J77" i="27" s="1"/>
  <c r="L77" i="27" s="1"/>
  <c r="N83" i="27"/>
  <c r="M83" i="27"/>
  <c r="G231" i="4"/>
  <c r="M62" i="27"/>
  <c r="N62" i="27"/>
  <c r="N80" i="27"/>
  <c r="M80" i="27"/>
  <c r="G190" i="4"/>
  <c r="G95" i="27"/>
  <c r="I95" i="27" s="1"/>
  <c r="K95" i="27" s="1"/>
  <c r="F133" i="4"/>
  <c r="G221" i="4"/>
  <c r="F132" i="4"/>
  <c r="M46" i="27"/>
  <c r="N48" i="27"/>
  <c r="N49" i="86"/>
  <c r="O49" i="86" s="1"/>
  <c r="P49" i="86" s="1"/>
  <c r="R49" i="86" s="1"/>
  <c r="J94" i="86"/>
  <c r="V44" i="54"/>
  <c r="E7" i="54"/>
  <c r="V48" i="54"/>
  <c r="E26" i="54"/>
  <c r="F26" i="54" s="1"/>
  <c r="C170" i="4"/>
  <c r="C174" i="4"/>
  <c r="G187" i="4"/>
  <c r="J17" i="86"/>
  <c r="N21" i="86"/>
  <c r="O21" i="86" s="1"/>
  <c r="Q21" i="86" s="1"/>
  <c r="S21" i="86" s="1"/>
  <c r="J37" i="86"/>
  <c r="J72" i="86"/>
  <c r="J75" i="86"/>
  <c r="G68" i="27"/>
  <c r="I68" i="27" s="1"/>
  <c r="K68" i="27" s="1"/>
  <c r="G161" i="4"/>
  <c r="G169" i="4"/>
  <c r="E5" i="54"/>
  <c r="I5" i="54" s="1"/>
  <c r="V45" i="54"/>
  <c r="F137" i="4"/>
  <c r="F129" i="4"/>
  <c r="G226" i="4"/>
  <c r="N9" i="86"/>
  <c r="O9" i="86" s="1"/>
  <c r="P9" i="86" s="1"/>
  <c r="R9" i="86" s="1"/>
  <c r="N17" i="86"/>
  <c r="O17" i="86" s="1"/>
  <c r="P17" i="86" s="1"/>
  <c r="R17" i="86" s="1"/>
  <c r="N48" i="86"/>
  <c r="O48" i="86" s="1"/>
  <c r="Q48" i="86" s="1"/>
  <c r="S48" i="86" s="1"/>
  <c r="J49" i="86"/>
  <c r="J53" i="86"/>
  <c r="J56" i="86"/>
  <c r="N71" i="86"/>
  <c r="O71" i="86" s="1"/>
  <c r="P71" i="86" s="1"/>
  <c r="R71" i="86" s="1"/>
  <c r="N81" i="86"/>
  <c r="O81" i="86" s="1"/>
  <c r="P81" i="86" s="1"/>
  <c r="R81" i="86" s="1"/>
  <c r="J83" i="86"/>
  <c r="J87" i="86"/>
  <c r="J89" i="86"/>
  <c r="J90" i="86"/>
  <c r="J93" i="86"/>
  <c r="J95" i="86"/>
  <c r="J99" i="86"/>
  <c r="N101" i="86"/>
  <c r="O101" i="86" s="1"/>
  <c r="Q101" i="86" s="1"/>
  <c r="S101" i="86" s="1"/>
  <c r="J106" i="86"/>
  <c r="J110" i="86"/>
  <c r="N112" i="86"/>
  <c r="O112" i="86" s="1"/>
  <c r="Q112" i="86" s="1"/>
  <c r="S112" i="86" s="1"/>
  <c r="N25" i="27"/>
  <c r="M37" i="27"/>
  <c r="N96" i="27"/>
  <c r="G157" i="4"/>
  <c r="G158" i="4"/>
  <c r="G156" i="4"/>
  <c r="N40" i="86"/>
  <c r="O40" i="86" s="1"/>
  <c r="P40" i="86" s="1"/>
  <c r="R40" i="86" s="1"/>
  <c r="N84" i="86"/>
  <c r="O84" i="86" s="1"/>
  <c r="P84" i="86" s="1"/>
  <c r="R84" i="86" s="1"/>
  <c r="N96" i="86"/>
  <c r="O96" i="86" s="1"/>
  <c r="P96" i="86" s="1"/>
  <c r="R96" i="86" s="1"/>
  <c r="I4" i="54"/>
  <c r="F130" i="4"/>
  <c r="G160" i="4"/>
  <c r="N7" i="86"/>
  <c r="O7" i="86" s="1"/>
  <c r="N8" i="86"/>
  <c r="O8" i="86" s="1"/>
  <c r="Q8" i="86" s="1"/>
  <c r="S8" i="86" s="1"/>
  <c r="N64" i="86"/>
  <c r="O64" i="86" s="1"/>
  <c r="P64" i="86" s="1"/>
  <c r="R64" i="86" s="1"/>
  <c r="F138" i="4"/>
  <c r="N16" i="86"/>
  <c r="O16" i="86" s="1"/>
  <c r="P16" i="86" s="1"/>
  <c r="R16" i="86" s="1"/>
  <c r="N36" i="86"/>
  <c r="O36" i="86" s="1"/>
  <c r="N43" i="86"/>
  <c r="O43" i="86" s="1"/>
  <c r="Q43" i="86" s="1"/>
  <c r="S43" i="86" s="1"/>
  <c r="N63" i="86"/>
  <c r="O63" i="86" s="1"/>
  <c r="N69" i="86"/>
  <c r="O69" i="86" s="1"/>
  <c r="G177" i="4"/>
  <c r="G180" i="4"/>
  <c r="G181" i="4"/>
  <c r="G189" i="4"/>
  <c r="G193" i="4"/>
  <c r="G194" i="4"/>
  <c r="G195" i="4"/>
  <c r="G201" i="4"/>
  <c r="G204" i="4"/>
  <c r="G206" i="4"/>
  <c r="G208" i="4"/>
  <c r="E3" i="54"/>
  <c r="E53" i="54"/>
  <c r="G167" i="4"/>
  <c r="N84" i="27"/>
  <c r="M84" i="27"/>
  <c r="N88" i="27"/>
  <c r="G88" i="27"/>
  <c r="I88" i="27" s="1"/>
  <c r="K88" i="27" s="1"/>
  <c r="M90" i="27"/>
  <c r="H90" i="27"/>
  <c r="J90" i="27" s="1"/>
  <c r="L90" i="27" s="1"/>
  <c r="N90" i="27"/>
  <c r="G90" i="27"/>
  <c r="I90" i="27" s="1"/>
  <c r="K90" i="27" s="1"/>
  <c r="M92" i="27"/>
  <c r="H92" i="27"/>
  <c r="J92" i="27" s="1"/>
  <c r="L92" i="27" s="1"/>
  <c r="G92" i="27"/>
  <c r="I92" i="27" s="1"/>
  <c r="K92" i="27" s="1"/>
  <c r="N94" i="27"/>
  <c r="H94" i="27"/>
  <c r="J94" i="27" s="1"/>
  <c r="L94" i="27" s="1"/>
  <c r="G100" i="27"/>
  <c r="I100" i="27" s="1"/>
  <c r="K100" i="27" s="1"/>
  <c r="N100" i="27"/>
  <c r="H100" i="27"/>
  <c r="J100" i="27" s="1"/>
  <c r="L100" i="27" s="1"/>
  <c r="E6" i="54"/>
  <c r="I6" i="54" s="1"/>
  <c r="V43" i="54"/>
  <c r="H96" i="27"/>
  <c r="J96" i="27" s="1"/>
  <c r="L96" i="27" s="1"/>
  <c r="G191" i="4"/>
  <c r="G217" i="4"/>
  <c r="G216" i="4"/>
  <c r="N98" i="27"/>
  <c r="N92" i="27"/>
  <c r="N47" i="86"/>
  <c r="O47" i="86" s="1"/>
  <c r="L15" i="86"/>
  <c r="M15" i="86" s="1"/>
  <c r="N15" i="86" s="1"/>
  <c r="O15" i="86" s="1"/>
  <c r="P15" i="86" s="1"/>
  <c r="R15" i="86" s="1"/>
  <c r="J15" i="86"/>
  <c r="G238" i="4"/>
  <c r="N98" i="86"/>
  <c r="O98" i="86" s="1"/>
  <c r="Q98" i="86" s="1"/>
  <c r="S98" i="86" s="1"/>
  <c r="H50" i="4"/>
  <c r="I50" i="4" s="1"/>
  <c r="G188" i="4"/>
  <c r="F144" i="4"/>
  <c r="G225" i="4"/>
  <c r="F120" i="4"/>
  <c r="G232" i="4"/>
  <c r="G168" i="4"/>
  <c r="M22" i="27"/>
  <c r="G22" i="27"/>
  <c r="I22" i="27" s="1"/>
  <c r="K22" i="27" s="1"/>
  <c r="N24" i="27"/>
  <c r="G24" i="27"/>
  <c r="I24" i="27" s="1"/>
  <c r="K24" i="27" s="1"/>
  <c r="M24" i="27"/>
  <c r="H24" i="27"/>
  <c r="J24" i="27" s="1"/>
  <c r="L24" i="27" s="1"/>
  <c r="G26" i="27"/>
  <c r="I26" i="27" s="1"/>
  <c r="K26" i="27" s="1"/>
  <c r="M26" i="27"/>
  <c r="M28" i="27"/>
  <c r="N28" i="27"/>
  <c r="G28" i="27"/>
  <c r="I28" i="27" s="1"/>
  <c r="K28" i="27" s="1"/>
  <c r="M32" i="27"/>
  <c r="N32" i="27"/>
  <c r="N40" i="27"/>
  <c r="M40" i="27"/>
  <c r="G40" i="27"/>
  <c r="I40" i="27" s="1"/>
  <c r="K40" i="27" s="1"/>
  <c r="H40" i="27"/>
  <c r="J40" i="27" s="1"/>
  <c r="L40" i="27" s="1"/>
  <c r="M42" i="27"/>
  <c r="N42" i="27"/>
  <c r="G42" i="27"/>
  <c r="I42" i="27" s="1"/>
  <c r="K42" i="27" s="1"/>
  <c r="N51" i="27"/>
  <c r="H51" i="27"/>
  <c r="J51" i="27" s="1"/>
  <c r="L51" i="27" s="1"/>
  <c r="G51" i="27"/>
  <c r="I51" i="27" s="1"/>
  <c r="K51" i="27" s="1"/>
  <c r="N53" i="27"/>
  <c r="H53" i="27"/>
  <c r="J53" i="27" s="1"/>
  <c r="L53" i="27" s="1"/>
  <c r="N59" i="27"/>
  <c r="M59" i="27"/>
  <c r="M67" i="27"/>
  <c r="G67" i="27"/>
  <c r="I67" i="27" s="1"/>
  <c r="K67" i="27" s="1"/>
  <c r="N69" i="27"/>
  <c r="G69" i="27"/>
  <c r="I69" i="27" s="1"/>
  <c r="K69" i="27" s="1"/>
  <c r="N71" i="27"/>
  <c r="G71" i="27"/>
  <c r="I71" i="27" s="1"/>
  <c r="K71" i="27" s="1"/>
  <c r="M71" i="27"/>
  <c r="N73" i="27"/>
  <c r="M73" i="27"/>
  <c r="N75" i="27"/>
  <c r="M75" i="27"/>
  <c r="H75" i="27"/>
  <c r="J75" i="27" s="1"/>
  <c r="L75" i="27" s="1"/>
  <c r="H79" i="27"/>
  <c r="J79" i="27" s="1"/>
  <c r="L79" i="27" s="1"/>
  <c r="M79" i="27"/>
  <c r="F141" i="4"/>
  <c r="G211" i="4"/>
  <c r="F142" i="4"/>
  <c r="F127" i="4"/>
  <c r="G243" i="4"/>
  <c r="G233" i="4"/>
  <c r="G222" i="4"/>
  <c r="G197" i="4"/>
  <c r="F128" i="4"/>
  <c r="J62" i="86"/>
  <c r="N65" i="86"/>
  <c r="O65" i="86" s="1"/>
  <c r="J69" i="86"/>
  <c r="G241" i="4"/>
  <c r="G220" i="4"/>
  <c r="G176" i="4"/>
  <c r="J42" i="86"/>
  <c r="J96" i="86"/>
  <c r="J107" i="86"/>
  <c r="J109" i="86"/>
  <c r="N68" i="27"/>
  <c r="M68" i="27"/>
  <c r="G73" i="27"/>
  <c r="I73" i="27" s="1"/>
  <c r="K73" i="27" s="1"/>
  <c r="G75" i="27"/>
  <c r="I75" i="27" s="1"/>
  <c r="K75" i="27" s="1"/>
  <c r="N76" i="27"/>
  <c r="M76" i="27"/>
  <c r="G79" i="27"/>
  <c r="I79" i="27" s="1"/>
  <c r="K79" i="27" s="1"/>
  <c r="M82" i="27"/>
  <c r="G82" i="27"/>
  <c r="I82" i="27" s="1"/>
  <c r="K82" i="27" s="1"/>
  <c r="N86" i="27"/>
  <c r="M86" i="27"/>
  <c r="M94" i="27"/>
  <c r="M98" i="27"/>
  <c r="M100" i="27"/>
  <c r="D32" i="4"/>
  <c r="D20" i="4"/>
  <c r="D5" i="64"/>
  <c r="L23" i="64" s="1"/>
  <c r="G198" i="4"/>
  <c r="G178" i="4"/>
  <c r="J7" i="86"/>
  <c r="J11" i="86"/>
  <c r="J29" i="86"/>
  <c r="J33" i="86"/>
  <c r="J34" i="86"/>
  <c r="N41" i="86"/>
  <c r="O41" i="86" s="1"/>
  <c r="P41" i="86" s="1"/>
  <c r="R41" i="86" s="1"/>
  <c r="J50" i="86"/>
  <c r="J55" i="86"/>
  <c r="N70" i="86"/>
  <c r="O70" i="86" s="1"/>
  <c r="Q70" i="86" s="1"/>
  <c r="S70" i="86" s="1"/>
  <c r="J73" i="86"/>
  <c r="J80" i="86"/>
  <c r="J86" i="86"/>
  <c r="J113" i="86"/>
  <c r="N67" i="27"/>
  <c r="M69" i="27"/>
  <c r="N81" i="27"/>
  <c r="B92" i="4"/>
  <c r="F91" i="4" s="1"/>
  <c r="N14" i="86"/>
  <c r="O14" i="86" s="1"/>
  <c r="J23" i="86"/>
  <c r="J46" i="86"/>
  <c r="J47" i="86"/>
  <c r="N51" i="86"/>
  <c r="O51" i="86" s="1"/>
  <c r="P51" i="86" s="1"/>
  <c r="R51" i="86" s="1"/>
  <c r="N53" i="86"/>
  <c r="O53" i="86" s="1"/>
  <c r="N55" i="86"/>
  <c r="O55" i="86" s="1"/>
  <c r="Q55" i="86" s="1"/>
  <c r="S55" i="86" s="1"/>
  <c r="N56" i="86"/>
  <c r="O56" i="86" s="1"/>
  <c r="P56" i="86" s="1"/>
  <c r="R56" i="86" s="1"/>
  <c r="J58" i="86"/>
  <c r="J59" i="86"/>
  <c r="J64" i="86"/>
  <c r="N76" i="86"/>
  <c r="O76" i="86" s="1"/>
  <c r="P76" i="86" s="1"/>
  <c r="R76" i="86" s="1"/>
  <c r="N88" i="86"/>
  <c r="O88" i="86" s="1"/>
  <c r="P88" i="86" s="1"/>
  <c r="R88" i="86" s="1"/>
  <c r="N92" i="86"/>
  <c r="O92" i="86" s="1"/>
  <c r="J101" i="86"/>
  <c r="H22" i="27"/>
  <c r="J22" i="27" s="1"/>
  <c r="L22" i="27" s="1"/>
  <c r="G30" i="27"/>
  <c r="I30" i="27" s="1"/>
  <c r="K30" i="27" s="1"/>
  <c r="G59" i="27"/>
  <c r="I59" i="27" s="1"/>
  <c r="K59" i="27" s="1"/>
  <c r="M93" i="27"/>
  <c r="E56" i="54"/>
  <c r="F56" i="54" s="1"/>
  <c r="E60" i="54"/>
  <c r="F60" i="54" s="1"/>
  <c r="G60" i="54" s="1"/>
  <c r="H60" i="54" s="1"/>
  <c r="E62" i="54"/>
  <c r="I62" i="54" s="1"/>
  <c r="E64" i="54"/>
  <c r="P64" i="54" s="1"/>
  <c r="E67" i="54"/>
  <c r="P67" i="54" s="1"/>
  <c r="E70" i="54"/>
  <c r="P70" i="54" s="1"/>
  <c r="E71" i="54"/>
  <c r="P71" i="54" s="1"/>
  <c r="E73" i="54"/>
  <c r="E78" i="54"/>
  <c r="F78" i="54" s="1"/>
  <c r="G78" i="54" s="1"/>
  <c r="H78" i="54" s="1"/>
  <c r="E82" i="54"/>
  <c r="P82" i="54" s="1"/>
  <c r="E84" i="54"/>
  <c r="I84" i="54" s="1"/>
  <c r="E86" i="54"/>
  <c r="P86" i="54" s="1"/>
  <c r="E102" i="54"/>
  <c r="F102" i="54" s="1"/>
  <c r="G102" i="54" s="1"/>
  <c r="H102" i="54" s="1"/>
  <c r="E104" i="54"/>
  <c r="I104" i="54" s="1"/>
  <c r="E3" i="4"/>
  <c r="J22" i="26"/>
  <c r="O22" i="26" s="1"/>
  <c r="I22" i="26"/>
  <c r="G166" i="4"/>
  <c r="D97" i="12"/>
  <c r="E67" i="12"/>
  <c r="H67" i="12" s="1"/>
  <c r="O24" i="12"/>
  <c r="N24" i="12" s="1"/>
  <c r="C35" i="64"/>
  <c r="D35" i="64" s="1"/>
  <c r="O34" i="12"/>
  <c r="N34" i="12" s="1"/>
  <c r="I28" i="12"/>
  <c r="G78" i="12"/>
  <c r="B4" i="13"/>
  <c r="E4" i="13" s="1"/>
  <c r="O3" i="12"/>
  <c r="N3" i="12" s="1"/>
  <c r="B63" i="12"/>
  <c r="B68" i="12"/>
  <c r="E68" i="12" s="1"/>
  <c r="H68" i="12" s="1"/>
  <c r="H27" i="12"/>
  <c r="U27" i="12" s="1"/>
  <c r="V27" i="12" s="1"/>
  <c r="I29" i="12"/>
  <c r="H31" i="12"/>
  <c r="U31" i="12" s="1"/>
  <c r="V31" i="12" s="1"/>
  <c r="H35" i="12"/>
  <c r="U35" i="12" s="1"/>
  <c r="V35" i="12" s="1"/>
  <c r="E100" i="12"/>
  <c r="B101" i="12"/>
  <c r="D101" i="12" s="1"/>
  <c r="I51" i="12"/>
  <c r="E104" i="12" s="1"/>
  <c r="B108" i="12"/>
  <c r="D108" i="12" s="1"/>
  <c r="C36" i="64"/>
  <c r="D36" i="64" s="1"/>
  <c r="D100" i="12"/>
  <c r="E66" i="12"/>
  <c r="H66" i="12" s="1"/>
  <c r="E75" i="12"/>
  <c r="H75" i="12" s="1"/>
  <c r="C10" i="64"/>
  <c r="K26" i="64" s="1"/>
  <c r="E82" i="12"/>
  <c r="H82" i="12" s="1"/>
  <c r="D104" i="12"/>
  <c r="C72" i="64"/>
  <c r="D72" i="64" s="1"/>
  <c r="D63" i="64"/>
  <c r="O48" i="12"/>
  <c r="B64" i="4" s="1"/>
  <c r="B105" i="12"/>
  <c r="D105" i="12" s="1"/>
  <c r="B95" i="12"/>
  <c r="D95" i="12" s="1"/>
  <c r="B103" i="12"/>
  <c r="D103" i="12" s="1"/>
  <c r="O44" i="12"/>
  <c r="O50" i="12"/>
  <c r="B66" i="4" s="1"/>
  <c r="B79" i="12"/>
  <c r="B64" i="12"/>
  <c r="B71" i="12"/>
  <c r="O25" i="12"/>
  <c r="N25" i="12" s="1"/>
  <c r="C32" i="64"/>
  <c r="D32" i="64" s="1"/>
  <c r="B5" i="13"/>
  <c r="E5" i="13" s="1"/>
  <c r="C37" i="64"/>
  <c r="D37" i="64" s="1"/>
  <c r="O4" i="12"/>
  <c r="B20" i="4" s="1"/>
  <c r="G223" i="4"/>
  <c r="D16" i="64"/>
  <c r="M15" i="64" s="1"/>
  <c r="D34" i="4"/>
  <c r="D62" i="4"/>
  <c r="D25" i="4"/>
  <c r="D9" i="64"/>
  <c r="L41" i="64" s="1"/>
  <c r="G163" i="4"/>
  <c r="F122" i="4"/>
  <c r="G207" i="4"/>
  <c r="L20" i="86"/>
  <c r="M20" i="86" s="1"/>
  <c r="N20" i="86" s="1"/>
  <c r="O20" i="86" s="1"/>
  <c r="J20" i="86"/>
  <c r="J52" i="86"/>
  <c r="N95" i="86"/>
  <c r="O95" i="86" s="1"/>
  <c r="Q95" i="86" s="1"/>
  <c r="S95" i="86" s="1"/>
  <c r="S14" i="4"/>
  <c r="T14" i="4" s="1"/>
  <c r="V14" i="4" s="1"/>
  <c r="J32" i="86"/>
  <c r="F134" i="4"/>
  <c r="F131" i="4"/>
  <c r="G210" i="4"/>
  <c r="G205" i="4"/>
  <c r="L10" i="86"/>
  <c r="M10" i="86" s="1"/>
  <c r="N10" i="86" s="1"/>
  <c r="O10" i="86" s="1"/>
  <c r="J10" i="86"/>
  <c r="L28" i="86"/>
  <c r="M28" i="86" s="1"/>
  <c r="N28" i="86" s="1"/>
  <c r="O28" i="86" s="1"/>
  <c r="P28" i="86" s="1"/>
  <c r="R28" i="86" s="1"/>
  <c r="J28" i="86"/>
  <c r="L104" i="86"/>
  <c r="M104" i="86" s="1"/>
  <c r="N104" i="86" s="1"/>
  <c r="O104" i="86" s="1"/>
  <c r="J104" i="86"/>
  <c r="G93" i="27"/>
  <c r="I93" i="27" s="1"/>
  <c r="K93" i="27" s="1"/>
  <c r="H93" i="27"/>
  <c r="J93" i="27" s="1"/>
  <c r="L93" i="27" s="1"/>
  <c r="G97" i="27"/>
  <c r="I97" i="27" s="1"/>
  <c r="K97" i="27" s="1"/>
  <c r="H97" i="27"/>
  <c r="J97" i="27" s="1"/>
  <c r="L97" i="27" s="1"/>
  <c r="F147" i="4"/>
  <c r="F118" i="4"/>
  <c r="F139" i="4"/>
  <c r="F119" i="4"/>
  <c r="G164" i="4"/>
  <c r="G199" i="4"/>
  <c r="G165" i="4"/>
  <c r="G218" i="4"/>
  <c r="G159" i="4"/>
  <c r="G196" i="4"/>
  <c r="G192" i="4"/>
  <c r="G162" i="4"/>
  <c r="J9" i="86"/>
  <c r="J16" i="86"/>
  <c r="L30" i="86"/>
  <c r="M30" i="86" s="1"/>
  <c r="N30" i="86" s="1"/>
  <c r="O30" i="86" s="1"/>
  <c r="P30" i="86" s="1"/>
  <c r="R30" i="86" s="1"/>
  <c r="J48" i="86"/>
  <c r="F123" i="4"/>
  <c r="F135" i="4"/>
  <c r="G209" i="4"/>
  <c r="F124" i="4"/>
  <c r="G179" i="4"/>
  <c r="N87" i="86"/>
  <c r="O87" i="86" s="1"/>
  <c r="P87" i="86" s="1"/>
  <c r="R87" i="86" s="1"/>
  <c r="M63" i="27"/>
  <c r="N63" i="27"/>
  <c r="J25" i="86"/>
  <c r="J38" i="86"/>
  <c r="J45" i="86"/>
  <c r="N46" i="86"/>
  <c r="O46" i="86" s="1"/>
  <c r="P46" i="86" s="1"/>
  <c r="R46" i="86" s="1"/>
  <c r="J76" i="86"/>
  <c r="N83" i="86"/>
  <c r="O83" i="86" s="1"/>
  <c r="P83" i="86" s="1"/>
  <c r="R83" i="86" s="1"/>
  <c r="N97" i="86"/>
  <c r="O97" i="86" s="1"/>
  <c r="J112" i="86"/>
  <c r="M65" i="27"/>
  <c r="G85" i="27"/>
  <c r="I85" i="27" s="1"/>
  <c r="K85" i="27" s="1"/>
  <c r="H87" i="27"/>
  <c r="J87" i="27" s="1"/>
  <c r="L87" i="27" s="1"/>
  <c r="G91" i="27"/>
  <c r="I91" i="27" s="1"/>
  <c r="K91" i="27" s="1"/>
  <c r="P22" i="1"/>
  <c r="H10" i="115" s="1"/>
  <c r="J10" i="115" s="1"/>
  <c r="D5" i="4"/>
  <c r="C219" i="4"/>
  <c r="C173" i="4"/>
  <c r="D24" i="4"/>
  <c r="J21" i="86"/>
  <c r="N29" i="86"/>
  <c r="O29" i="86" s="1"/>
  <c r="P29" i="86" s="1"/>
  <c r="R29" i="86" s="1"/>
  <c r="N33" i="86"/>
  <c r="O33" i="86" s="1"/>
  <c r="Q33" i="86" s="1"/>
  <c r="S33" i="86" s="1"/>
  <c r="N34" i="86"/>
  <c r="O34" i="86" s="1"/>
  <c r="Q34" i="86" s="1"/>
  <c r="S34" i="86" s="1"/>
  <c r="N45" i="86"/>
  <c r="O45" i="86" s="1"/>
  <c r="Q45" i="86" s="1"/>
  <c r="S45" i="86" s="1"/>
  <c r="N50" i="86"/>
  <c r="O50" i="86" s="1"/>
  <c r="Q50" i="86" s="1"/>
  <c r="S50" i="86" s="1"/>
  <c r="N57" i="86"/>
  <c r="O57" i="86" s="1"/>
  <c r="P57" i="86" s="1"/>
  <c r="R57" i="86" s="1"/>
  <c r="N80" i="86"/>
  <c r="O80" i="86" s="1"/>
  <c r="Q80" i="86" s="1"/>
  <c r="S80" i="86" s="1"/>
  <c r="M29" i="27"/>
  <c r="N52" i="27"/>
  <c r="N70" i="27"/>
  <c r="N78" i="27"/>
  <c r="E10" i="54"/>
  <c r="P10" i="54" s="1"/>
  <c r="E20" i="54"/>
  <c r="E21" i="54"/>
  <c r="E22" i="54"/>
  <c r="J57" i="86"/>
  <c r="N58" i="86"/>
  <c r="O58" i="86" s="1"/>
  <c r="J61" i="86"/>
  <c r="N91" i="86"/>
  <c r="O91" i="86" s="1"/>
  <c r="J92" i="86"/>
  <c r="J98" i="86"/>
  <c r="N106" i="86"/>
  <c r="O106" i="86" s="1"/>
  <c r="N110" i="86"/>
  <c r="O110" i="86" s="1"/>
  <c r="N111" i="86"/>
  <c r="O111" i="86" s="1"/>
  <c r="J115" i="86"/>
  <c r="N26" i="27"/>
  <c r="G41" i="27"/>
  <c r="I41" i="27" s="1"/>
  <c r="K41" i="27" s="1"/>
  <c r="G46" i="27"/>
  <c r="I46" i="27" s="1"/>
  <c r="K46" i="27" s="1"/>
  <c r="G48" i="27"/>
  <c r="I48" i="27" s="1"/>
  <c r="K48" i="27" s="1"/>
  <c r="G52" i="27"/>
  <c r="I52" i="27" s="1"/>
  <c r="K52" i="27" s="1"/>
  <c r="G62" i="27"/>
  <c r="I62" i="27" s="1"/>
  <c r="K62" i="27" s="1"/>
  <c r="G94" i="27"/>
  <c r="I94" i="27" s="1"/>
  <c r="K94" i="27" s="1"/>
  <c r="G96" i="27"/>
  <c r="I96" i="27" s="1"/>
  <c r="K96" i="27" s="1"/>
  <c r="G98" i="27"/>
  <c r="I98" i="27" s="1"/>
  <c r="K98" i="27" s="1"/>
  <c r="E32" i="54"/>
  <c r="E36" i="54"/>
  <c r="F36" i="54" s="1"/>
  <c r="L36" i="54" s="1"/>
  <c r="E57" i="54"/>
  <c r="P57" i="54" s="1"/>
  <c r="E65" i="54"/>
  <c r="E66" i="54"/>
  <c r="E68" i="54"/>
  <c r="F68" i="54" s="1"/>
  <c r="G68" i="54" s="1"/>
  <c r="E69" i="54"/>
  <c r="F69" i="54" s="1"/>
  <c r="G69" i="54" s="1"/>
  <c r="H69" i="54" s="1"/>
  <c r="E76" i="54"/>
  <c r="E77" i="54"/>
  <c r="I77" i="54" s="1"/>
  <c r="E79" i="54"/>
  <c r="F79" i="54" s="1"/>
  <c r="G79" i="54" s="1"/>
  <c r="H79" i="54" s="1"/>
  <c r="E80" i="54"/>
  <c r="I80" i="54" s="1"/>
  <c r="E81" i="54"/>
  <c r="E83" i="54"/>
  <c r="E85" i="54"/>
  <c r="F85" i="54" s="1"/>
  <c r="G85" i="54" s="1"/>
  <c r="H85" i="54" s="1"/>
  <c r="E95" i="54"/>
  <c r="I95" i="54" s="1"/>
  <c r="E100" i="54"/>
  <c r="E105" i="54"/>
  <c r="J84" i="86"/>
  <c r="N77" i="27"/>
  <c r="G84" i="27"/>
  <c r="I84" i="27" s="1"/>
  <c r="K84" i="27" s="1"/>
  <c r="N97" i="27"/>
  <c r="B16" i="4"/>
  <c r="G72" i="27"/>
  <c r="I72" i="27" s="1"/>
  <c r="K72" i="27" s="1"/>
  <c r="H72" i="27"/>
  <c r="J72" i="27" s="1"/>
  <c r="L72" i="27" s="1"/>
  <c r="C84" i="4"/>
  <c r="B104" i="4"/>
  <c r="G31" i="27"/>
  <c r="I31" i="27" s="1"/>
  <c r="K31" i="27" s="1"/>
  <c r="N11" i="86"/>
  <c r="O11" i="86" s="1"/>
  <c r="N42" i="86"/>
  <c r="O42" i="86" s="1"/>
  <c r="P42" i="86" s="1"/>
  <c r="R42" i="86" s="1"/>
  <c r="N66" i="86"/>
  <c r="O66" i="86" s="1"/>
  <c r="N67" i="86"/>
  <c r="O67" i="86" s="1"/>
  <c r="N73" i="86"/>
  <c r="O73" i="86" s="1"/>
  <c r="G58" i="27"/>
  <c r="I58" i="27" s="1"/>
  <c r="K58" i="27" s="1"/>
  <c r="F121" i="4"/>
  <c r="N24" i="86"/>
  <c r="O24" i="86" s="1"/>
  <c r="P24" i="86" s="1"/>
  <c r="R24" i="86" s="1"/>
  <c r="N25" i="86"/>
  <c r="O25" i="86" s="1"/>
  <c r="P25" i="86" s="1"/>
  <c r="R25" i="86" s="1"/>
  <c r="N37" i="86"/>
  <c r="O37" i="86" s="1"/>
  <c r="N61" i="86"/>
  <c r="O61" i="86" s="1"/>
  <c r="P61" i="86" s="1"/>
  <c r="R61" i="86" s="1"/>
  <c r="N79" i="86"/>
  <c r="O79" i="86" s="1"/>
  <c r="Q79" i="86" s="1"/>
  <c r="S79" i="86" s="1"/>
  <c r="N82" i="86"/>
  <c r="O82" i="86" s="1"/>
  <c r="Q82" i="86" s="1"/>
  <c r="S82" i="86" s="1"/>
  <c r="N86" i="86"/>
  <c r="O86" i="86" s="1"/>
  <c r="P86" i="86" s="1"/>
  <c r="R86" i="86" s="1"/>
  <c r="N94" i="86"/>
  <c r="O94" i="86" s="1"/>
  <c r="Q94" i="86" s="1"/>
  <c r="S94" i="86" s="1"/>
  <c r="N115" i="86"/>
  <c r="O115" i="86" s="1"/>
  <c r="P115" i="86" s="1"/>
  <c r="R115" i="86" s="1"/>
  <c r="L60" i="86"/>
  <c r="M60" i="86" s="1"/>
  <c r="N60" i="86" s="1"/>
  <c r="O60" i="86" s="1"/>
  <c r="J60" i="86"/>
  <c r="F16" i="4"/>
  <c r="G15" i="4"/>
  <c r="E20" i="114" s="1"/>
  <c r="G48" i="4"/>
  <c r="E26" i="114" s="1"/>
  <c r="G240" i="4"/>
  <c r="F146" i="4"/>
  <c r="N6" i="86"/>
  <c r="O6" i="86" s="1"/>
  <c r="L13" i="86"/>
  <c r="M13" i="86" s="1"/>
  <c r="N13" i="86" s="1"/>
  <c r="O13" i="86" s="1"/>
  <c r="J13" i="86"/>
  <c r="L19" i="86"/>
  <c r="M19" i="86" s="1"/>
  <c r="N19" i="86" s="1"/>
  <c r="O19" i="86" s="1"/>
  <c r="J19" i="86"/>
  <c r="N44" i="86"/>
  <c r="O44" i="86" s="1"/>
  <c r="L54" i="86"/>
  <c r="M54" i="86" s="1"/>
  <c r="N54" i="86" s="1"/>
  <c r="O54" i="86" s="1"/>
  <c r="J54" i="86"/>
  <c r="G229" i="4"/>
  <c r="N23" i="86"/>
  <c r="O23" i="86" s="1"/>
  <c r="E24" i="54"/>
  <c r="F24" i="54" s="1"/>
  <c r="E98" i="54"/>
  <c r="J82" i="86"/>
  <c r="J100" i="86"/>
  <c r="N43" i="27"/>
  <c r="D28" i="4"/>
  <c r="G43" i="27"/>
  <c r="I43" i="27" s="1"/>
  <c r="K43" i="27" s="1"/>
  <c r="E11" i="54"/>
  <c r="P11" i="54" s="1"/>
  <c r="E18" i="54"/>
  <c r="V46" i="54"/>
  <c r="E61" i="54"/>
  <c r="I61" i="54" s="1"/>
  <c r="D27" i="4"/>
  <c r="M47" i="27"/>
  <c r="N47" i="27"/>
  <c r="N82" i="27"/>
  <c r="D6" i="64"/>
  <c r="E16" i="54"/>
  <c r="F16" i="54" s="1"/>
  <c r="E107" i="54"/>
  <c r="D33" i="4"/>
  <c r="D15" i="64"/>
  <c r="L47" i="64" s="1"/>
  <c r="E101" i="54"/>
  <c r="I101" i="54" s="1"/>
  <c r="E108" i="54"/>
  <c r="I108" i="54" s="1"/>
  <c r="D21" i="4"/>
  <c r="V50" i="54"/>
  <c r="D26" i="4"/>
  <c r="Y51" i="1"/>
  <c r="D230" i="4"/>
  <c r="G230" i="4" s="1"/>
  <c r="J43" i="64"/>
  <c r="H14" i="64"/>
  <c r="D215" i="4"/>
  <c r="G215" i="4" s="1"/>
  <c r="Y22" i="1"/>
  <c r="D242" i="4"/>
  <c r="G242" i="4" s="1"/>
  <c r="V96" i="1" l="1"/>
  <c r="V89" i="1"/>
  <c r="V92" i="1" s="1"/>
  <c r="U36" i="12"/>
  <c r="V36" i="12" s="1"/>
  <c r="U33" i="12"/>
  <c r="V33" i="12" s="1"/>
  <c r="U17" i="12"/>
  <c r="V17" i="12" s="1"/>
  <c r="B42" i="13"/>
  <c r="E42" i="13" s="1"/>
  <c r="W84" i="29"/>
  <c r="X84" i="29" s="1"/>
  <c r="V66" i="29"/>
  <c r="V67" i="29"/>
  <c r="U66" i="29"/>
  <c r="U67" i="29"/>
  <c r="V28" i="1"/>
  <c r="V30" i="1" s="1"/>
  <c r="V74" i="29"/>
  <c r="V75" i="29"/>
  <c r="U74" i="29"/>
  <c r="U75" i="29"/>
  <c r="V49" i="29"/>
  <c r="V50" i="29"/>
  <c r="U49" i="29"/>
  <c r="U50" i="29"/>
  <c r="V84" i="29"/>
  <c r="V82" i="29"/>
  <c r="V83" i="29"/>
  <c r="U82" i="29"/>
  <c r="U83" i="29"/>
  <c r="Y84" i="29"/>
  <c r="Z84" i="29" s="1"/>
  <c r="U84" i="29"/>
  <c r="V41" i="29"/>
  <c r="V42" i="29"/>
  <c r="U41" i="29"/>
  <c r="U42" i="29"/>
  <c r="V47" i="1"/>
  <c r="V52" i="1" s="1"/>
  <c r="V17" i="1"/>
  <c r="V20" i="1" s="1"/>
  <c r="V72" i="1"/>
  <c r="V32" i="1"/>
  <c r="D10" i="114"/>
  <c r="P25" i="1"/>
  <c r="V85" i="1"/>
  <c r="V87" i="1" s="1"/>
  <c r="V39" i="1"/>
  <c r="Y80" i="1"/>
  <c r="V80" i="1"/>
  <c r="V83" i="1" s="1"/>
  <c r="V9" i="1"/>
  <c r="V64" i="1"/>
  <c r="V121" i="29"/>
  <c r="B144" i="29"/>
  <c r="P54" i="54"/>
  <c r="N20" i="12"/>
  <c r="B25" i="4"/>
  <c r="L11" i="27"/>
  <c r="F52" i="54"/>
  <c r="L52" i="54" s="1"/>
  <c r="M52" i="54" s="1"/>
  <c r="L9" i="27"/>
  <c r="K11" i="27"/>
  <c r="K9" i="27"/>
  <c r="D163" i="103"/>
  <c r="D167" i="103"/>
  <c r="D168" i="103"/>
  <c r="D157" i="103"/>
  <c r="D160" i="103"/>
  <c r="D165" i="103"/>
  <c r="D161" i="103"/>
  <c r="D158" i="103"/>
  <c r="D162" i="103"/>
  <c r="D166" i="103"/>
  <c r="D156" i="103"/>
  <c r="B24" i="4"/>
  <c r="C24" i="4" s="1"/>
  <c r="D159" i="103"/>
  <c r="D164" i="103"/>
  <c r="Z22" i="1"/>
  <c r="X22" i="1"/>
  <c r="F29" i="4"/>
  <c r="G29" i="4" s="1"/>
  <c r="Z64" i="1"/>
  <c r="C21" i="4"/>
  <c r="C22" i="4"/>
  <c r="G16" i="4"/>
  <c r="F55" i="54"/>
  <c r="L55" i="54" s="1"/>
  <c r="M55" i="54" s="1"/>
  <c r="I55" i="54"/>
  <c r="B79" i="13"/>
  <c r="E79" i="13" s="1"/>
  <c r="B63" i="13"/>
  <c r="E63" i="13" s="1"/>
  <c r="F67" i="86"/>
  <c r="Y65" i="1"/>
  <c r="Y64" i="1"/>
  <c r="Y72" i="1"/>
  <c r="Y28" i="1"/>
  <c r="Y43" i="1"/>
  <c r="Y36" i="1"/>
  <c r="Y47" i="1"/>
  <c r="I54" i="54"/>
  <c r="G54" i="54"/>
  <c r="H54" i="54" s="1"/>
  <c r="N54" i="54" s="1"/>
  <c r="O54" i="54" s="1"/>
  <c r="P52" i="54"/>
  <c r="K23" i="96"/>
  <c r="L23" i="96" s="1"/>
  <c r="K18" i="92"/>
  <c r="L18" i="92" s="1"/>
  <c r="AA64" i="1"/>
  <c r="AA22" i="1"/>
  <c r="K20" i="96"/>
  <c r="L20" i="96" s="1"/>
  <c r="K20" i="92"/>
  <c r="L20" i="92" s="1"/>
  <c r="K21" i="96"/>
  <c r="L21" i="96" s="1"/>
  <c r="V55" i="29"/>
  <c r="V89" i="29"/>
  <c r="E17" i="32"/>
  <c r="E15" i="32"/>
  <c r="E36" i="32"/>
  <c r="E3" i="32"/>
  <c r="E9" i="32"/>
  <c r="N27" i="26"/>
  <c r="E30" i="32"/>
  <c r="E34" i="32"/>
  <c r="E29" i="32"/>
  <c r="E19" i="32"/>
  <c r="E7" i="32"/>
  <c r="E27" i="32"/>
  <c r="W112" i="29"/>
  <c r="X112" i="29" s="1"/>
  <c r="K22" i="95"/>
  <c r="L22" i="95" s="1"/>
  <c r="J23" i="95"/>
  <c r="K23" i="95" s="1"/>
  <c r="L23" i="95" s="1"/>
  <c r="J21" i="95"/>
  <c r="K21" i="95" s="1"/>
  <c r="L21" i="95" s="1"/>
  <c r="N45" i="12"/>
  <c r="F61" i="4"/>
  <c r="W102" i="29"/>
  <c r="X102" i="29" s="1"/>
  <c r="W119" i="29"/>
  <c r="X119" i="29" s="1"/>
  <c r="W26" i="29"/>
  <c r="X26" i="29" s="1"/>
  <c r="W19" i="29"/>
  <c r="X19" i="29" s="1"/>
  <c r="W114" i="29"/>
  <c r="X114" i="29" s="1"/>
  <c r="W34" i="29"/>
  <c r="X34" i="29" s="1"/>
  <c r="K20" i="95"/>
  <c r="L20" i="95" s="1"/>
  <c r="U105" i="29"/>
  <c r="V20" i="29"/>
  <c r="W65" i="29"/>
  <c r="W52" i="29"/>
  <c r="X52" i="29" s="1"/>
  <c r="V11" i="29"/>
  <c r="V110" i="29"/>
  <c r="V14" i="29"/>
  <c r="W64" i="29"/>
  <c r="K19" i="95"/>
  <c r="L19" i="95" s="1"/>
  <c r="E36" i="26"/>
  <c r="D45" i="26" s="1"/>
  <c r="N33" i="26"/>
  <c r="W37" i="29"/>
  <c r="X37" i="29" s="1"/>
  <c r="W98" i="29"/>
  <c r="X98" i="29" s="1"/>
  <c r="W111" i="29"/>
  <c r="X111" i="29" s="1"/>
  <c r="W62" i="29"/>
  <c r="W27" i="29"/>
  <c r="X27" i="29" s="1"/>
  <c r="W113" i="29"/>
  <c r="X113" i="29" s="1"/>
  <c r="W18" i="29"/>
  <c r="X18" i="29" s="1"/>
  <c r="W108" i="29"/>
  <c r="X108" i="29" s="1"/>
  <c r="W89" i="29"/>
  <c r="X89" i="29" s="1"/>
  <c r="W109" i="29"/>
  <c r="X109" i="29" s="1"/>
  <c r="W57" i="29"/>
  <c r="X57" i="29" s="1"/>
  <c r="W47" i="29"/>
  <c r="X47" i="29" s="1"/>
  <c r="W105" i="29"/>
  <c r="X105" i="29" s="1"/>
  <c r="W63" i="29"/>
  <c r="W79" i="29"/>
  <c r="X79" i="29" s="1"/>
  <c r="W29" i="29"/>
  <c r="X29" i="29" s="1"/>
  <c r="W61" i="29"/>
  <c r="W87" i="29"/>
  <c r="X87" i="29" s="1"/>
  <c r="W24" i="29"/>
  <c r="X24" i="29" s="1"/>
  <c r="W53" i="29"/>
  <c r="X53" i="29" s="1"/>
  <c r="W60" i="29"/>
  <c r="W85" i="29"/>
  <c r="X85" i="29" s="1"/>
  <c r="W110" i="29"/>
  <c r="X110" i="29" s="1"/>
  <c r="W45" i="29"/>
  <c r="X45" i="29" s="1"/>
  <c r="W68" i="29"/>
  <c r="X68" i="29" s="1"/>
  <c r="W95" i="29"/>
  <c r="X95" i="29" s="1"/>
  <c r="W59" i="29"/>
  <c r="X59" i="29" s="1"/>
  <c r="B115" i="26"/>
  <c r="O25" i="26"/>
  <c r="D115" i="26" s="1"/>
  <c r="B114" i="26"/>
  <c r="P68" i="26"/>
  <c r="O26" i="26"/>
  <c r="O24" i="26"/>
  <c r="E4" i="32"/>
  <c r="O71" i="26"/>
  <c r="O34" i="26"/>
  <c r="O76" i="26"/>
  <c r="O40" i="26"/>
  <c r="O35" i="26"/>
  <c r="O73" i="26"/>
  <c r="O78" i="26"/>
  <c r="E47" i="32"/>
  <c r="D73" i="32" s="1"/>
  <c r="E52" i="32"/>
  <c r="E60" i="32"/>
  <c r="E59" i="32"/>
  <c r="O72" i="26"/>
  <c r="O69" i="26"/>
  <c r="E67" i="32"/>
  <c r="O70" i="26"/>
  <c r="E69" i="32"/>
  <c r="P80" i="26"/>
  <c r="D87" i="26"/>
  <c r="O23" i="26"/>
  <c r="I36" i="26"/>
  <c r="G45" i="26" s="1"/>
  <c r="E70" i="32"/>
  <c r="E51" i="32"/>
  <c r="P70" i="26"/>
  <c r="E61" i="32"/>
  <c r="P76" i="26"/>
  <c r="E65" i="32"/>
  <c r="P78" i="26"/>
  <c r="E57" i="32"/>
  <c r="P73" i="26"/>
  <c r="O28" i="26"/>
  <c r="E62" i="32"/>
  <c r="E58" i="32"/>
  <c r="E53" i="32"/>
  <c r="P71" i="26"/>
  <c r="E55" i="32"/>
  <c r="P72" i="26"/>
  <c r="E49" i="32"/>
  <c r="P69" i="26"/>
  <c r="O80" i="26"/>
  <c r="W55" i="29"/>
  <c r="X55" i="29" s="1"/>
  <c r="W22" i="29"/>
  <c r="X22" i="29" s="1"/>
  <c r="W58" i="29"/>
  <c r="X58" i="29" s="1"/>
  <c r="W90" i="29"/>
  <c r="X90" i="29" s="1"/>
  <c r="C44" i="32"/>
  <c r="B44" i="32"/>
  <c r="F68" i="4"/>
  <c r="V46" i="29"/>
  <c r="V101" i="29"/>
  <c r="L144" i="29"/>
  <c r="L145" i="29" s="1"/>
  <c r="V79" i="29"/>
  <c r="V25" i="29"/>
  <c r="V26" i="29"/>
  <c r="V87" i="29"/>
  <c r="W13" i="29"/>
  <c r="X13" i="29" s="1"/>
  <c r="W17" i="29"/>
  <c r="X17" i="29" s="1"/>
  <c r="W44" i="29"/>
  <c r="X44" i="29" s="1"/>
  <c r="W15" i="29"/>
  <c r="X15" i="29" s="1"/>
  <c r="W20" i="29"/>
  <c r="X20" i="29" s="1"/>
  <c r="W73" i="29"/>
  <c r="X73" i="29" s="1"/>
  <c r="W72" i="29"/>
  <c r="X72" i="29" s="1"/>
  <c r="W120" i="29"/>
  <c r="X120" i="29" s="1"/>
  <c r="W122" i="29"/>
  <c r="X122" i="29" s="1"/>
  <c r="W54" i="29"/>
  <c r="X54" i="29" s="1"/>
  <c r="V68" i="29"/>
  <c r="V18" i="29"/>
  <c r="V76" i="29"/>
  <c r="V104" i="29"/>
  <c r="V56" i="29"/>
  <c r="V52" i="29"/>
  <c r="W69" i="29"/>
  <c r="X69" i="29" s="1"/>
  <c r="W121" i="29"/>
  <c r="X121" i="29" s="1"/>
  <c r="W71" i="29"/>
  <c r="X71" i="29" s="1"/>
  <c r="W104" i="29"/>
  <c r="X104" i="29" s="1"/>
  <c r="W56" i="29"/>
  <c r="X56" i="29" s="1"/>
  <c r="W35" i="29"/>
  <c r="X35" i="29" s="1"/>
  <c r="V97" i="29"/>
  <c r="V78" i="29"/>
  <c r="V119" i="29"/>
  <c r="V30" i="29"/>
  <c r="V23" i="29"/>
  <c r="W43" i="29"/>
  <c r="X43" i="29" s="1"/>
  <c r="W16" i="29"/>
  <c r="X16" i="29" s="1"/>
  <c r="W14" i="29"/>
  <c r="X14" i="29" s="1"/>
  <c r="W103" i="29"/>
  <c r="X103" i="29" s="1"/>
  <c r="W70" i="29"/>
  <c r="X70" i="29" s="1"/>
  <c r="W28" i="29"/>
  <c r="X28" i="29" s="1"/>
  <c r="W10" i="29"/>
  <c r="X10" i="29" s="1"/>
  <c r="W46" i="29"/>
  <c r="X46" i="29" s="1"/>
  <c r="W11" i="29"/>
  <c r="X11" i="29" s="1"/>
  <c r="W76" i="29"/>
  <c r="X76" i="29" s="1"/>
  <c r="W25" i="29"/>
  <c r="X25" i="29" s="1"/>
  <c r="W23" i="29"/>
  <c r="X23" i="29" s="1"/>
  <c r="W81" i="29"/>
  <c r="X81" i="29" s="1"/>
  <c r="W78" i="29"/>
  <c r="X78" i="29" s="1"/>
  <c r="W106" i="29"/>
  <c r="X106" i="29" s="1"/>
  <c r="W97" i="29"/>
  <c r="X97" i="29" s="1"/>
  <c r="W115" i="29"/>
  <c r="X115" i="29" s="1"/>
  <c r="W36" i="29"/>
  <c r="X36" i="29" s="1"/>
  <c r="W38" i="29"/>
  <c r="X38" i="29" s="1"/>
  <c r="W86" i="29"/>
  <c r="X86" i="29" s="1"/>
  <c r="W88" i="29"/>
  <c r="X88" i="29" s="1"/>
  <c r="W99" i="29"/>
  <c r="X99" i="29" s="1"/>
  <c r="W91" i="29"/>
  <c r="X91" i="29" s="1"/>
  <c r="W100" i="29"/>
  <c r="X100" i="29" s="1"/>
  <c r="W92" i="29"/>
  <c r="X92" i="29" s="1"/>
  <c r="W8" i="29"/>
  <c r="X8" i="29" s="1"/>
  <c r="W107" i="29"/>
  <c r="X107" i="29" s="1"/>
  <c r="W30" i="29"/>
  <c r="X30" i="29" s="1"/>
  <c r="W31" i="29"/>
  <c r="X31" i="29" s="1"/>
  <c r="W116" i="29"/>
  <c r="X116" i="29" s="1"/>
  <c r="W40" i="29"/>
  <c r="X40" i="29" s="1"/>
  <c r="W93" i="29"/>
  <c r="X93" i="29" s="1"/>
  <c r="W101" i="29"/>
  <c r="X101" i="29" s="1"/>
  <c r="W80" i="29"/>
  <c r="X80" i="29" s="1"/>
  <c r="W94" i="29"/>
  <c r="X94" i="29" s="1"/>
  <c r="W51" i="29"/>
  <c r="X51" i="29" s="1"/>
  <c r="W48" i="29"/>
  <c r="X48" i="29" s="1"/>
  <c r="W96" i="29"/>
  <c r="X96" i="29" s="1"/>
  <c r="W32" i="29"/>
  <c r="X32" i="29" s="1"/>
  <c r="W39" i="29"/>
  <c r="X39" i="29" s="1"/>
  <c r="W77" i="29"/>
  <c r="X77" i="29" s="1"/>
  <c r="W12" i="29"/>
  <c r="X12" i="29" s="1"/>
  <c r="W33" i="29"/>
  <c r="X33" i="29" s="1"/>
  <c r="W118" i="29"/>
  <c r="X118" i="29" s="1"/>
  <c r="W21" i="29"/>
  <c r="X21" i="29" s="1"/>
  <c r="W9" i="29"/>
  <c r="X9" i="29" s="1"/>
  <c r="W117" i="29"/>
  <c r="X117" i="29" s="1"/>
  <c r="K20" i="97"/>
  <c r="L20" i="97" s="1"/>
  <c r="M20" i="97" s="1"/>
  <c r="K24" i="97"/>
  <c r="K23" i="97"/>
  <c r="L23" i="97" s="1"/>
  <c r="M23" i="97" s="1"/>
  <c r="K21" i="97"/>
  <c r="L21" i="97" s="1"/>
  <c r="M21" i="97" s="1"/>
  <c r="K26" i="97"/>
  <c r="K25" i="97"/>
  <c r="L25" i="97" s="1"/>
  <c r="M25" i="97" s="1"/>
  <c r="K22" i="97"/>
  <c r="L22" i="97" s="1"/>
  <c r="M22" i="97" s="1"/>
  <c r="E32" i="32"/>
  <c r="O39" i="26"/>
  <c r="L24" i="97"/>
  <c r="M24" i="97" s="1"/>
  <c r="C67" i="4"/>
  <c r="N51" i="12"/>
  <c r="C65" i="4"/>
  <c r="N49" i="12"/>
  <c r="C64" i="4"/>
  <c r="F64" i="4" s="1"/>
  <c r="N48" i="12"/>
  <c r="C28" i="4"/>
  <c r="N10" i="12"/>
  <c r="C63" i="4"/>
  <c r="F63" i="4" s="1"/>
  <c r="N47" i="12"/>
  <c r="C33" i="4"/>
  <c r="N36" i="12"/>
  <c r="J36" i="26"/>
  <c r="L26" i="97"/>
  <c r="M26" i="97" s="1"/>
  <c r="C62" i="4"/>
  <c r="F62" i="4" s="1"/>
  <c r="N46" i="12"/>
  <c r="C66" i="4"/>
  <c r="F66" i="4" s="1"/>
  <c r="N50" i="12"/>
  <c r="B60" i="4"/>
  <c r="C60" i="4" s="1"/>
  <c r="N44" i="12"/>
  <c r="C35" i="4"/>
  <c r="N40" i="12"/>
  <c r="K100" i="26"/>
  <c r="K19" i="92"/>
  <c r="L19" i="92" s="1"/>
  <c r="B42" i="32"/>
  <c r="K27" i="97"/>
  <c r="L27" i="97" s="1"/>
  <c r="M27" i="97" s="1"/>
  <c r="K18" i="95"/>
  <c r="L18" i="95" s="1"/>
  <c r="O38" i="26"/>
  <c r="C20" i="4"/>
  <c r="N4" i="12"/>
  <c r="V113" i="29"/>
  <c r="V61" i="29"/>
  <c r="V10" i="29"/>
  <c r="V19" i="29"/>
  <c r="V85" i="29"/>
  <c r="V22" i="29"/>
  <c r="V103" i="29"/>
  <c r="H144" i="29"/>
  <c r="H145" i="29" s="1"/>
  <c r="V24" i="29"/>
  <c r="V69" i="29"/>
  <c r="V107" i="29"/>
  <c r="V90" i="29"/>
  <c r="V8" i="29"/>
  <c r="V60" i="29"/>
  <c r="V40" i="29"/>
  <c r="V44" i="29"/>
  <c r="V53" i="29"/>
  <c r="V15" i="29"/>
  <c r="V70" i="29"/>
  <c r="V36" i="29"/>
  <c r="V96" i="29"/>
  <c r="V99" i="29"/>
  <c r="V71" i="29"/>
  <c r="V117" i="29"/>
  <c r="V58" i="29"/>
  <c r="V12" i="29"/>
  <c r="V51" i="29"/>
  <c r="V29" i="29"/>
  <c r="V109" i="29"/>
  <c r="V45" i="29"/>
  <c r="V116" i="29"/>
  <c r="V16" i="29"/>
  <c r="V21" i="29"/>
  <c r="V102" i="29"/>
  <c r="V28" i="29"/>
  <c r="V105" i="29"/>
  <c r="V32" i="29"/>
  <c r="V88" i="29"/>
  <c r="V57" i="29"/>
  <c r="V91" i="29"/>
  <c r="V77" i="29"/>
  <c r="V39" i="29"/>
  <c r="V100" i="29"/>
  <c r="V48" i="29"/>
  <c r="V120" i="29"/>
  <c r="V86" i="29"/>
  <c r="V122" i="29"/>
  <c r="V62" i="29"/>
  <c r="J144" i="29"/>
  <c r="J145" i="29" s="1"/>
  <c r="V17" i="29"/>
  <c r="V64" i="29"/>
  <c r="V72" i="29"/>
  <c r="V65" i="29"/>
  <c r="V118" i="29"/>
  <c r="F144" i="29"/>
  <c r="F145" i="29" s="1"/>
  <c r="V37" i="29"/>
  <c r="V112" i="29"/>
  <c r="V47" i="29"/>
  <c r="V13" i="29"/>
  <c r="V111" i="29"/>
  <c r="V80" i="29"/>
  <c r="V108" i="29"/>
  <c r="V93" i="29"/>
  <c r="V9" i="29"/>
  <c r="V35" i="29"/>
  <c r="V115" i="29"/>
  <c r="V59" i="29"/>
  <c r="V54" i="29"/>
  <c r="V38" i="29"/>
  <c r="V94" i="29"/>
  <c r="U68" i="29"/>
  <c r="U78" i="29"/>
  <c r="U107" i="29"/>
  <c r="V98" i="29"/>
  <c r="V31" i="29"/>
  <c r="V95" i="29"/>
  <c r="V92" i="29"/>
  <c r="N144" i="29"/>
  <c r="N145" i="29" s="1"/>
  <c r="V114" i="29"/>
  <c r="V106" i="29"/>
  <c r="V34" i="29"/>
  <c r="P144" i="29"/>
  <c r="P145" i="29" s="1"/>
  <c r="V81" i="29"/>
  <c r="V63" i="29"/>
  <c r="V33" i="29"/>
  <c r="V43" i="29"/>
  <c r="V27" i="29"/>
  <c r="U21" i="29"/>
  <c r="U47" i="29"/>
  <c r="Y31" i="29"/>
  <c r="Z31" i="29" s="1"/>
  <c r="U31" i="29"/>
  <c r="U101" i="29"/>
  <c r="B31" i="4"/>
  <c r="B75" i="32"/>
  <c r="C42" i="32"/>
  <c r="U8" i="29"/>
  <c r="U24" i="29"/>
  <c r="U93" i="29"/>
  <c r="U114" i="29"/>
  <c r="U19" i="29"/>
  <c r="U35" i="29"/>
  <c r="E73" i="12"/>
  <c r="H73" i="12" s="1"/>
  <c r="G77" i="12"/>
  <c r="E80" i="12"/>
  <c r="H80" i="12" s="1"/>
  <c r="G79" i="12"/>
  <c r="E90" i="12" s="1"/>
  <c r="C88" i="12"/>
  <c r="N26" i="26"/>
  <c r="E78" i="12"/>
  <c r="H78" i="12" s="1"/>
  <c r="B84" i="4"/>
  <c r="N25" i="26"/>
  <c r="C87" i="12"/>
  <c r="E63" i="12"/>
  <c r="H63" i="12" s="1"/>
  <c r="E70" i="12"/>
  <c r="H70" i="12" s="1"/>
  <c r="E21" i="4"/>
  <c r="I111" i="54"/>
  <c r="J111" i="54" s="1"/>
  <c r="K111" i="54" s="1"/>
  <c r="C90" i="12"/>
  <c r="Q4" i="86"/>
  <c r="S4" i="86" s="1"/>
  <c r="P33" i="86"/>
  <c r="R33" i="86" s="1"/>
  <c r="E79" i="12"/>
  <c r="S123" i="29"/>
  <c r="P38" i="86"/>
  <c r="R38" i="86" s="1"/>
  <c r="E88" i="12"/>
  <c r="E87" i="12"/>
  <c r="F28" i="54"/>
  <c r="G28" i="54" s="1"/>
  <c r="H28" i="54" s="1"/>
  <c r="N2" i="54"/>
  <c r="O2" i="54" s="1"/>
  <c r="I26" i="54"/>
  <c r="H117" i="54"/>
  <c r="P27" i="86"/>
  <c r="R27" i="86" s="1"/>
  <c r="P56" i="54"/>
  <c r="J2" i="54"/>
  <c r="K2" i="54" s="1"/>
  <c r="B245" i="4"/>
  <c r="E50" i="32"/>
  <c r="D75" i="32" s="1"/>
  <c r="G87" i="26"/>
  <c r="Y114" i="29"/>
  <c r="Z114" i="29" s="1"/>
  <c r="Y121" i="29"/>
  <c r="Z121" i="29" s="1"/>
  <c r="Y115" i="29"/>
  <c r="Z115" i="29" s="1"/>
  <c r="Y88" i="29"/>
  <c r="Z88" i="29" s="1"/>
  <c r="Y70" i="29"/>
  <c r="Z70" i="29" s="1"/>
  <c r="Y61" i="29"/>
  <c r="Y51" i="29"/>
  <c r="Z51" i="29" s="1"/>
  <c r="Y20" i="29"/>
  <c r="Z20" i="29" s="1"/>
  <c r="Y105" i="29"/>
  <c r="Z105" i="29" s="1"/>
  <c r="Y98" i="29"/>
  <c r="Z98" i="29" s="1"/>
  <c r="Y93" i="29"/>
  <c r="Z93" i="29" s="1"/>
  <c r="Y81" i="29"/>
  <c r="Y65" i="29"/>
  <c r="Y53" i="29"/>
  <c r="Z53" i="29" s="1"/>
  <c r="Y47" i="29"/>
  <c r="Y43" i="29"/>
  <c r="Y113" i="29"/>
  <c r="Z113" i="29" s="1"/>
  <c r="Y99" i="29"/>
  <c r="Z99" i="29" s="1"/>
  <c r="Y95" i="29"/>
  <c r="Z95" i="29" s="1"/>
  <c r="Y87" i="29"/>
  <c r="Z87" i="29" s="1"/>
  <c r="Y72" i="29"/>
  <c r="Z72" i="29" s="1"/>
  <c r="Y18" i="29"/>
  <c r="Z18" i="29" s="1"/>
  <c r="Y106" i="29"/>
  <c r="Z106" i="29" s="1"/>
  <c r="Y102" i="29"/>
  <c r="Z102" i="29" s="1"/>
  <c r="Y85" i="29"/>
  <c r="Z85" i="29" s="1"/>
  <c r="Y80" i="29"/>
  <c r="Y69" i="29"/>
  <c r="Z69" i="29" s="1"/>
  <c r="Y63" i="29"/>
  <c r="Y37" i="29"/>
  <c r="Z37" i="29" s="1"/>
  <c r="Y29" i="29"/>
  <c r="Z29" i="29" s="1"/>
  <c r="Y17" i="29"/>
  <c r="Z17" i="29" s="1"/>
  <c r="Y38" i="29"/>
  <c r="Z38" i="29" s="1"/>
  <c r="Y19" i="29"/>
  <c r="Z19" i="29" s="1"/>
  <c r="Y13" i="29"/>
  <c r="Z13" i="29" s="1"/>
  <c r="Y120" i="29"/>
  <c r="Z120" i="29" s="1"/>
  <c r="Y112" i="29"/>
  <c r="Z112" i="29" s="1"/>
  <c r="Y109" i="29"/>
  <c r="Z109" i="29" s="1"/>
  <c r="Y101" i="29"/>
  <c r="Z101" i="29" s="1"/>
  <c r="Y78" i="29"/>
  <c r="Y64" i="29"/>
  <c r="Y60" i="29"/>
  <c r="Y111" i="29"/>
  <c r="Z111" i="29" s="1"/>
  <c r="Y103" i="29"/>
  <c r="Z103" i="29" s="1"/>
  <c r="Y94" i="29"/>
  <c r="Z94" i="29" s="1"/>
  <c r="Y86" i="29"/>
  <c r="Z86" i="29" s="1"/>
  <c r="Y71" i="29"/>
  <c r="Z71" i="29" s="1"/>
  <c r="Y52" i="29"/>
  <c r="Z52" i="29" s="1"/>
  <c r="Y45" i="29"/>
  <c r="Y110" i="29"/>
  <c r="Z110" i="29" s="1"/>
  <c r="Y97" i="29"/>
  <c r="Z97" i="29" s="1"/>
  <c r="Y79" i="29"/>
  <c r="Y62" i="29"/>
  <c r="Y44" i="29"/>
  <c r="Y16" i="29"/>
  <c r="Z16" i="29" s="1"/>
  <c r="Y104" i="29"/>
  <c r="Z104" i="29" s="1"/>
  <c r="Y96" i="29"/>
  <c r="Z96" i="29" s="1"/>
  <c r="Y73" i="29"/>
  <c r="Z73" i="29" s="1"/>
  <c r="Y68" i="29"/>
  <c r="Z68" i="29" s="1"/>
  <c r="Y48" i="29"/>
  <c r="Y40" i="29"/>
  <c r="Z40" i="29" s="1"/>
  <c r="Y36" i="29"/>
  <c r="Z36" i="29" s="1"/>
  <c r="Y27" i="29"/>
  <c r="Z27" i="29" s="1"/>
  <c r="Y14" i="29"/>
  <c r="Z14" i="29" s="1"/>
  <c r="Y15" i="29"/>
  <c r="Z15" i="29" s="1"/>
  <c r="U121" i="29"/>
  <c r="U100" i="29"/>
  <c r="U64" i="29"/>
  <c r="U51" i="29"/>
  <c r="U103" i="29"/>
  <c r="U89" i="29"/>
  <c r="U71" i="29"/>
  <c r="U45" i="29"/>
  <c r="U97" i="29"/>
  <c r="U72" i="29"/>
  <c r="U33" i="29"/>
  <c r="U16" i="29"/>
  <c r="U106" i="29"/>
  <c r="U80" i="29"/>
  <c r="U59" i="29"/>
  <c r="U46" i="29"/>
  <c r="U17" i="29"/>
  <c r="U22" i="29"/>
  <c r="U14" i="29"/>
  <c r="U15" i="29"/>
  <c r="U117" i="29"/>
  <c r="U120" i="29"/>
  <c r="U111" i="29"/>
  <c r="U92" i="29"/>
  <c r="U61" i="29"/>
  <c r="U20" i="29"/>
  <c r="U98" i="29"/>
  <c r="U86" i="29"/>
  <c r="U58" i="29"/>
  <c r="U118" i="29"/>
  <c r="U95" i="29"/>
  <c r="U54" i="29"/>
  <c r="U32" i="29"/>
  <c r="U119" i="29"/>
  <c r="U102" i="29"/>
  <c r="U73" i="29"/>
  <c r="U57" i="29"/>
  <c r="U37" i="29"/>
  <c r="U12" i="29"/>
  <c r="U10" i="29"/>
  <c r="U38" i="29"/>
  <c r="U11" i="29"/>
  <c r="U116" i="29"/>
  <c r="U112" i="29"/>
  <c r="U88" i="29"/>
  <c r="U56" i="29"/>
  <c r="U110" i="29"/>
  <c r="U94" i="29"/>
  <c r="U77" i="29"/>
  <c r="U53" i="29"/>
  <c r="U108" i="29"/>
  <c r="U87" i="29"/>
  <c r="U44" i="29"/>
  <c r="U26" i="29"/>
  <c r="U109" i="29"/>
  <c r="U96" i="29"/>
  <c r="U69" i="29"/>
  <c r="U36" i="29"/>
  <c r="U9" i="29"/>
  <c r="U29" i="29"/>
  <c r="U30" i="29"/>
  <c r="U70" i="29"/>
  <c r="U76" i="29"/>
  <c r="U39" i="29"/>
  <c r="U63" i="29"/>
  <c r="U23" i="29"/>
  <c r="U52" i="29"/>
  <c r="U18" i="29"/>
  <c r="U48" i="29"/>
  <c r="U25" i="29"/>
  <c r="U122" i="29"/>
  <c r="U99" i="29"/>
  <c r="U27" i="29"/>
  <c r="U79" i="29"/>
  <c r="U85" i="29"/>
  <c r="U28" i="29"/>
  <c r="U90" i="29"/>
  <c r="K21" i="92"/>
  <c r="L21" i="92" s="1"/>
  <c r="Y117" i="29"/>
  <c r="Z117" i="29" s="1"/>
  <c r="Y122" i="29"/>
  <c r="Z122" i="29" s="1"/>
  <c r="Y100" i="29"/>
  <c r="Z100" i="29" s="1"/>
  <c r="Y56" i="29"/>
  <c r="Z56" i="29" s="1"/>
  <c r="Y89" i="29"/>
  <c r="Z89" i="29" s="1"/>
  <c r="Y76" i="29"/>
  <c r="Y108" i="29"/>
  <c r="Z108" i="29" s="1"/>
  <c r="Y54" i="29"/>
  <c r="Z54" i="29" s="1"/>
  <c r="Y39" i="29"/>
  <c r="Z39" i="29" s="1"/>
  <c r="Y33" i="29"/>
  <c r="Z33" i="29" s="1"/>
  <c r="Y26" i="29"/>
  <c r="Z26" i="29" s="1"/>
  <c r="Y57" i="29"/>
  <c r="Z57" i="29" s="1"/>
  <c r="Y46" i="29"/>
  <c r="Y12" i="29"/>
  <c r="Z12" i="29" s="1"/>
  <c r="Y8" i="29"/>
  <c r="Z8" i="29" s="1"/>
  <c r="Y25" i="29"/>
  <c r="Z25" i="29" s="1"/>
  <c r="Y22" i="29"/>
  <c r="Z22" i="29" s="1"/>
  <c r="Y11" i="29"/>
  <c r="Z11" i="29" s="1"/>
  <c r="Y116" i="29"/>
  <c r="Z116" i="29" s="1"/>
  <c r="Y92" i="29"/>
  <c r="Z92" i="29" s="1"/>
  <c r="Y34" i="29"/>
  <c r="Z34" i="29" s="1"/>
  <c r="Y118" i="29"/>
  <c r="Z118" i="29" s="1"/>
  <c r="Y90" i="29"/>
  <c r="Z90" i="29" s="1"/>
  <c r="Y77" i="29"/>
  <c r="Y58" i="29"/>
  <c r="Z58" i="29" s="1"/>
  <c r="Y119" i="29"/>
  <c r="Z119" i="29" s="1"/>
  <c r="Y107" i="29"/>
  <c r="Z107" i="29" s="1"/>
  <c r="Y91" i="29"/>
  <c r="Z91" i="29" s="1"/>
  <c r="Y35" i="29"/>
  <c r="Z35" i="29" s="1"/>
  <c r="Y32" i="29"/>
  <c r="Z32" i="29" s="1"/>
  <c r="Y24" i="29"/>
  <c r="Z24" i="29" s="1"/>
  <c r="Y59" i="29"/>
  <c r="Z59" i="29" s="1"/>
  <c r="Y55" i="29"/>
  <c r="Z55" i="29" s="1"/>
  <c r="Y23" i="29"/>
  <c r="Z23" i="29" s="1"/>
  <c r="Y9" i="29"/>
  <c r="Z9" i="29" s="1"/>
  <c r="Y30" i="29"/>
  <c r="Z30" i="29" s="1"/>
  <c r="Y21" i="29"/>
  <c r="Z21" i="29" s="1"/>
  <c r="Y10" i="29"/>
  <c r="Z10" i="29" s="1"/>
  <c r="Y28" i="29"/>
  <c r="Z28" i="29" s="1"/>
  <c r="F57" i="54"/>
  <c r="G57" i="54" s="1"/>
  <c r="H57" i="54" s="1"/>
  <c r="Q57" i="54" s="1"/>
  <c r="R57" i="54" s="1"/>
  <c r="E63" i="32"/>
  <c r="D85" i="26"/>
  <c r="U13" i="29"/>
  <c r="U40" i="29"/>
  <c r="U104" i="29"/>
  <c r="U62" i="29"/>
  <c r="U65" i="29"/>
  <c r="U34" i="29"/>
  <c r="U113" i="29"/>
  <c r="K23" i="92"/>
  <c r="L23" i="92" s="1"/>
  <c r="E6" i="32"/>
  <c r="F34" i="54"/>
  <c r="G34" i="54" s="1"/>
  <c r="H34" i="54" s="1"/>
  <c r="F74" i="54"/>
  <c r="G74" i="54" s="1"/>
  <c r="H74" i="54" s="1"/>
  <c r="Q74" i="54" s="1"/>
  <c r="R74" i="54" s="1"/>
  <c r="F9" i="54"/>
  <c r="L9" i="54" s="1"/>
  <c r="M9" i="54" s="1"/>
  <c r="F103" i="54"/>
  <c r="G103" i="54" s="1"/>
  <c r="H103" i="54" s="1"/>
  <c r="J103" i="54" s="1"/>
  <c r="K103" i="54" s="1"/>
  <c r="K99" i="26"/>
  <c r="U43" i="29"/>
  <c r="U55" i="29"/>
  <c r="U91" i="29"/>
  <c r="U81" i="29"/>
  <c r="U60" i="29"/>
  <c r="U115" i="29"/>
  <c r="N24" i="26"/>
  <c r="K22" i="92"/>
  <c r="L22" i="92" s="1"/>
  <c r="E71" i="12"/>
  <c r="B27" i="4"/>
  <c r="E76" i="12"/>
  <c r="E64" i="12"/>
  <c r="B248" i="4"/>
  <c r="B247" i="4"/>
  <c r="C39" i="64"/>
  <c r="D39" i="64" s="1"/>
  <c r="P77" i="86"/>
  <c r="R77" i="86" s="1"/>
  <c r="I29" i="54"/>
  <c r="I41" i="54"/>
  <c r="F6" i="54"/>
  <c r="G6" i="54" s="1"/>
  <c r="H6" i="54" s="1"/>
  <c r="P38" i="54"/>
  <c r="Q38" i="54" s="1"/>
  <c r="R38" i="54" s="1"/>
  <c r="Q18" i="86"/>
  <c r="S18" i="86" s="1"/>
  <c r="I115" i="54"/>
  <c r="J115" i="54" s="1"/>
  <c r="K115" i="54" s="1"/>
  <c r="Q113" i="86"/>
  <c r="S113" i="86" s="1"/>
  <c r="L7" i="27"/>
  <c r="I19" i="54"/>
  <c r="P9" i="54"/>
  <c r="Q78" i="86"/>
  <c r="S78" i="86" s="1"/>
  <c r="I118" i="54"/>
  <c r="J118" i="54" s="1"/>
  <c r="K118" i="54" s="1"/>
  <c r="Q2" i="54"/>
  <c r="R2" i="54" s="1"/>
  <c r="F72" i="54"/>
  <c r="G72" i="54" s="1"/>
  <c r="H72" i="54" s="1"/>
  <c r="I47" i="54"/>
  <c r="P47" i="54"/>
  <c r="G8" i="54"/>
  <c r="H8" i="54" s="1"/>
  <c r="N8" i="54" s="1"/>
  <c r="O8" i="54" s="1"/>
  <c r="P39" i="54"/>
  <c r="Q81" i="86"/>
  <c r="S81" i="86" s="1"/>
  <c r="P114" i="86"/>
  <c r="R114" i="86" s="1"/>
  <c r="F43" i="54"/>
  <c r="G43" i="54" s="1"/>
  <c r="H43" i="54" s="1"/>
  <c r="J43" i="54" s="1"/>
  <c r="K43" i="54" s="1"/>
  <c r="F33" i="54"/>
  <c r="L33" i="54" s="1"/>
  <c r="M33" i="54" s="1"/>
  <c r="I72" i="54"/>
  <c r="P98" i="86"/>
  <c r="R98" i="86" s="1"/>
  <c r="F120" i="54"/>
  <c r="G120" i="54" s="1"/>
  <c r="H120" i="54" s="1"/>
  <c r="J120" i="54" s="1"/>
  <c r="K120" i="54" s="1"/>
  <c r="F69" i="4"/>
  <c r="I42" i="54"/>
  <c r="F39" i="54"/>
  <c r="L39" i="54" s="1"/>
  <c r="M39" i="54" s="1"/>
  <c r="P35" i="54"/>
  <c r="F116" i="54"/>
  <c r="G116" i="54" s="1"/>
  <c r="H116" i="54" s="1"/>
  <c r="J116" i="54" s="1"/>
  <c r="K116" i="54" s="1"/>
  <c r="F35" i="54"/>
  <c r="G35" i="54" s="1"/>
  <c r="H35" i="54" s="1"/>
  <c r="I33" i="54"/>
  <c r="Q75" i="86"/>
  <c r="S75" i="86" s="1"/>
  <c r="Q52" i="86"/>
  <c r="S52" i="86" s="1"/>
  <c r="F29" i="54"/>
  <c r="G29" i="54" s="1"/>
  <c r="H29" i="54" s="1"/>
  <c r="P25" i="54"/>
  <c r="I25" i="54"/>
  <c r="F13" i="54"/>
  <c r="G13" i="54" s="1"/>
  <c r="H13" i="54" s="1"/>
  <c r="P17" i="54"/>
  <c r="P46" i="54"/>
  <c r="P12" i="86"/>
  <c r="R12" i="86" s="1"/>
  <c r="P31" i="86"/>
  <c r="R31" i="86" s="1"/>
  <c r="B250" i="4"/>
  <c r="B246" i="4"/>
  <c r="F37" i="54"/>
  <c r="G37" i="54" s="1"/>
  <c r="H37" i="54" s="1"/>
  <c r="F19" i="54"/>
  <c r="G19" i="54" s="1"/>
  <c r="H19" i="54" s="1"/>
  <c r="P100" i="86"/>
  <c r="R100" i="86" s="1"/>
  <c r="L51" i="54"/>
  <c r="M51" i="54" s="1"/>
  <c r="I34" i="54"/>
  <c r="P108" i="86"/>
  <c r="R108" i="86" s="1"/>
  <c r="I59" i="54"/>
  <c r="J59" i="54" s="1"/>
  <c r="K59" i="54" s="1"/>
  <c r="P43" i="86"/>
  <c r="R43" i="86" s="1"/>
  <c r="P59" i="86"/>
  <c r="R59" i="86" s="1"/>
  <c r="P13" i="54"/>
  <c r="P8" i="54"/>
  <c r="I51" i="54"/>
  <c r="P49" i="54"/>
  <c r="I106" i="54"/>
  <c r="J106" i="54" s="1"/>
  <c r="K106" i="54" s="1"/>
  <c r="P21" i="86"/>
  <c r="R21" i="86" s="1"/>
  <c r="F112" i="54"/>
  <c r="G112" i="54" s="1"/>
  <c r="H112" i="54" s="1"/>
  <c r="J112" i="54" s="1"/>
  <c r="K112" i="54" s="1"/>
  <c r="P101" i="86"/>
  <c r="R101" i="86" s="1"/>
  <c r="H51" i="54"/>
  <c r="P26" i="54"/>
  <c r="Q61" i="86"/>
  <c r="S61" i="86" s="1"/>
  <c r="F110" i="54"/>
  <c r="G110" i="54" s="1"/>
  <c r="H110" i="54" s="1"/>
  <c r="J110" i="54" s="1"/>
  <c r="K110" i="54" s="1"/>
  <c r="I75" i="54"/>
  <c r="J75" i="54" s="1"/>
  <c r="K75" i="54" s="1"/>
  <c r="I8" i="54"/>
  <c r="P43" i="54"/>
  <c r="P51" i="54"/>
  <c r="P41" i="54"/>
  <c r="P75" i="54"/>
  <c r="Q75" i="54" s="1"/>
  <c r="R75" i="54" s="1"/>
  <c r="P28" i="54"/>
  <c r="Q51" i="86"/>
  <c r="S51" i="86" s="1"/>
  <c r="P85" i="86"/>
  <c r="R85" i="86" s="1"/>
  <c r="P32" i="86"/>
  <c r="R32" i="86" s="1"/>
  <c r="L5" i="27"/>
  <c r="H44" i="54"/>
  <c r="I12" i="54"/>
  <c r="I117" i="54"/>
  <c r="Q5" i="86"/>
  <c r="S5" i="86" s="1"/>
  <c r="D175" i="4"/>
  <c r="G175" i="4" s="1"/>
  <c r="F97" i="54"/>
  <c r="G97" i="54" s="1"/>
  <c r="H97" i="54" s="1"/>
  <c r="J97" i="54" s="1"/>
  <c r="K97" i="54" s="1"/>
  <c r="P58" i="54"/>
  <c r="P26" i="86"/>
  <c r="R26" i="86" s="1"/>
  <c r="I113" i="54"/>
  <c r="J113" i="54" s="1"/>
  <c r="K113" i="54" s="1"/>
  <c r="G14" i="54"/>
  <c r="H14" i="54" s="1"/>
  <c r="L14" i="54"/>
  <c r="M14" i="54" s="1"/>
  <c r="G46" i="54"/>
  <c r="H46" i="54" s="1"/>
  <c r="L46" i="54"/>
  <c r="M46" i="54" s="1"/>
  <c r="L42" i="54"/>
  <c r="M42" i="54" s="1"/>
  <c r="G42" i="54"/>
  <c r="H42" i="54" s="1"/>
  <c r="P55" i="86"/>
  <c r="R55" i="86" s="1"/>
  <c r="F119" i="54"/>
  <c r="G119" i="54" s="1"/>
  <c r="H119" i="54" s="1"/>
  <c r="J119" i="54" s="1"/>
  <c r="K119" i="54" s="1"/>
  <c r="P39" i="86"/>
  <c r="R39" i="86" s="1"/>
  <c r="Q35" i="86"/>
  <c r="S35" i="86" s="1"/>
  <c r="I38" i="54"/>
  <c r="J38" i="54" s="1"/>
  <c r="K38" i="54" s="1"/>
  <c r="I50" i="54"/>
  <c r="Q68" i="86"/>
  <c r="S68" i="86" s="1"/>
  <c r="I46" i="54"/>
  <c r="Q89" i="86"/>
  <c r="S89" i="86" s="1"/>
  <c r="P102" i="86"/>
  <c r="R102" i="86" s="1"/>
  <c r="P6" i="54"/>
  <c r="I60" i="54"/>
  <c r="J60" i="54" s="1"/>
  <c r="K60" i="54" s="1"/>
  <c r="Q64" i="86"/>
  <c r="S64" i="86" s="1"/>
  <c r="L38" i="54"/>
  <c r="M38" i="54" s="1"/>
  <c r="N38" i="54" s="1"/>
  <c r="O38" i="54" s="1"/>
  <c r="Q57" i="86"/>
  <c r="S57" i="86" s="1"/>
  <c r="P59" i="54"/>
  <c r="Q59" i="54" s="1"/>
  <c r="R59" i="54" s="1"/>
  <c r="F70" i="54"/>
  <c r="G70" i="54" s="1"/>
  <c r="H70" i="54" s="1"/>
  <c r="F50" i="54"/>
  <c r="G50" i="54" s="1"/>
  <c r="H50" i="54" s="1"/>
  <c r="F114" i="54"/>
  <c r="G114" i="54" s="1"/>
  <c r="H114" i="54" s="1"/>
  <c r="J114" i="54" s="1"/>
  <c r="K114" i="54" s="1"/>
  <c r="K8" i="27"/>
  <c r="P42" i="54"/>
  <c r="P107" i="86"/>
  <c r="R107" i="86" s="1"/>
  <c r="P78" i="54"/>
  <c r="Q78" i="54" s="1"/>
  <c r="R78" i="54" s="1"/>
  <c r="F96" i="54"/>
  <c r="G96" i="54" s="1"/>
  <c r="H96" i="54" s="1"/>
  <c r="J96" i="54" s="1"/>
  <c r="K96" i="54" s="1"/>
  <c r="F63" i="54"/>
  <c r="G63" i="54" s="1"/>
  <c r="H63" i="54" s="1"/>
  <c r="Q63" i="54" s="1"/>
  <c r="R63" i="54" s="1"/>
  <c r="K5" i="27"/>
  <c r="P37" i="54"/>
  <c r="I70" i="54"/>
  <c r="I63" i="54"/>
  <c r="F45" i="54"/>
  <c r="L45" i="54" s="1"/>
  <c r="M45" i="54" s="1"/>
  <c r="F49" i="54"/>
  <c r="P45" i="54"/>
  <c r="F17" i="54"/>
  <c r="I74" i="54"/>
  <c r="F58" i="54"/>
  <c r="G58" i="54" s="1"/>
  <c r="H58" i="54" s="1"/>
  <c r="J58" i="54" s="1"/>
  <c r="K58" i="54" s="1"/>
  <c r="I40" i="54"/>
  <c r="D172" i="4"/>
  <c r="G172" i="4" s="1"/>
  <c r="F12" i="54"/>
  <c r="G12" i="54" s="1"/>
  <c r="H12" i="54" s="1"/>
  <c r="L44" i="54"/>
  <c r="M44" i="54" s="1"/>
  <c r="Q9" i="86"/>
  <c r="S9" i="86" s="1"/>
  <c r="Q99" i="86"/>
  <c r="S99" i="86" s="1"/>
  <c r="F109" i="54"/>
  <c r="G109" i="54" s="1"/>
  <c r="H109" i="54" s="1"/>
  <c r="J109" i="54" s="1"/>
  <c r="K109" i="54" s="1"/>
  <c r="P105" i="86"/>
  <c r="R105" i="86" s="1"/>
  <c r="I44" i="54"/>
  <c r="I48" i="54"/>
  <c r="F40" i="54"/>
  <c r="I23" i="54"/>
  <c r="F48" i="54"/>
  <c r="L48" i="54" s="1"/>
  <c r="M48" i="54" s="1"/>
  <c r="P62" i="86"/>
  <c r="R62" i="86" s="1"/>
  <c r="L16" i="27"/>
  <c r="P44" i="54"/>
  <c r="F23" i="54"/>
  <c r="L23" i="54" s="1"/>
  <c r="M23" i="54" s="1"/>
  <c r="Q40" i="86"/>
  <c r="S40" i="86" s="1"/>
  <c r="I14" i="54"/>
  <c r="P14" i="54"/>
  <c r="Q30" i="86"/>
  <c r="S30" i="86" s="1"/>
  <c r="P48" i="86"/>
  <c r="R48" i="86" s="1"/>
  <c r="F77" i="54"/>
  <c r="G77" i="54" s="1"/>
  <c r="H77" i="54" s="1"/>
  <c r="J77" i="54" s="1"/>
  <c r="K77" i="54" s="1"/>
  <c r="P72" i="86"/>
  <c r="R72" i="86" s="1"/>
  <c r="I78" i="54"/>
  <c r="J78" i="54" s="1"/>
  <c r="K78" i="54" s="1"/>
  <c r="Q109" i="86"/>
  <c r="S109" i="86" s="1"/>
  <c r="Q16" i="86"/>
  <c r="S16" i="86" s="1"/>
  <c r="Q17" i="86"/>
  <c r="S17" i="86" s="1"/>
  <c r="Q41" i="86"/>
  <c r="S41" i="86" s="1"/>
  <c r="E6" i="4"/>
  <c r="P93" i="86"/>
  <c r="R93" i="86" s="1"/>
  <c r="Q90" i="86"/>
  <c r="S90" i="86" s="1"/>
  <c r="I99" i="54"/>
  <c r="F99" i="54"/>
  <c r="G99" i="54" s="1"/>
  <c r="H99" i="54" s="1"/>
  <c r="P8" i="86"/>
  <c r="R8" i="86" s="1"/>
  <c r="P95" i="86"/>
  <c r="R95" i="86" s="1"/>
  <c r="P5" i="54"/>
  <c r="Q88" i="86"/>
  <c r="S88" i="86" s="1"/>
  <c r="F64" i="54"/>
  <c r="G64" i="54" s="1"/>
  <c r="H64" i="54" s="1"/>
  <c r="Q64" i="54" s="1"/>
  <c r="R64" i="54" s="1"/>
  <c r="K12" i="27"/>
  <c r="P112" i="86"/>
  <c r="R112" i="86" s="1"/>
  <c r="P15" i="54"/>
  <c r="F15" i="54"/>
  <c r="I15" i="54"/>
  <c r="P27" i="54"/>
  <c r="I27" i="54"/>
  <c r="F27" i="54"/>
  <c r="Q25" i="86"/>
  <c r="S25" i="86" s="1"/>
  <c r="I56" i="54"/>
  <c r="P50" i="86"/>
  <c r="R50" i="86" s="1"/>
  <c r="G36" i="54"/>
  <c r="G41" i="54"/>
  <c r="H41" i="54" s="1"/>
  <c r="Q46" i="86"/>
  <c r="S46" i="86" s="1"/>
  <c r="F84" i="54"/>
  <c r="G84" i="54" s="1"/>
  <c r="H84" i="54" s="1"/>
  <c r="J84" i="54" s="1"/>
  <c r="K84" i="54" s="1"/>
  <c r="Q49" i="86"/>
  <c r="S49" i="86" s="1"/>
  <c r="F5" i="54"/>
  <c r="L5" i="54" s="1"/>
  <c r="M5" i="54" s="1"/>
  <c r="Q74" i="86"/>
  <c r="S74" i="86" s="1"/>
  <c r="S3" i="4"/>
  <c r="T3" i="4" s="1"/>
  <c r="V3" i="4" s="1"/>
  <c r="Q71" i="86"/>
  <c r="S71" i="86" s="1"/>
  <c r="P31" i="54"/>
  <c r="F31" i="54"/>
  <c r="I31" i="54"/>
  <c r="P70" i="86"/>
  <c r="R70" i="86" s="1"/>
  <c r="P84" i="54"/>
  <c r="K13" i="27"/>
  <c r="L15" i="27"/>
  <c r="F30" i="54"/>
  <c r="I30" i="54"/>
  <c r="P30" i="54"/>
  <c r="B249" i="4"/>
  <c r="B26" i="4"/>
  <c r="C18" i="64"/>
  <c r="P22" i="86"/>
  <c r="R22" i="86" s="1"/>
  <c r="Q22" i="86"/>
  <c r="S22" i="86" s="1"/>
  <c r="F10" i="54"/>
  <c r="G10" i="54" s="1"/>
  <c r="H10" i="54" s="1"/>
  <c r="P60" i="54"/>
  <c r="Q60" i="54" s="1"/>
  <c r="R60" i="54" s="1"/>
  <c r="P34" i="86"/>
  <c r="R34" i="86" s="1"/>
  <c r="I102" i="54"/>
  <c r="J102" i="54" s="1"/>
  <c r="K102" i="54" s="1"/>
  <c r="K16" i="27"/>
  <c r="L4" i="27"/>
  <c r="F7" i="54"/>
  <c r="I7" i="54"/>
  <c r="P7" i="54"/>
  <c r="D170" i="4"/>
  <c r="G170" i="4" s="1"/>
  <c r="K7" i="27"/>
  <c r="Q96" i="86"/>
  <c r="S96" i="86" s="1"/>
  <c r="Q15" i="86"/>
  <c r="S15" i="86" s="1"/>
  <c r="I67" i="54"/>
  <c r="P80" i="86"/>
  <c r="R80" i="86" s="1"/>
  <c r="Q29" i="86"/>
  <c r="S29" i="86" s="1"/>
  <c r="L3" i="27"/>
  <c r="K4" i="27"/>
  <c r="K6" i="27"/>
  <c r="G4" i="54"/>
  <c r="H4" i="54" s="1"/>
  <c r="D174" i="4"/>
  <c r="G174" i="4" s="1"/>
  <c r="D171" i="4"/>
  <c r="G171" i="4" s="1"/>
  <c r="S6" i="4"/>
  <c r="T6" i="4" s="1"/>
  <c r="V6" i="4" s="1"/>
  <c r="E8" i="64"/>
  <c r="N9" i="64" s="1"/>
  <c r="P45" i="86"/>
  <c r="R45" i="86" s="1"/>
  <c r="F53" i="54"/>
  <c r="I53" i="54"/>
  <c r="P53" i="54"/>
  <c r="P36" i="86"/>
  <c r="R36" i="86" s="1"/>
  <c r="Q36" i="86"/>
  <c r="S36" i="86" s="1"/>
  <c r="Q84" i="86"/>
  <c r="S84" i="86" s="1"/>
  <c r="Q76" i="86"/>
  <c r="S76" i="86" s="1"/>
  <c r="Q56" i="86"/>
  <c r="S56" i="86" s="1"/>
  <c r="P94" i="86"/>
  <c r="R94" i="86" s="1"/>
  <c r="I64" i="54"/>
  <c r="F3" i="54"/>
  <c r="P3" i="54"/>
  <c r="I3" i="54"/>
  <c r="Q69" i="86"/>
  <c r="S69" i="86" s="1"/>
  <c r="P69" i="86"/>
  <c r="R69" i="86" s="1"/>
  <c r="Q87" i="86"/>
  <c r="S87" i="86" s="1"/>
  <c r="I82" i="54"/>
  <c r="P63" i="86"/>
  <c r="R63" i="86" s="1"/>
  <c r="Q63" i="86"/>
  <c r="S63" i="86" s="1"/>
  <c r="Q7" i="86"/>
  <c r="S7" i="86" s="1"/>
  <c r="P7" i="86"/>
  <c r="R7" i="86" s="1"/>
  <c r="C40" i="64"/>
  <c r="B91" i="4"/>
  <c r="D91" i="4" s="1"/>
  <c r="C75" i="64"/>
  <c r="Q86" i="86"/>
  <c r="S86" i="86" s="1"/>
  <c r="Q83" i="86"/>
  <c r="S83" i="86" s="1"/>
  <c r="Q14" i="86"/>
  <c r="S14" i="86" s="1"/>
  <c r="P14" i="86"/>
  <c r="R14" i="86" s="1"/>
  <c r="E30" i="4"/>
  <c r="L6" i="27"/>
  <c r="Q42" i="86"/>
  <c r="S42" i="86" s="1"/>
  <c r="F67" i="54"/>
  <c r="G67" i="54" s="1"/>
  <c r="H67" i="54" s="1"/>
  <c r="Q67" i="54" s="1"/>
  <c r="R67" i="54" s="1"/>
  <c r="F95" i="54"/>
  <c r="G95" i="54" s="1"/>
  <c r="H95" i="54" s="1"/>
  <c r="J95" i="54" s="1"/>
  <c r="K95" i="54" s="1"/>
  <c r="F86" i="54"/>
  <c r="G86" i="54" s="1"/>
  <c r="H86" i="54" s="1"/>
  <c r="Q86" i="54" s="1"/>
  <c r="R86" i="54" s="1"/>
  <c r="F82" i="54"/>
  <c r="G82" i="54" s="1"/>
  <c r="H82" i="54" s="1"/>
  <c r="Q82" i="54" s="1"/>
  <c r="R82" i="54" s="1"/>
  <c r="L8" i="27"/>
  <c r="L10" i="27"/>
  <c r="I86" i="54"/>
  <c r="F70" i="4"/>
  <c r="P62" i="54"/>
  <c r="F62" i="54"/>
  <c r="G62" i="54" s="1"/>
  <c r="H62" i="54" s="1"/>
  <c r="J62" i="54" s="1"/>
  <c r="K62" i="54" s="1"/>
  <c r="K15" i="27"/>
  <c r="P47" i="86"/>
  <c r="R47" i="86" s="1"/>
  <c r="Q47" i="86"/>
  <c r="S47" i="86" s="1"/>
  <c r="K14" i="27"/>
  <c r="P92" i="86"/>
  <c r="R92" i="86" s="1"/>
  <c r="Q92" i="86"/>
  <c r="S92" i="86" s="1"/>
  <c r="P53" i="86"/>
  <c r="R53" i="86" s="1"/>
  <c r="Q53" i="86"/>
  <c r="S53" i="86" s="1"/>
  <c r="Q65" i="86"/>
  <c r="S65" i="86" s="1"/>
  <c r="P65" i="86"/>
  <c r="R65" i="86" s="1"/>
  <c r="K3" i="27"/>
  <c r="E31" i="4"/>
  <c r="L13" i="27"/>
  <c r="I71" i="54"/>
  <c r="P79" i="86"/>
  <c r="R79" i="86" s="1"/>
  <c r="Q115" i="86"/>
  <c r="S115" i="86" s="1"/>
  <c r="F104" i="54"/>
  <c r="G104" i="54" s="1"/>
  <c r="H104" i="54" s="1"/>
  <c r="J104" i="54" s="1"/>
  <c r="K104" i="54" s="1"/>
  <c r="F71" i="54"/>
  <c r="G71" i="54" s="1"/>
  <c r="H71" i="54" s="1"/>
  <c r="Q71" i="54" s="1"/>
  <c r="R71" i="54" s="1"/>
  <c r="I79" i="54"/>
  <c r="J79" i="54" s="1"/>
  <c r="K79" i="54" s="1"/>
  <c r="E20" i="4"/>
  <c r="E5" i="64"/>
  <c r="M23" i="64" s="1"/>
  <c r="F73" i="54"/>
  <c r="G73" i="54" s="1"/>
  <c r="H73" i="54" s="1"/>
  <c r="I73" i="54"/>
  <c r="P73" i="54"/>
  <c r="E32" i="4"/>
  <c r="G47" i="54"/>
  <c r="H47" i="54" s="1"/>
  <c r="L47" i="54"/>
  <c r="M47" i="54" s="1"/>
  <c r="L14" i="27"/>
  <c r="C19" i="64"/>
  <c r="B87" i="12"/>
  <c r="B90" i="12"/>
  <c r="B88" i="12"/>
  <c r="D22" i="4"/>
  <c r="D12" i="64"/>
  <c r="L29" i="64" s="1"/>
  <c r="P83" i="54"/>
  <c r="F83" i="54"/>
  <c r="G83" i="54" s="1"/>
  <c r="H83" i="54" s="1"/>
  <c r="P66" i="54"/>
  <c r="F66" i="54"/>
  <c r="G66" i="54" s="1"/>
  <c r="H66" i="54" s="1"/>
  <c r="F32" i="54"/>
  <c r="I32" i="54"/>
  <c r="P32" i="54"/>
  <c r="Q110" i="86"/>
  <c r="S110" i="86" s="1"/>
  <c r="P110" i="86"/>
  <c r="R110" i="86" s="1"/>
  <c r="P97" i="86"/>
  <c r="R97" i="86" s="1"/>
  <c r="Q97" i="86"/>
  <c r="S97" i="86" s="1"/>
  <c r="P104" i="86"/>
  <c r="R104" i="86" s="1"/>
  <c r="Q104" i="86"/>
  <c r="S104" i="86" s="1"/>
  <c r="Q10" i="86"/>
  <c r="S10" i="86" s="1"/>
  <c r="P10" i="86"/>
  <c r="R10" i="86" s="1"/>
  <c r="I83" i="54"/>
  <c r="I10" i="54"/>
  <c r="I100" i="54"/>
  <c r="F100" i="54"/>
  <c r="G100" i="54" s="1"/>
  <c r="H100" i="54" s="1"/>
  <c r="F81" i="54"/>
  <c r="G81" i="54" s="1"/>
  <c r="H81" i="54" s="1"/>
  <c r="P81" i="54"/>
  <c r="I81" i="54"/>
  <c r="F76" i="54"/>
  <c r="G76" i="54" s="1"/>
  <c r="H76" i="54" s="1"/>
  <c r="P76" i="54"/>
  <c r="I76" i="54"/>
  <c r="I65" i="54"/>
  <c r="F65" i="54"/>
  <c r="G65" i="54" s="1"/>
  <c r="H65" i="54" s="1"/>
  <c r="P106" i="86"/>
  <c r="R106" i="86" s="1"/>
  <c r="Q106" i="86"/>
  <c r="S106" i="86" s="1"/>
  <c r="P91" i="86"/>
  <c r="R91" i="86" s="1"/>
  <c r="Q91" i="86"/>
  <c r="S91" i="86" s="1"/>
  <c r="F22" i="54"/>
  <c r="I22" i="54"/>
  <c r="P22" i="54"/>
  <c r="D23" i="4"/>
  <c r="D7" i="64"/>
  <c r="M6" i="64" s="1"/>
  <c r="D16" i="4"/>
  <c r="K10" i="27"/>
  <c r="F80" i="54"/>
  <c r="G80" i="54" s="1"/>
  <c r="H80" i="54" s="1"/>
  <c r="P80" i="54"/>
  <c r="P69" i="54"/>
  <c r="Q69" i="54" s="1"/>
  <c r="R69" i="54" s="1"/>
  <c r="I69" i="54"/>
  <c r="J69" i="54" s="1"/>
  <c r="K69" i="54" s="1"/>
  <c r="Q103" i="86"/>
  <c r="S103" i="86" s="1"/>
  <c r="P103" i="86"/>
  <c r="R103" i="86" s="1"/>
  <c r="P21" i="54"/>
  <c r="I21" i="54"/>
  <c r="F21" i="54"/>
  <c r="U26" i="1"/>
  <c r="V22" i="1" s="1"/>
  <c r="D219" i="4"/>
  <c r="G219" i="4" s="1"/>
  <c r="E16" i="64"/>
  <c r="N15" i="64" s="1"/>
  <c r="E14" i="4"/>
  <c r="E34" i="4"/>
  <c r="I66" i="54"/>
  <c r="P77" i="54"/>
  <c r="G25" i="54"/>
  <c r="H25" i="54" s="1"/>
  <c r="L25" i="54"/>
  <c r="M25" i="54" s="1"/>
  <c r="I57" i="54"/>
  <c r="Q24" i="86"/>
  <c r="S24" i="86" s="1"/>
  <c r="L12" i="27"/>
  <c r="I105" i="54"/>
  <c r="F105" i="54"/>
  <c r="G105" i="54" s="1"/>
  <c r="H105" i="54" s="1"/>
  <c r="I85" i="54"/>
  <c r="J85" i="54" s="1"/>
  <c r="K85" i="54" s="1"/>
  <c r="P85" i="54"/>
  <c r="Q85" i="54" s="1"/>
  <c r="R85" i="54" s="1"/>
  <c r="P111" i="86"/>
  <c r="R111" i="86" s="1"/>
  <c r="Q111" i="86"/>
  <c r="S111" i="86" s="1"/>
  <c r="P58" i="86"/>
  <c r="R58" i="86" s="1"/>
  <c r="Q58" i="86"/>
  <c r="S58" i="86" s="1"/>
  <c r="F20" i="54"/>
  <c r="P20" i="54"/>
  <c r="I20" i="54"/>
  <c r="D173" i="4"/>
  <c r="G173" i="4" s="1"/>
  <c r="P65" i="54"/>
  <c r="P79" i="54"/>
  <c r="Q79" i="54" s="1"/>
  <c r="R79" i="54" s="1"/>
  <c r="P82" i="86"/>
  <c r="R82" i="86" s="1"/>
  <c r="Q28" i="86"/>
  <c r="S28" i="86" s="1"/>
  <c r="Q66" i="86"/>
  <c r="S66" i="86" s="1"/>
  <c r="P66" i="86"/>
  <c r="R66" i="86" s="1"/>
  <c r="L56" i="54"/>
  <c r="M56" i="54" s="1"/>
  <c r="G56" i="54"/>
  <c r="H56" i="54" s="1"/>
  <c r="Q37" i="86"/>
  <c r="S37" i="86" s="1"/>
  <c r="P37" i="86"/>
  <c r="R37" i="86" s="1"/>
  <c r="Q73" i="86"/>
  <c r="S73" i="86" s="1"/>
  <c r="P73" i="86"/>
  <c r="R73" i="86" s="1"/>
  <c r="P11" i="86"/>
  <c r="R11" i="86" s="1"/>
  <c r="Q11" i="86"/>
  <c r="S11" i="86" s="1"/>
  <c r="P67" i="86"/>
  <c r="R67" i="86" s="1"/>
  <c r="Q67" i="86"/>
  <c r="S67" i="86" s="1"/>
  <c r="F108" i="54"/>
  <c r="G108" i="54" s="1"/>
  <c r="H108" i="54" s="1"/>
  <c r="J108" i="54" s="1"/>
  <c r="K108" i="54" s="1"/>
  <c r="E27" i="4"/>
  <c r="E4" i="64"/>
  <c r="E2" i="4"/>
  <c r="S2" i="4"/>
  <c r="T2" i="4" s="1"/>
  <c r="V2" i="4" s="1"/>
  <c r="L24" i="54"/>
  <c r="G24" i="54"/>
  <c r="E26" i="4"/>
  <c r="E12" i="4"/>
  <c r="S12" i="4"/>
  <c r="T12" i="4" s="1"/>
  <c r="V12" i="4" s="1"/>
  <c r="E14" i="64"/>
  <c r="M44" i="64" s="1"/>
  <c r="P61" i="54"/>
  <c r="F61" i="54"/>
  <c r="G61" i="54" s="1"/>
  <c r="H61" i="54" s="1"/>
  <c r="Q54" i="86"/>
  <c r="S54" i="86" s="1"/>
  <c r="P54" i="86"/>
  <c r="R54" i="86" s="1"/>
  <c r="Q6" i="86"/>
  <c r="S6" i="86" s="1"/>
  <c r="P6" i="86"/>
  <c r="R6" i="86" s="1"/>
  <c r="L26" i="54"/>
  <c r="M26" i="54" s="1"/>
  <c r="G26" i="54"/>
  <c r="H26" i="54" s="1"/>
  <c r="P13" i="86"/>
  <c r="R13" i="86" s="1"/>
  <c r="Q13" i="86"/>
  <c r="S13" i="86" s="1"/>
  <c r="I107" i="54"/>
  <c r="F107" i="54"/>
  <c r="G107" i="54" s="1"/>
  <c r="H107" i="54" s="1"/>
  <c r="L38" i="64"/>
  <c r="V51" i="54"/>
  <c r="F98" i="54"/>
  <c r="G98" i="54" s="1"/>
  <c r="H98" i="54" s="1"/>
  <c r="I98" i="54"/>
  <c r="P44" i="86"/>
  <c r="R44" i="86" s="1"/>
  <c r="Q44" i="86"/>
  <c r="S44" i="86" s="1"/>
  <c r="D12" i="29"/>
  <c r="T123" i="29"/>
  <c r="Q60" i="86"/>
  <c r="S60" i="86" s="1"/>
  <c r="P60" i="86"/>
  <c r="R60" i="86" s="1"/>
  <c r="E33" i="4"/>
  <c r="S13" i="4"/>
  <c r="T13" i="4" s="1"/>
  <c r="V13" i="4" s="1"/>
  <c r="E13" i="4"/>
  <c r="E15" i="64"/>
  <c r="M47" i="64" s="1"/>
  <c r="P18" i="54"/>
  <c r="I18" i="54"/>
  <c r="F18" i="54"/>
  <c r="Q20" i="86"/>
  <c r="S20" i="86" s="1"/>
  <c r="P20" i="86"/>
  <c r="R20" i="86" s="1"/>
  <c r="E25" i="4"/>
  <c r="E9" i="64"/>
  <c r="M41" i="64" s="1"/>
  <c r="E7" i="4"/>
  <c r="S7" i="4"/>
  <c r="T7" i="4" s="1"/>
  <c r="V7" i="4" s="1"/>
  <c r="F101" i="54"/>
  <c r="G101" i="54" s="1"/>
  <c r="H101" i="54" s="1"/>
  <c r="J101" i="54" s="1"/>
  <c r="K101" i="54" s="1"/>
  <c r="L16" i="54"/>
  <c r="G16" i="54"/>
  <c r="I11" i="54"/>
  <c r="F11" i="54"/>
  <c r="E28" i="4"/>
  <c r="S4" i="4"/>
  <c r="T4" i="4" s="1"/>
  <c r="V4" i="4" s="1"/>
  <c r="E4" i="4"/>
  <c r="E6" i="64"/>
  <c r="M38" i="64" s="1"/>
  <c r="Q23" i="86"/>
  <c r="S23" i="86" s="1"/>
  <c r="P23" i="86"/>
  <c r="R23" i="86" s="1"/>
  <c r="Q19" i="86"/>
  <c r="S19" i="86" s="1"/>
  <c r="P19" i="86"/>
  <c r="R19" i="86" s="1"/>
  <c r="E84" i="4"/>
  <c r="E11" i="64"/>
  <c r="N12" i="64" s="1"/>
  <c r="E9" i="4"/>
  <c r="S9" i="4"/>
  <c r="T9" i="4" s="1"/>
  <c r="V9" i="4" s="1"/>
  <c r="H8" i="64"/>
  <c r="K8" i="64"/>
  <c r="J46" i="64"/>
  <c r="H15" i="64"/>
  <c r="H6" i="64"/>
  <c r="J37" i="64"/>
  <c r="J25" i="64"/>
  <c r="H10" i="64"/>
  <c r="H13" i="64"/>
  <c r="J31" i="64"/>
  <c r="H17" i="64"/>
  <c r="K17" i="64"/>
  <c r="H11" i="64"/>
  <c r="K11" i="64"/>
  <c r="J22" i="64"/>
  <c r="H5" i="64"/>
  <c r="J28" i="64"/>
  <c r="H12" i="64"/>
  <c r="K14" i="64"/>
  <c r="H16" i="64"/>
  <c r="J40" i="64"/>
  <c r="H9" i="64"/>
  <c r="B18" i="64"/>
  <c r="B19" i="64"/>
  <c r="H4" i="64"/>
  <c r="J34" i="64"/>
  <c r="H7" i="64"/>
  <c r="K5" i="64"/>
  <c r="V75" i="1" l="1"/>
  <c r="O6" i="115"/>
  <c r="D6" i="115" a="1"/>
  <c r="D6" i="115" s="1"/>
  <c r="Q6" i="115" s="1"/>
  <c r="V67" i="1"/>
  <c r="O11" i="115"/>
  <c r="D11" i="115" a="1"/>
  <c r="D11" i="115" s="1"/>
  <c r="Q11" i="115" s="1"/>
  <c r="V42" i="1"/>
  <c r="O7" i="115"/>
  <c r="D7" i="115" a="1"/>
  <c r="D7" i="115" s="1"/>
  <c r="Q7" i="115" s="1"/>
  <c r="V35" i="1"/>
  <c r="O8" i="115"/>
  <c r="D8" i="115" a="1"/>
  <c r="D8" i="115" s="1"/>
  <c r="Q8" i="115" s="1"/>
  <c r="V25" i="1"/>
  <c r="O10" i="115"/>
  <c r="D10" i="115" a="1"/>
  <c r="D10" i="115" s="1"/>
  <c r="Q10" i="115" s="1"/>
  <c r="V13" i="1"/>
  <c r="O9" i="115"/>
  <c r="D9" i="115" a="1"/>
  <c r="D9" i="115" s="1"/>
  <c r="Q9" i="115" s="1"/>
  <c r="G52" i="54"/>
  <c r="H52" i="54" s="1"/>
  <c r="J52" i="54" s="1"/>
  <c r="K52" i="54" s="1"/>
  <c r="F146" i="29"/>
  <c r="F147" i="29" s="1"/>
  <c r="N146" i="29"/>
  <c r="N147" i="29" s="1"/>
  <c r="J146" i="29"/>
  <c r="J147" i="29" s="1"/>
  <c r="H146" i="29"/>
  <c r="H147" i="29" s="1"/>
  <c r="L146" i="29"/>
  <c r="L147" i="29" s="1"/>
  <c r="G55" i="54"/>
  <c r="H55" i="54" s="1"/>
  <c r="Q55" i="54" s="1"/>
  <c r="F21" i="4"/>
  <c r="G168" i="103"/>
  <c r="F32" i="4"/>
  <c r="G32" i="4" s="1"/>
  <c r="F30" i="4"/>
  <c r="G30" i="4" s="1"/>
  <c r="F33" i="4"/>
  <c r="G33" i="4" s="1"/>
  <c r="F28" i="4"/>
  <c r="G28" i="4" s="1"/>
  <c r="F20" i="4"/>
  <c r="G20" i="4" s="1"/>
  <c r="B79" i="4"/>
  <c r="B78" i="4"/>
  <c r="B77" i="4"/>
  <c r="F34" i="4"/>
  <c r="G34" i="4" s="1"/>
  <c r="C25" i="4"/>
  <c r="F25" i="4" s="1"/>
  <c r="C26" i="4"/>
  <c r="F26" i="4" s="1"/>
  <c r="C31" i="4"/>
  <c r="C27" i="4"/>
  <c r="Q54" i="54"/>
  <c r="R54" i="54" s="1"/>
  <c r="J54" i="54"/>
  <c r="K54" i="54" s="1"/>
  <c r="U56" i="1"/>
  <c r="W56" i="1"/>
  <c r="U57" i="1"/>
  <c r="W57" i="1"/>
  <c r="U61" i="1"/>
  <c r="W61" i="1"/>
  <c r="U59" i="1"/>
  <c r="W59" i="1"/>
  <c r="U60" i="1"/>
  <c r="W60" i="1"/>
  <c r="U58" i="1"/>
  <c r="W58" i="1"/>
  <c r="AA56" i="1"/>
  <c r="P59" i="1"/>
  <c r="E42" i="32"/>
  <c r="B145" i="29"/>
  <c r="I3" i="29"/>
  <c r="N23" i="26"/>
  <c r="E44" i="32"/>
  <c r="O33" i="26"/>
  <c r="N22" i="26"/>
  <c r="O27" i="26"/>
  <c r="N40" i="26"/>
  <c r="F60" i="4"/>
  <c r="N34" i="26"/>
  <c r="N37" i="26"/>
  <c r="O37" i="26"/>
  <c r="N41" i="26"/>
  <c r="O41" i="26"/>
  <c r="D117" i="26" s="1"/>
  <c r="D114" i="26"/>
  <c r="N42" i="26"/>
  <c r="O42" i="26"/>
  <c r="D118" i="26" s="1"/>
  <c r="N35" i="26"/>
  <c r="N28" i="26"/>
  <c r="O68" i="26"/>
  <c r="O81" i="26"/>
  <c r="P81" i="26"/>
  <c r="O75" i="26"/>
  <c r="P75" i="26"/>
  <c r="F65" i="4"/>
  <c r="F67" i="4"/>
  <c r="B110" i="4"/>
  <c r="V123" i="29"/>
  <c r="B116" i="26"/>
  <c r="M36" i="26"/>
  <c r="N38" i="26"/>
  <c r="N39" i="26"/>
  <c r="P146" i="29"/>
  <c r="P147" i="29" s="1"/>
  <c r="L34" i="54"/>
  <c r="M34" i="54" s="1"/>
  <c r="N34" i="54" s="1"/>
  <c r="O34" i="54" s="1"/>
  <c r="D88" i="12"/>
  <c r="H71" i="12"/>
  <c r="D90" i="12"/>
  <c r="H79" i="12"/>
  <c r="D89" i="12"/>
  <c r="H76" i="12"/>
  <c r="D87" i="12"/>
  <c r="H64" i="12"/>
  <c r="G9" i="54"/>
  <c r="H9" i="54" s="1"/>
  <c r="J9" i="54" s="1"/>
  <c r="K9" i="54" s="1"/>
  <c r="J117" i="54"/>
  <c r="K117" i="54" s="1"/>
  <c r="L28" i="54"/>
  <c r="M28" i="54" s="1"/>
  <c r="N28" i="54" s="1"/>
  <c r="O28" i="54" s="1"/>
  <c r="Q46" i="54"/>
  <c r="R46" i="54" s="1"/>
  <c r="S8" i="4"/>
  <c r="T8" i="4" s="1"/>
  <c r="V8" i="4" s="1"/>
  <c r="E24" i="4"/>
  <c r="L13" i="54"/>
  <c r="M13" i="54" s="1"/>
  <c r="N13" i="54" s="1"/>
  <c r="O13" i="54" s="1"/>
  <c r="J46" i="54"/>
  <c r="K46" i="54" s="1"/>
  <c r="J41" i="54"/>
  <c r="K41" i="54" s="1"/>
  <c r="J74" i="54"/>
  <c r="K74" i="54" s="1"/>
  <c r="U123" i="29"/>
  <c r="L29" i="54"/>
  <c r="M29" i="54" s="1"/>
  <c r="N29" i="54" s="1"/>
  <c r="O29" i="54" s="1"/>
  <c r="G45" i="54"/>
  <c r="H45" i="54" s="1"/>
  <c r="J45" i="54" s="1"/>
  <c r="K45" i="54" s="1"/>
  <c r="N41" i="54"/>
  <c r="O41" i="54" s="1"/>
  <c r="L6" i="54"/>
  <c r="L35" i="54"/>
  <c r="M35" i="54" s="1"/>
  <c r="N35" i="54" s="1"/>
  <c r="O35" i="54" s="1"/>
  <c r="J57" i="54"/>
  <c r="K57" i="54" s="1"/>
  <c r="J42" i="54"/>
  <c r="K42" i="54" s="1"/>
  <c r="J51" i="54"/>
  <c r="K51" i="54" s="1"/>
  <c r="J47" i="54"/>
  <c r="K47" i="54" s="1"/>
  <c r="S11" i="4"/>
  <c r="T11" i="4" s="1"/>
  <c r="V11" i="4" s="1"/>
  <c r="C41" i="64"/>
  <c r="E11" i="4"/>
  <c r="J72" i="54"/>
  <c r="K72" i="54" s="1"/>
  <c r="Q72" i="54"/>
  <c r="R72" i="54" s="1"/>
  <c r="J44" i="54"/>
  <c r="K44" i="54" s="1"/>
  <c r="G33" i="54"/>
  <c r="H33" i="54" s="1"/>
  <c r="J33" i="54" s="1"/>
  <c r="K33" i="54" s="1"/>
  <c r="L12" i="54"/>
  <c r="M12" i="54" s="1"/>
  <c r="N12" i="54" s="1"/>
  <c r="N44" i="54"/>
  <c r="O44" i="54" s="1"/>
  <c r="E13" i="64"/>
  <c r="M32" i="64" s="1"/>
  <c r="J70" i="54"/>
  <c r="K70" i="54" s="1"/>
  <c r="N46" i="54"/>
  <c r="O46" i="54" s="1"/>
  <c r="J8" i="54"/>
  <c r="K8" i="54" s="1"/>
  <c r="Q51" i="54"/>
  <c r="R51" i="54" s="1"/>
  <c r="L37" i="54"/>
  <c r="M37" i="54" s="1"/>
  <c r="N37" i="54" s="1"/>
  <c r="O37" i="54" s="1"/>
  <c r="Q70" i="54"/>
  <c r="R70" i="54" s="1"/>
  <c r="G39" i="54"/>
  <c r="H39" i="54" s="1"/>
  <c r="Q39" i="54" s="1"/>
  <c r="R39" i="54" s="1"/>
  <c r="Q8" i="54"/>
  <c r="R8" i="54" s="1"/>
  <c r="Q44" i="54"/>
  <c r="R44" i="54" s="1"/>
  <c r="Q43" i="54"/>
  <c r="R43" i="54" s="1"/>
  <c r="L50" i="54"/>
  <c r="M50" i="54" s="1"/>
  <c r="N50" i="54" s="1"/>
  <c r="O50" i="54" s="1"/>
  <c r="L43" i="54"/>
  <c r="M43" i="54" s="1"/>
  <c r="N43" i="54" s="1"/>
  <c r="O43" i="54" s="1"/>
  <c r="N51" i="54"/>
  <c r="O51" i="54" s="1"/>
  <c r="L19" i="54"/>
  <c r="M19" i="54" s="1"/>
  <c r="N19" i="54" s="1"/>
  <c r="O19" i="54" s="1"/>
  <c r="N14" i="54"/>
  <c r="O14" i="54" s="1"/>
  <c r="Q42" i="54"/>
  <c r="R42" i="54" s="1"/>
  <c r="G48" i="54"/>
  <c r="H48" i="54" s="1"/>
  <c r="N48" i="54" s="1"/>
  <c r="N42" i="54"/>
  <c r="O42" i="54" s="1"/>
  <c r="L49" i="54"/>
  <c r="M49" i="54" s="1"/>
  <c r="G49" i="54"/>
  <c r="H49" i="54" s="1"/>
  <c r="G5" i="54"/>
  <c r="H5" i="54" s="1"/>
  <c r="Q5" i="54" s="1"/>
  <c r="R5" i="54" s="1"/>
  <c r="J63" i="54"/>
  <c r="K63" i="54" s="1"/>
  <c r="Q14" i="54"/>
  <c r="R14" i="54" s="1"/>
  <c r="J14" i="54"/>
  <c r="K14" i="54" s="1"/>
  <c r="G17" i="54"/>
  <c r="H17" i="54" s="1"/>
  <c r="L17" i="54"/>
  <c r="M17" i="54" s="1"/>
  <c r="C20" i="64"/>
  <c r="J99" i="54"/>
  <c r="K99" i="54" s="1"/>
  <c r="B113" i="4"/>
  <c r="Q58" i="54"/>
  <c r="R58" i="54" s="1"/>
  <c r="J64" i="54"/>
  <c r="K64" i="54" s="1"/>
  <c r="G23" i="54"/>
  <c r="H23" i="54" s="1"/>
  <c r="N23" i="54" s="1"/>
  <c r="O23" i="54" s="1"/>
  <c r="G40" i="54"/>
  <c r="H40" i="54" s="1"/>
  <c r="L40" i="54"/>
  <c r="M40" i="54" s="1"/>
  <c r="Q41" i="54"/>
  <c r="R41" i="54" s="1"/>
  <c r="E8" i="4"/>
  <c r="J86" i="54"/>
  <c r="K86" i="54" s="1"/>
  <c r="Q77" i="54"/>
  <c r="R77" i="54" s="1"/>
  <c r="Q84" i="54"/>
  <c r="R84" i="54" s="1"/>
  <c r="E10" i="64"/>
  <c r="M26" i="64" s="1"/>
  <c r="G30" i="54"/>
  <c r="H30" i="54" s="1"/>
  <c r="L30" i="54"/>
  <c r="M30" i="54" s="1"/>
  <c r="L10" i="54"/>
  <c r="M10" i="54" s="1"/>
  <c r="N10" i="54" s="1"/>
  <c r="G31" i="54"/>
  <c r="H31" i="54" s="1"/>
  <c r="L31" i="54"/>
  <c r="M31" i="54" s="1"/>
  <c r="L27" i="54"/>
  <c r="M27" i="54" s="1"/>
  <c r="G27" i="54"/>
  <c r="H27" i="54" s="1"/>
  <c r="G15" i="54"/>
  <c r="H15" i="54" s="1"/>
  <c r="L15" i="54"/>
  <c r="M15" i="54" s="1"/>
  <c r="L7" i="54"/>
  <c r="M7" i="54" s="1"/>
  <c r="G7" i="54"/>
  <c r="H7" i="54" s="1"/>
  <c r="Q34" i="54"/>
  <c r="R34" i="54" s="1"/>
  <c r="J81" i="54"/>
  <c r="K81" i="54" s="1"/>
  <c r="B111" i="4"/>
  <c r="J82" i="54"/>
  <c r="K82" i="54" s="1"/>
  <c r="N4" i="54"/>
  <c r="O4" i="54" s="1"/>
  <c r="Q4" i="54"/>
  <c r="R4" i="54" s="1"/>
  <c r="J4" i="54"/>
  <c r="K4" i="54" s="1"/>
  <c r="J105" i="54"/>
  <c r="K105" i="54" s="1"/>
  <c r="J100" i="54"/>
  <c r="K100" i="54" s="1"/>
  <c r="N47" i="54"/>
  <c r="O47" i="54" s="1"/>
  <c r="Q47" i="54"/>
  <c r="R47" i="54" s="1"/>
  <c r="J71" i="54"/>
  <c r="K71" i="54" s="1"/>
  <c r="L3" i="54"/>
  <c r="M3" i="54" s="1"/>
  <c r="G3" i="54"/>
  <c r="H3" i="54" s="1"/>
  <c r="L53" i="54"/>
  <c r="M53" i="54" s="1"/>
  <c r="G53" i="54"/>
  <c r="H53" i="54" s="1"/>
  <c r="J53" i="54" s="1"/>
  <c r="K53" i="54" s="1"/>
  <c r="Q62" i="54"/>
  <c r="R62" i="54" s="1"/>
  <c r="I87" i="54"/>
  <c r="I88" i="54" s="1"/>
  <c r="D18" i="64"/>
  <c r="J67" i="54"/>
  <c r="K67" i="54" s="1"/>
  <c r="J50" i="54"/>
  <c r="K50" i="54" s="1"/>
  <c r="Q50" i="54"/>
  <c r="R50" i="54" s="1"/>
  <c r="J13" i="54"/>
  <c r="K13" i="54" s="1"/>
  <c r="Q13" i="54"/>
  <c r="R13" i="54" s="1"/>
  <c r="Q81" i="54"/>
  <c r="R81" i="54" s="1"/>
  <c r="Q73" i="54"/>
  <c r="R73" i="54" s="1"/>
  <c r="J73" i="54"/>
  <c r="K73" i="54" s="1"/>
  <c r="J34" i="54"/>
  <c r="K34" i="54" s="1"/>
  <c r="J65" i="54"/>
  <c r="K65" i="54" s="1"/>
  <c r="Q65" i="54"/>
  <c r="R65" i="54" s="1"/>
  <c r="Q76" i="54"/>
  <c r="R76" i="54" s="1"/>
  <c r="J76" i="54"/>
  <c r="K76" i="54" s="1"/>
  <c r="J66" i="54"/>
  <c r="K66" i="54" s="1"/>
  <c r="Q66" i="54"/>
  <c r="R66" i="54" s="1"/>
  <c r="D19" i="64"/>
  <c r="G20" i="54"/>
  <c r="H20" i="54" s="1"/>
  <c r="L20" i="54"/>
  <c r="M20" i="54" s="1"/>
  <c r="L21" i="54"/>
  <c r="M21" i="54" s="1"/>
  <c r="G21" i="54"/>
  <c r="H21" i="54" s="1"/>
  <c r="Q80" i="54"/>
  <c r="R80" i="54" s="1"/>
  <c r="J80" i="54"/>
  <c r="K80" i="54" s="1"/>
  <c r="N25" i="54"/>
  <c r="O25" i="54" s="1"/>
  <c r="Q25" i="54"/>
  <c r="R25" i="54" s="1"/>
  <c r="J25" i="54"/>
  <c r="K25" i="54" s="1"/>
  <c r="J83" i="54"/>
  <c r="K83" i="54" s="1"/>
  <c r="Q83" i="54"/>
  <c r="R83" i="54" s="1"/>
  <c r="L22" i="54"/>
  <c r="M22" i="54" s="1"/>
  <c r="G22" i="54"/>
  <c r="H22" i="54" s="1"/>
  <c r="G32" i="54"/>
  <c r="H32" i="54" s="1"/>
  <c r="L32" i="54"/>
  <c r="M32" i="54" s="1"/>
  <c r="J29" i="54"/>
  <c r="K29" i="54" s="1"/>
  <c r="Q29" i="54"/>
  <c r="R29" i="54" s="1"/>
  <c r="J107" i="54"/>
  <c r="K107" i="54" s="1"/>
  <c r="Q28" i="54"/>
  <c r="R28" i="54" s="1"/>
  <c r="J28" i="54"/>
  <c r="K28" i="54" s="1"/>
  <c r="Q56" i="54"/>
  <c r="R56" i="54" s="1"/>
  <c r="J56" i="54"/>
  <c r="K56" i="54" s="1"/>
  <c r="N56" i="54"/>
  <c r="O56" i="54" s="1"/>
  <c r="J61" i="54"/>
  <c r="K61" i="54" s="1"/>
  <c r="Q61" i="54"/>
  <c r="R61" i="54" s="1"/>
  <c r="J6" i="54"/>
  <c r="Q6" i="54"/>
  <c r="Q19" i="54"/>
  <c r="R19" i="54" s="1"/>
  <c r="J19" i="54"/>
  <c r="K19" i="54" s="1"/>
  <c r="V29" i="54"/>
  <c r="G11" i="54"/>
  <c r="H11" i="54" s="1"/>
  <c r="L11" i="54"/>
  <c r="M11" i="54" s="1"/>
  <c r="L18" i="54"/>
  <c r="M18" i="54" s="1"/>
  <c r="G18" i="54"/>
  <c r="H18" i="54" s="1"/>
  <c r="Q12" i="54"/>
  <c r="J12" i="54"/>
  <c r="B98" i="4"/>
  <c r="F94" i="4" s="1"/>
  <c r="B94" i="4"/>
  <c r="F92" i="4" s="1"/>
  <c r="N26" i="54"/>
  <c r="J26" i="54"/>
  <c r="Q26" i="54"/>
  <c r="M35" i="64"/>
  <c r="J37" i="54"/>
  <c r="K37" i="54" s="1"/>
  <c r="Q37" i="54"/>
  <c r="R37" i="54" s="1"/>
  <c r="J98" i="54"/>
  <c r="K98" i="54" s="1"/>
  <c r="J10" i="54"/>
  <c r="Q10" i="54"/>
  <c r="Q35" i="54"/>
  <c r="R35" i="54" s="1"/>
  <c r="J35" i="54"/>
  <c r="K35" i="54" s="1"/>
  <c r="B20" i="64"/>
  <c r="H18" i="64"/>
  <c r="E17" i="64"/>
  <c r="E35" i="4"/>
  <c r="S15" i="4"/>
  <c r="T15" i="4" s="1"/>
  <c r="V15" i="4" s="1"/>
  <c r="E15" i="4"/>
  <c r="V56" i="1" l="1"/>
  <c r="R8" i="115"/>
  <c r="S8" i="115"/>
  <c r="T8" i="115" s="1"/>
  <c r="S6" i="115"/>
  <c r="T6" i="115" s="1"/>
  <c r="R6" i="115"/>
  <c r="S10" i="115"/>
  <c r="T10" i="115" s="1"/>
  <c r="R10" i="115"/>
  <c r="S11" i="115"/>
  <c r="T11" i="115" s="1"/>
  <c r="R11" i="115"/>
  <c r="S7" i="115"/>
  <c r="T7" i="115" s="1"/>
  <c r="R7" i="115"/>
  <c r="S9" i="115"/>
  <c r="T9" i="115" s="1"/>
  <c r="R9" i="115"/>
  <c r="E11" i="115"/>
  <c r="L11" i="115" s="1"/>
  <c r="F11" i="115"/>
  <c r="E10" i="115"/>
  <c r="L10" i="115" s="1"/>
  <c r="F10" i="115"/>
  <c r="E8" i="115"/>
  <c r="L8" i="115" s="1"/>
  <c r="F8" i="115"/>
  <c r="E6" i="115"/>
  <c r="L6" i="115" s="1"/>
  <c r="F6" i="115"/>
  <c r="E9" i="115"/>
  <c r="L9" i="115" s="1"/>
  <c r="F9" i="115"/>
  <c r="E7" i="115"/>
  <c r="L7" i="115" s="1"/>
  <c r="F7" i="115"/>
  <c r="N52" i="54"/>
  <c r="O52" i="54" s="1"/>
  <c r="Q52" i="54"/>
  <c r="R52" i="54" s="1"/>
  <c r="B146" i="29"/>
  <c r="B147" i="29" s="1"/>
  <c r="I2" i="29" s="1"/>
  <c r="N55" i="54"/>
  <c r="O55" i="54" s="1"/>
  <c r="J55" i="54"/>
  <c r="W50" i="54" s="1"/>
  <c r="F35" i="4"/>
  <c r="G35" i="4" s="1"/>
  <c r="F31" i="4"/>
  <c r="G31" i="4" s="1"/>
  <c r="F27" i="4"/>
  <c r="G27" i="4" s="1"/>
  <c r="F24" i="4"/>
  <c r="Y59" i="1"/>
  <c r="Y61" i="1"/>
  <c r="Y58" i="1"/>
  <c r="Y57" i="1"/>
  <c r="Y60" i="1"/>
  <c r="Y56" i="1"/>
  <c r="O36" i="26"/>
  <c r="D116" i="26" s="1"/>
  <c r="B112" i="4"/>
  <c r="N36" i="26"/>
  <c r="N33" i="54"/>
  <c r="O33" i="54" s="1"/>
  <c r="N9" i="54"/>
  <c r="O9" i="54" s="1"/>
  <c r="Q9" i="54"/>
  <c r="R9" i="54" s="1"/>
  <c r="N45" i="54"/>
  <c r="O45" i="54" s="1"/>
  <c r="X59" i="54" s="1"/>
  <c r="Q45" i="54"/>
  <c r="R45" i="54" s="1"/>
  <c r="Y59" i="54" s="1"/>
  <c r="Q33" i="54"/>
  <c r="R33" i="54" s="1"/>
  <c r="J5" i="54"/>
  <c r="K5" i="54" s="1"/>
  <c r="N5" i="54"/>
  <c r="O5" i="54" s="1"/>
  <c r="E12" i="64"/>
  <c r="M29" i="64" s="1"/>
  <c r="E22" i="4"/>
  <c r="C16" i="4"/>
  <c r="E10" i="4"/>
  <c r="S10" i="4"/>
  <c r="T10" i="4" s="1"/>
  <c r="V10" i="4" s="1"/>
  <c r="W59" i="54"/>
  <c r="N15" i="54"/>
  <c r="O15" i="54" s="1"/>
  <c r="N31" i="54"/>
  <c r="O31" i="54" s="1"/>
  <c r="N17" i="54"/>
  <c r="O17" i="54" s="1"/>
  <c r="N39" i="54"/>
  <c r="O39" i="54" s="1"/>
  <c r="J39" i="54"/>
  <c r="K39" i="54" s="1"/>
  <c r="Q48" i="54"/>
  <c r="R48" i="54" s="1"/>
  <c r="J48" i="54"/>
  <c r="K48" i="54" s="1"/>
  <c r="J17" i="54"/>
  <c r="K17" i="54" s="1"/>
  <c r="Q17" i="54"/>
  <c r="R17" i="54" s="1"/>
  <c r="Q49" i="54"/>
  <c r="R49" i="54" s="1"/>
  <c r="J49" i="54"/>
  <c r="K49" i="54" s="1"/>
  <c r="N49" i="54"/>
  <c r="O49" i="54" s="1"/>
  <c r="Q23" i="54"/>
  <c r="R23" i="54" s="1"/>
  <c r="J23" i="54"/>
  <c r="K23" i="54" s="1"/>
  <c r="Q40" i="54"/>
  <c r="R40" i="54" s="1"/>
  <c r="Y58" i="54" s="1"/>
  <c r="N40" i="54"/>
  <c r="O40" i="54" s="1"/>
  <c r="J40" i="54"/>
  <c r="K40" i="54" s="1"/>
  <c r="O48" i="54"/>
  <c r="Q15" i="54"/>
  <c r="R15" i="54" s="1"/>
  <c r="J15" i="54"/>
  <c r="K15" i="54" s="1"/>
  <c r="J31" i="54"/>
  <c r="K31" i="54" s="1"/>
  <c r="Q31" i="54"/>
  <c r="R31" i="54" s="1"/>
  <c r="Q30" i="54"/>
  <c r="R30" i="54" s="1"/>
  <c r="J30" i="54"/>
  <c r="K30" i="54" s="1"/>
  <c r="N30" i="54"/>
  <c r="O30" i="54" s="1"/>
  <c r="Q27" i="54"/>
  <c r="R27" i="54" s="1"/>
  <c r="J27" i="54"/>
  <c r="K27" i="54" s="1"/>
  <c r="N27" i="54"/>
  <c r="O27" i="54" s="1"/>
  <c r="D20" i="64"/>
  <c r="J7" i="54"/>
  <c r="K7" i="54" s="1"/>
  <c r="N7" i="54"/>
  <c r="O7" i="54" s="1"/>
  <c r="Q7" i="54"/>
  <c r="R7" i="54" s="1"/>
  <c r="J3" i="54"/>
  <c r="K3" i="54" s="1"/>
  <c r="N3" i="54"/>
  <c r="O3" i="54" s="1"/>
  <c r="Q3" i="54"/>
  <c r="R3" i="54" s="1"/>
  <c r="U37" i="54"/>
  <c r="N53" i="54"/>
  <c r="O53" i="54" s="1"/>
  <c r="Q53" i="54"/>
  <c r="R53" i="54" s="1"/>
  <c r="K121" i="54"/>
  <c r="E5" i="4"/>
  <c r="E23" i="4"/>
  <c r="S5" i="4"/>
  <c r="T5" i="4" s="1"/>
  <c r="V5" i="4" s="1"/>
  <c r="E7" i="64"/>
  <c r="N6" i="64" s="1"/>
  <c r="J20" i="54"/>
  <c r="K20" i="54" s="1"/>
  <c r="N20" i="54"/>
  <c r="O20" i="54" s="1"/>
  <c r="Q20" i="54"/>
  <c r="R20" i="54" s="1"/>
  <c r="J21" i="54"/>
  <c r="N21" i="54"/>
  <c r="Q21" i="54"/>
  <c r="N32" i="54"/>
  <c r="O32" i="54" s="1"/>
  <c r="J32" i="54"/>
  <c r="K32" i="54" s="1"/>
  <c r="Q32" i="54"/>
  <c r="R32" i="54" s="1"/>
  <c r="Q22" i="54"/>
  <c r="R22" i="54" s="1"/>
  <c r="N22" i="54"/>
  <c r="O22" i="54" s="1"/>
  <c r="J22" i="54"/>
  <c r="K22" i="54" s="1"/>
  <c r="K10" i="54"/>
  <c r="K26" i="54"/>
  <c r="O12" i="54"/>
  <c r="J11" i="54"/>
  <c r="K11" i="54" s="1"/>
  <c r="N11" i="54"/>
  <c r="O11" i="54" s="1"/>
  <c r="Q11" i="54"/>
  <c r="R11" i="54" s="1"/>
  <c r="R6" i="54"/>
  <c r="O26" i="54"/>
  <c r="Q18" i="54"/>
  <c r="N18" i="54"/>
  <c r="J18" i="54"/>
  <c r="K6" i="54"/>
  <c r="R10" i="54"/>
  <c r="R55" i="54"/>
  <c r="K12" i="54"/>
  <c r="H87" i="54"/>
  <c r="H88" i="54" s="1"/>
  <c r="O10" i="54"/>
  <c r="R26" i="54"/>
  <c r="R12" i="54"/>
  <c r="U29" i="54"/>
  <c r="N18" i="64"/>
  <c r="K11" i="115" l="1"/>
  <c r="K7" i="115"/>
  <c r="K8" i="115"/>
  <c r="K9" i="115"/>
  <c r="K10" i="115"/>
  <c r="K6" i="115"/>
  <c r="V59" i="1"/>
  <c r="O12" i="115"/>
  <c r="D12" i="115" a="1"/>
  <c r="D12" i="115" s="1"/>
  <c r="Q12" i="115" s="1"/>
  <c r="K55" i="54"/>
  <c r="X50" i="54" s="1"/>
  <c r="C152" i="4"/>
  <c r="C151" i="4"/>
  <c r="C150" i="4"/>
  <c r="B96" i="4"/>
  <c r="F93" i="4" s="1"/>
  <c r="F22" i="4"/>
  <c r="B95" i="4" s="1"/>
  <c r="D93" i="4" s="1"/>
  <c r="F23" i="4"/>
  <c r="E19" i="64"/>
  <c r="E16" i="4"/>
  <c r="AB49" i="54"/>
  <c r="AA49" i="54"/>
  <c r="Y45" i="54"/>
  <c r="Z45" i="54"/>
  <c r="B93" i="4"/>
  <c r="D92" i="4" s="1"/>
  <c r="B97" i="4"/>
  <c r="D94" i="4" s="1"/>
  <c r="B105" i="4"/>
  <c r="X58" i="54"/>
  <c r="X60" i="54" s="1"/>
  <c r="Z59" i="54"/>
  <c r="Y43" i="54"/>
  <c r="X45" i="54"/>
  <c r="W45" i="54"/>
  <c r="Y60" i="54"/>
  <c r="W58" i="54"/>
  <c r="W60" i="54" s="1"/>
  <c r="X49" i="54"/>
  <c r="AB45" i="54"/>
  <c r="W43" i="54"/>
  <c r="AA45" i="54"/>
  <c r="AA50" i="54"/>
  <c r="X48" i="54"/>
  <c r="AA48" i="54"/>
  <c r="AB50" i="54"/>
  <c r="AA43" i="54"/>
  <c r="W48" i="54"/>
  <c r="W49" i="54"/>
  <c r="Z48" i="54"/>
  <c r="J87" i="54"/>
  <c r="Y48" i="54"/>
  <c r="Z49" i="54"/>
  <c r="Y49" i="54"/>
  <c r="B107" i="4"/>
  <c r="AB48" i="54"/>
  <c r="Y50" i="54"/>
  <c r="Y44" i="54"/>
  <c r="W37" i="54"/>
  <c r="Z50" i="54"/>
  <c r="Z43" i="54"/>
  <c r="E18" i="64"/>
  <c r="E20" i="64"/>
  <c r="R21" i="54"/>
  <c r="AB47" i="54" s="1"/>
  <c r="AA47" i="54"/>
  <c r="W29" i="54"/>
  <c r="O21" i="54"/>
  <c r="Z47" i="54" s="1"/>
  <c r="Y47" i="54"/>
  <c r="K21" i="54"/>
  <c r="X47" i="54" s="1"/>
  <c r="W47" i="54"/>
  <c r="X44" i="54"/>
  <c r="O18" i="54"/>
  <c r="Z46" i="54" s="1"/>
  <c r="Y46" i="54"/>
  <c r="Z44" i="54"/>
  <c r="AA44" i="54"/>
  <c r="R18" i="54"/>
  <c r="AB46" i="54" s="1"/>
  <c r="AA46" i="54"/>
  <c r="W33" i="54"/>
  <c r="AB44" i="54"/>
  <c r="X43" i="54"/>
  <c r="AB43" i="54"/>
  <c r="W44" i="54"/>
  <c r="K18" i="54"/>
  <c r="X46" i="54" s="1"/>
  <c r="W46" i="54"/>
  <c r="S12" i="115" l="1"/>
  <c r="T12" i="115" s="1"/>
  <c r="R12" i="115"/>
  <c r="E12" i="115"/>
  <c r="L12" i="115" s="1"/>
  <c r="F12" i="115"/>
  <c r="B106" i="4"/>
  <c r="Z58" i="54"/>
  <c r="Z60" i="54" s="1"/>
  <c r="X33" i="54"/>
  <c r="K87" i="54"/>
  <c r="K88" i="54" s="1"/>
  <c r="Y51" i="54"/>
  <c r="Z51" i="54"/>
  <c r="W51" i="54"/>
  <c r="AA51" i="54"/>
  <c r="AB51" i="54"/>
  <c r="X51" i="54"/>
  <c r="X37" i="54"/>
  <c r="X29" i="54"/>
  <c r="K12" i="115" l="1"/>
  <c r="H23" i="118"/>
  <c r="H22" i="118"/>
  <c r="F23" i="118"/>
  <c r="F22" i="118"/>
  <c r="F21" i="118"/>
  <c r="H13" i="118" l="1"/>
  <c r="H14" i="118"/>
  <c r="H12" i="118"/>
  <c r="H17" i="118"/>
  <c r="H18" i="118" s="1"/>
  <c r="H21" i="118"/>
  <c r="F12" i="118"/>
  <c r="H8" i="118"/>
  <c r="F17" i="118"/>
  <c r="F18" i="118" s="1"/>
  <c r="H9" i="118" l="1"/>
  <c r="N9" i="118" s="1"/>
  <c r="O9" i="118" s="1"/>
  <c r="N8" i="1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tc={74397534-4861-4CC2-914B-A05E5DB955C4}</author>
    <author>tc={068820A7-93B8-49E8-B25B-B14E12BDA550}</author>
    <author>tc={41B447D9-73FA-4A8C-A556-7932F4DEE163}</author>
    <author>tc={4044C344-4F47-4CE5-9B65-F03BD31E4523}</author>
    <author>tc={58739221-ABE8-4723-9183-5E0B973FA730}</author>
    <author>tc={9099261D-3EFB-41E3-A8DC-6F3462A711A8}</author>
    <author>tc={0C415CC7-06EA-48B0-A30F-4472C07CDE9C}</author>
    <author>tc={31D6BDD0-7C9D-43EB-A1D6-1F63B3428347}</author>
    <author>tc={436B14B4-6421-4326-8428-D5E8EEE6E757}</author>
    <author>tc={C7227635-FB85-4BF1-A232-5F75549823A3}</author>
    <author>tc={41225D44-0F33-45A5-9B61-7697D8B2B5E1}</author>
    <author>tc={3F999200-A93C-44D6-8A16-A20CFA32F5FF}</author>
    <author>tc={75C931A9-1D9D-46F0-9651-50125810CA27}</author>
    <author>tc={CEB2F462-1057-4534-8E9A-5BD12D6BD84A}</author>
    <author>tc={4F8E1416-9714-48F4-9C68-7D248DE90CD8}</author>
    <author>tc={222E58C0-A49C-4DAD-9D69-CEC78F45710E}</author>
    <author>tc={AB95A6F5-9079-4266-9FCA-BA7A34F15CE7}</author>
    <author>tc={0C8C6709-4530-4EAF-901F-7A331F5C4D7F}</author>
    <author>tc={162C1E80-59E5-42F1-8855-D7F9A9AEEAAE}</author>
    <author>tc={8A6F364F-A6C2-4259-B20E-F2C9A826D957}</author>
    <author>tc={04592958-0DEA-43AB-BD2D-AAB67143C667}</author>
    <author>Allaister Pollock, Vodafone</author>
    <author>tc={F8859447-4AA6-4AA6-9237-D097A2A7BA63}</author>
    <author>tc={9C0C933B-5892-4E89-83C3-3053DEFACB20}</author>
    <author>tc={1B247681-1489-4279-9768-67975548BA2C}</author>
    <author>tc={24FA21A6-9725-4535-9EBE-AAF4FEF4D90C}</author>
    <author>tc={16A29B51-7761-4F17-B0F8-CB02F2C77B12}</author>
    <author>tc={60FE7808-1B9F-47BF-8792-17506A229644}</author>
    <author>tc={3A69A087-CC66-4BFD-A315-707E9AF54407}</author>
    <author>tc={C160DAEE-2E03-492F-917B-2CDAE9B2E5C2}</author>
    <author>tc={D6673DC8-181F-45D5-B1A6-D7CAD2CCE7E9}</author>
    <author>tc={D486DC4F-8825-4C9D-BCAC-BD2DED496201}</author>
    <author>tc={FB2FE5A4-EE63-43DB-A977-43AA111FF01D}</author>
    <author>tc={19E420AE-D884-4DC4-B2F7-B60A02D3E461}</author>
    <author>tc={BEE38BF1-E739-42C8-8FAF-83B2C6F39430}</author>
    <author>tc={336E5396-F129-4D17-A688-24AA24E228D7}</author>
    <author>tc={2C09372E-EFEF-41FF-B045-C83621F022D3}</author>
    <author>tc={EFD20F6D-C919-4B01-A68A-911BB3AA1D33}</author>
    <author>tc={B11B1956-47AF-4136-8111-E865E900F5CB}</author>
    <author>tc={43664F84-4782-441A-A5BE-14D5E8CEDA30}</author>
    <author>tc={4D35DD2B-128A-46B9-9733-D7C2F2C0A01C}</author>
    <author>tc={FD787C72-1D54-44EF-BB28-B9FD81AF965B}</author>
    <author>tc={3A36CD5C-1071-487F-94B1-D3612F352B62}</author>
    <author>tc={5315F864-1D6B-49E8-9D1C-FE7C62C526AD}</author>
    <author>tc={DD6D4718-5C87-4601-A02D-9C7E2834E959}</author>
    <author>tc={DD0F928D-6986-4846-B520-9E13F8783817}</author>
    <author>tc={79EA105A-3F0B-4C7D-9280-2D93369E4F91}</author>
    <author>tc={1EB78DE8-142E-4A45-BC61-C8CA60BE1A29}</author>
    <author>tc={D6671E55-F655-4CB4-B2E1-4203F4546716}</author>
    <author>tc={AAE684FF-88D7-4FB4-8B2D-3C2CCD7B8038}</author>
    <author>tc={078554BB-06F0-4FD7-B1FB-B56359950BBD}</author>
    <author>tc={8CC96BC0-48CE-4E0B-A2F3-85A53CF88090}</author>
    <author>tc={CFD3DC83-8300-4537-8E4A-7F8C967A4029}</author>
    <author>tc={5F32A5FD-B316-48E2-A1F1-B88200B54B6D}</author>
    <author>tc={3C730509-695D-4379-B16E-A09D87378E61}</author>
    <author>tc={B846BBE4-1E39-4929-9DEA-A21BB142C6C9}</author>
    <author>tc={E9BECDF9-9F36-4BE3-986E-193620E89391}</author>
    <author>tc={C686C913-ACB7-4203-95BA-A54F4C9435BD}</author>
    <author>tc={856E799D-704B-41C0-AD44-03DA8786C925}</author>
    <author>tc={6625460F-3136-45B4-895B-26DD59C4F39C}</author>
    <author>tc={7ECF5251-5CBD-431A-B6E2-03DC8D416063}</author>
    <author>tc={1B8C3581-2C70-4679-9C29-856B8063E37A}</author>
    <author>tc={C43461D2-979D-40E4-8899-E23853BEBF24}</author>
    <author>tc={D2B177A8-90C9-49F9-A976-48325EC4AB6E}</author>
    <author>tc={2016F649-069E-4BE2-A35B-0504DE030E87}</author>
    <author>tc={39FE0E1F-8987-440E-98AD-703FDD8FE0F3}</author>
    <author>tc={3D93C4B2-5336-4905-B7EC-35FEB1E0C0EB}</author>
    <author>tc={7B4FFD23-84BD-4F82-AC7A-8EF60736DE2D}</author>
    <author>tc={8F350B2B-D26B-4547-B86B-F283D1A35326}</author>
    <author>tc={EA33B4D4-CE42-4ADF-AAB5-C0B8DF787AD5}</author>
    <author>tc={CC143250-2CFD-45D2-B092-344A5CA91C98}</author>
    <author>tc={E7E150BA-B760-48E1-8D30-6A5829AB2085}</author>
  </authors>
  <commentList>
    <comment ref="V2" authorId="0" shapeId="0" xr:uid="{74397534-4861-4CC2-914B-A05E5DB955C4}">
      <text>
        <t>[Threaded comment]
Your version of Excel allows you to read this threaded comment; however, any edits to it will get removed if the file is opened in a newer version of Excel. Learn more: https://go.microsoft.com/fwlink/?linkid=870924
Comment:
    Red text =&lt;20%</t>
      </text>
    </comment>
    <comment ref="D7" authorId="1" shapeId="0" xr:uid="{068820A7-93B8-49E8-B25B-B14E12BDA550}">
      <text>
        <t>[Threaded comment]
Your version of Excel allows you to read this threaded comment; however, any edits to it will get removed if the file is opened in a newer version of Excel. Learn more: https://go.microsoft.com/fwlink/?linkid=870924
Comment:
    Last reading 21/7/24</t>
      </text>
    </comment>
    <comment ref="E7" authorId="2" shapeId="0" xr:uid="{41B447D9-73FA-4A8C-A556-7932F4DEE163}">
      <text>
        <t>[Threaded comment]
Your version of Excel allows you to read this threaded comment; however, any edits to it will get removed if the file is opened in a newer version of Excel. Learn more: https://go.microsoft.com/fwlink/?linkid=870924
Comment:
    Last reading 21/7/24</t>
      </text>
    </comment>
    <comment ref="AB9" authorId="3" shapeId="0" xr:uid="{4044C344-4F47-4CE5-9B65-F03BD31E4523}">
      <text>
        <t>[Threaded comment]
Your version of Excel allows you to read this threaded comment; however, any edits to it will get removed if the file is opened in a newer version of Excel. Learn more: https://go.microsoft.com/fwlink/?linkid=870924
Comment:
    Note to comment
Based on recorded readings as per forecasting spreadsheet
Reply:
    NFV Loads reviewed 20/04/2022
Reply:
    NFV reserved loads updated on 26/07/2022
Reply:
    NFV reserved loads updated on 23/12/2022
Reply:
    NFV reserved loads updated on 27/02/2023
Reply:
    NFV reserved loads updated on 25/07/2023
Reply:
    NFV reserved loads updated on 12/12/23</t>
      </text>
    </comment>
    <comment ref="AG10" authorId="4" shapeId="0" xr:uid="{58739221-ABE8-4723-9183-5E0B973FA730}">
      <text>
        <t>[Threaded comment]
Your version of Excel allows you to read this threaded comment; however, any edits to it will get removed if the file is opened in a newer version of Excel. Learn more: https://go.microsoft.com/fwlink/?linkid=870924
Comment:
    174A allocated. 21/05/24, 48A increase</t>
      </text>
    </comment>
    <comment ref="AG11" authorId="5" shapeId="0" xr:uid="{9099261D-3EFB-41E3-A8DC-6F3462A711A8}">
      <text>
        <t>[Threaded comment]
Your version of Excel allows you to read this threaded comment; however, any edits to it will get removed if the file is opened in a newer version of Excel. Learn more: https://go.microsoft.com/fwlink/?linkid=870924
Comment:
    126A allocated. 21/05/24, 57A increase</t>
      </text>
    </comment>
    <comment ref="AG13" authorId="6" shapeId="0" xr:uid="{0C415CC7-06EA-48B0-A30F-4472C07CDE9C}">
      <text>
        <t>[Threaded comment]
Your version of Excel allows you to read this threaded comment; however, any edits to it will get removed if the file is opened in a newer version of Excel. Learn more: https://go.microsoft.com/fwlink/?linkid=870924
Comment:
    104A allocated.. 21/05/24, 31A increase</t>
      </text>
    </comment>
    <comment ref="AG14" authorId="7" shapeId="0" xr:uid="{31D6BDD0-7C9D-43EB-A1D6-1F63B3428347}">
      <text>
        <t>[Threaded comment]
Your version of Excel allows you to read this threaded comment; however, any edits to it will get removed if the file is opened in a newer version of Excel. Learn more: https://go.microsoft.com/fwlink/?linkid=870924
Comment:
    103A allocated.. 21/05/24, 71A increase</t>
      </text>
    </comment>
    <comment ref="AG15" authorId="8" shapeId="0" xr:uid="{436B14B4-6421-4326-8428-D5E8EEE6E757}">
      <text>
        <t>[Threaded comment]
Your version of Excel allows you to read this threaded comment; however, any edits to it will get removed if the file is opened in a newer version of Excel. Learn more: https://go.microsoft.com/fwlink/?linkid=870924
Comment:
    87A allocated.. 21/05/24, 46A increase</t>
      </text>
    </comment>
    <comment ref="AG16" authorId="9" shapeId="0" xr:uid="{C7227635-FB85-4BF1-A232-5F75549823A3}">
      <text>
        <t>[Threaded comment]
Your version of Excel allows you to read this threaded comment; however, any edits to it will get removed if the file is opened in a newer version of Excel. Learn more: https://go.microsoft.com/fwlink/?linkid=870924
Comment:
    126A allocated. 21/05/24, 69A increase</t>
      </text>
    </comment>
    <comment ref="D21" authorId="10" shapeId="0" xr:uid="{41225D44-0F33-45A5-9B61-7697D8B2B5E1}">
      <text>
        <t>[Threaded comment]
Your version of Excel allows you to read this threaded comment; however, any edits to it will get removed if the file is opened in a newer version of Excel. Learn more: https://go.microsoft.com/fwlink/?linkid=870924
Comment:
    Last reading 21/7/24</t>
      </text>
    </comment>
    <comment ref="AB22" authorId="11" shapeId="0" xr:uid="{3F999200-A93C-44D6-8A16-A20CFA32F5FF}">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3/10/2022
Reply:
    NFV reserved loads updated on 23/12/2022
Reply:
    NFV reserved loads updated on 25/07/23
Reply:
    NFV reserved loads updated on 25/08/2023 
Reply:
    NFV reserved loads updated on 11/10/2023
Reply:
    NFV reserved loads updated on 10/06/2024
Reply:
    NFV reserved loads updated on 13/06/2024
Reply:
    NFV reserved loads updated for PECEH, PEDEH, PEEEH, PEFEH &amp; PEHEH on 23/08/24</t>
      </text>
    </comment>
    <comment ref="AC22" authorId="12" shapeId="0" xr:uid="{75C931A9-1D9D-46F0-9651-50125810CA27}">
      <text>
        <t>[Threaded comment]
Your version of Excel allows you to read this threaded comment; however, any edits to it will get removed if the file is opened in a newer version of Excel. Learn more: https://go.microsoft.com/fwlink/?linkid=870924
Comment:
    20A removed from PECEH reserved load for ISNG probes (23027) as for NFV probing</t>
      </text>
    </comment>
    <comment ref="AC24" authorId="13" shapeId="0" xr:uid="{CEB2F462-1057-4534-8E9A-5BD12D6BD84A}">
      <text>
        <t>[Threaded comment]
Your version of Excel allows you to read this threaded comment; however, any edits to it will get removed if the file is opened in a newer version of Excel. Learn more: https://go.microsoft.com/fwlink/?linkid=870924
Comment:
    20A removed from PEEEH reserved load for ISNG probes (23027) as for NFV probing</t>
      </text>
    </comment>
    <comment ref="AG24" authorId="14" shapeId="0" xr:uid="{4F8E1416-9714-48F4-9C68-7D248DE90CD8}">
      <text>
        <t>[Threaded comment]
Your version of Excel allows you to read this threaded comment; however, any edits to it will get removed if the file is opened in a newer version of Excel. Learn more: https://go.microsoft.com/fwlink/?linkid=870924
Comment:
    29A allocated. 30/5/24 12A increase</t>
      </text>
    </comment>
    <comment ref="AC25" authorId="15" shapeId="0" xr:uid="{222E58C0-A49C-4DAD-9D69-CEC78F45710E}">
      <text>
        <t>[Threaded comment]
Your version of Excel allows you to read this threaded comment; however, any edits to it will get removed if the file is opened in a newer version of Excel. Learn more: https://go.microsoft.com/fwlink/?linkid=870924
Comment:
    20A removed from PEFEH reserved load for ISNG probes (23027) as for NFV probing</t>
      </text>
    </comment>
    <comment ref="AG25" authorId="16" shapeId="0" xr:uid="{AB95A6F5-9079-4266-9FCA-BA7A34F15CE7}">
      <text>
        <t>[Threaded comment]
Your version of Excel allows you to read this threaded comment; however, any edits to it will get removed if the file is opened in a newer version of Excel. Learn more: https://go.microsoft.com/fwlink/?linkid=870924
Comment:
    29A allocated. 30/5/24 12A increase</t>
      </text>
    </comment>
    <comment ref="AC27" authorId="17" shapeId="0" xr:uid="{0C8C6709-4530-4EAF-901F-7A331F5C4D7F}">
      <text>
        <t>[Threaded comment]
Your version of Excel allows you to read this threaded comment; however, any edits to it will get removed if the file is opened in a newer version of Excel. Learn more: https://go.microsoft.com/fwlink/?linkid=870924
Comment:
    HGW Due to move onto NFV will reduce the load by 5kW</t>
      </text>
    </comment>
    <comment ref="X32" authorId="18" shapeId="0" xr:uid="{162C1E80-59E5-42F1-8855-D7F9A9AEEAAE}">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Z32" authorId="19" shapeId="0" xr:uid="{8A6F364F-A6C2-4259-B20E-F2C9A826D957}">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AB32" authorId="20" shapeId="0" xr:uid="{04592958-0DEA-43AB-BD2D-AAB67143C667}">
      <text>
        <t xml:space="preserve">[Threaded comment]
Your version of Excel allows you to read this threaded comment; however, any edits to it will get removed if the file is opened in a newer version of Excel. Learn more: https://go.microsoft.com/fwlink/?linkid=870924
Comment:
    New NFV Live and reserved loads added 14/06/2022
Reply:
    NFV reserved loads updated on 26/08/2022 Synergy Frames capacity reduced from 7.5kW to 6kW 
Reply:
    NFV Live load readings taken 10/10/2022 reserved updated 
Reply:
    NFV reserved loads updated on 29/12/2022 
Reply:
    NFV reserved loads reviewed 
Reply:
    NFV reserved loads updated 26/09/2023
Reply:
    NFV reserved loads reviewed 02/11/23
Reply:
    NFV reserved loads updated on 13th Dec 23
Reply:
    NFV reserved loads updated on 21st Dec 
Reply:
    NFV reserved loads updated on 20th Feb 
Reply:
    NFV reserved figures updated for C7000 chassis 3.5kW and Synergy Frames 5kW.  Live and reserved figures updated 
Reply:
    NFV reserved loads updated on 18th July 24.  Add POD 301 - 303 
</t>
      </text>
    </comment>
    <comment ref="AH33" authorId="21" shapeId="0" xr:uid="{FF36BC08-F263-45A5-B125-29031C5E098F}">
      <text>
        <r>
          <rPr>
            <b/>
            <sz val="9"/>
            <color indexed="81"/>
            <rFont val="Tahoma"/>
            <charset val="1"/>
          </rPr>
          <t>Allaister Pollock, Vodafone:</t>
        </r>
        <r>
          <rPr>
            <sz val="9"/>
            <color indexed="81"/>
            <rFont val="Tahoma"/>
            <charset val="1"/>
          </rPr>
          <t xml:space="preserve">
24.5M </t>
        </r>
      </text>
    </comment>
    <comment ref="B37" authorId="22" shapeId="0" xr:uid="{F8859447-4AA6-4AA6-9237-D097A2A7BA63}">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7" authorId="23" shapeId="0" xr:uid="{9C0C933B-5892-4E89-83C3-3053DEFACB20}">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7" authorId="24" shapeId="0" xr:uid="{1B247681-1489-4279-9768-67975548BA2C}">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7" authorId="25" shapeId="0" xr:uid="{24FA21A6-9725-4535-9EBE-AAF4FEF4D90C}">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B38" authorId="26" shapeId="0" xr:uid="{16A29B51-7761-4F17-B0F8-CB02F2C77B12}">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8" authorId="27" shapeId="0" xr:uid="{60FE7808-1B9F-47BF-8792-17506A229644}">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8" authorId="28" shapeId="0" xr:uid="{3A69A087-CC66-4BFD-A315-707E9AF54407}">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8" authorId="29" shapeId="0" xr:uid="{C160DAEE-2E03-492F-917B-2CDAE9B2E5C2}">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AB39" authorId="30" shapeId="0" xr:uid="{D6673DC8-181F-45D5-B1A6-D7CAD2CCE7E9}">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 from 7.5kW to 6kW on 26/08/2022
Reply:
    NFV Load review undertook on 19th Dec 22
Reply:
    NFV Load review undertook on 20th Feb-23 
Reply:
    NFV Load review undertaken 
Reply:
    NFV loads review undertaken 
Reply:
    NFV reserved loads updated 11/12/23</t>
      </text>
    </comment>
    <comment ref="AE39" authorId="31" shapeId="0" xr:uid="{D486DC4F-8825-4C9D-BCAC-BD2DED496201}">
      <text>
        <t>[Threaded comment]
Your version of Excel allows you to read this threaded comment; however, any edits to it will get removed if the file is opened in a newer version of Excel. Learn more: https://go.microsoft.com/fwlink/?linkid=870924
Comment:
    45A allocated</t>
      </text>
    </comment>
    <comment ref="AE40" authorId="32" shapeId="0" xr:uid="{FB2FE5A4-EE63-43DB-A977-43AA111FF01D}">
      <text>
        <t>[Threaded comment]
Your version of Excel allows you to read this threaded comment; however, any edits to it will get removed if the file is opened in a newer version of Excel. Learn more: https://go.microsoft.com/fwlink/?linkid=870924
Comment:
    45A allocated</t>
      </text>
    </comment>
    <comment ref="H53" authorId="33" shapeId="0" xr:uid="{19E420AE-D884-4DC4-B2F7-B60A02D3E461}">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4" authorId="34" shapeId="0" xr:uid="{BEE38BF1-E739-42C8-8FAF-83B2C6F39430}">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5" authorId="35" shapeId="0" xr:uid="{336E5396-F129-4D17-A688-24AA24E228D7}">
      <text>
        <t>[Threaded comment]
Your version of Excel allows you to read this threaded comment; however, any edits to it will get removed if the file is opened in a newer version of Excel. Learn more: https://go.microsoft.com/fwlink/?linkid=870924
Comment:
    07/01/21 x24 removed for use at XEH</t>
      </text>
    </comment>
    <comment ref="V56" authorId="36" shapeId="0" xr:uid="{2C09372E-EFEF-41FF-B045-C83621F022D3}">
      <text>
        <t>[Threaded comment]
Your version of Excel allows you to read this threaded comment; however, any edits to it will get removed if the file is opened in a newer version of Excel. Learn more: https://go.microsoft.com/fwlink/?linkid=870924
Comment:
    20kW reduction to align with bldg capability (480kW reduced to 460kW)</t>
      </text>
    </comment>
    <comment ref="X56" authorId="37" shapeId="0" xr:uid="{EFD20F6D-C919-4B01-A68A-911BB3AA1D33}">
      <text>
        <t>[Threaded comment]
Your version of Excel allows you to read this threaded comment; however, any edits to it will get removed if the file is opened in a newer version of Excel. Learn more: https://go.microsoft.com/fwlink/?linkid=870924
Comment:
    Max tech load fig used (460kW) as lower than deployed usable capability (480kW)</t>
      </text>
    </comment>
    <comment ref="AB56" authorId="38" shapeId="0" xr:uid="{B11B1956-47AF-4136-8111-E865E900F5CB}">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26/7/2022
Reply:
    NFV Load review undertook on 19th Dec 
Reply:
    NFV load review undertaken on 27/02/2023
Reply:
    NFV Load review undertaken 
Reply:
    NFV reserved load reading undertaken 25/07/2023
Reply:
    NFV reserved load review undertaken 
Reply:
    NFV Load review undertaken 11/12/23</t>
      </text>
    </comment>
    <comment ref="V59" authorId="39" shapeId="0" xr:uid="{43664F84-4782-441A-A5BE-14D5E8CEDA30}">
      <text>
        <t>[Threaded comment]
Your version of Excel allows you to read this threaded comment; however, any edits to it will get removed if the file is opened in a newer version of Excel. Learn more: https://go.microsoft.com/fwlink/?linkid=870924
Comment:
    Max usable tech load fig used as this is lower than the deployed capability</t>
      </text>
    </comment>
    <comment ref="AB64" authorId="40" shapeId="0" xr:uid="{4D35DD2B-128A-46B9-9733-D7C2F2C0A01C}">
      <text>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23/12/2022
Reply:
    NFV reserved loads updated on 23/12/2023
Reply:
    NFV reserved load figures updated on 23/08/2023.   DCSYS07a &amp; b include the TSR reserved figures </t>
      </text>
    </comment>
    <comment ref="AE64" authorId="41" shapeId="0" xr:uid="{FD787C72-1D54-44EF-BB28-B9FD81AF965B}">
      <text>
        <t>[Threaded comment]
Your version of Excel allows you to read this threaded comment; however, any edits to it will get removed if the file is opened in a newer version of Excel. Learn more: https://go.microsoft.com/fwlink/?linkid=870924
Comment:
    97A allocated. 05/6/24 41A increase</t>
      </text>
    </comment>
    <comment ref="AE65" authorId="42" shapeId="0" xr:uid="{3A36CD5C-1071-487F-94B1-D3612F352B62}">
      <text>
        <t>[Threaded comment]
Your version of Excel allows you to read this threaded comment; however, any edits to it will get removed if the file is opened in a newer version of Excel. Learn more: https://go.microsoft.com/fwlink/?linkid=870924
Comment:
    158A allocated. 05/6/24 90A increase</t>
      </text>
    </comment>
    <comment ref="AE66" authorId="43" shapeId="0" xr:uid="{5315F864-1D6B-49E8-9D1C-FE7C62C526AD}">
      <text>
        <t>[Threaded comment]
Your version of Excel allows you to read this threaded comment; however, any edits to it will get removed if the file is opened in a newer version of Excel. Learn more: https://go.microsoft.com/fwlink/?linkid=870924
Comment:
    184A allocated. 05/6/24 81A increase</t>
      </text>
    </comment>
    <comment ref="AE67" authorId="44" shapeId="0" xr:uid="{DD6D4718-5C87-4601-A02D-9C7E2834E959}">
      <text>
        <t>[Threaded comment]
Your version of Excel allows you to read this threaded comment; however, any edits to it will get removed if the file is opened in a newer version of Excel. Learn more: https://go.microsoft.com/fwlink/?linkid=870924
Comment:
    34A allocated. 05/6/24 22A increase</t>
      </text>
    </comment>
    <comment ref="AE68" authorId="45" shapeId="0" xr:uid="{DD0F928D-6986-4846-B520-9E13F8783817}">
      <text>
        <t>[Threaded comment]
Your version of Excel allows you to read this threaded comment; however, any edits to it will get removed if the file is opened in a newer version of Excel. Learn more: https://go.microsoft.com/fwlink/?linkid=870924
Comment:
    69A allocated. 05/6/24 32A increase</t>
      </text>
    </comment>
    <comment ref="AE69" authorId="46" shapeId="0" xr:uid="{79EA105A-3F0B-4C7D-9280-2D93369E4F91}">
      <text>
        <t>[Threaded comment]
Your version of Excel allows you to read this threaded comment; however, any edits to it will get removed if the file is opened in a newer version of Excel. Learn more: https://go.microsoft.com/fwlink/?linkid=870924
Comment:
    87A allocated. 05/6/24 49A increase</t>
      </text>
    </comment>
    <comment ref="D70" authorId="47" shapeId="0" xr:uid="{1EB78DE8-142E-4A45-BC61-C8CA60BE1A29}">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D71" authorId="48" shapeId="0" xr:uid="{D6671E55-F655-4CB4-B2E1-4203F4546716}">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AB73" authorId="49" shapeId="0" xr:uid="{AAE684FF-88D7-4FB4-8B2D-3C2CCD7B8038}">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reduced from 7.5kW to 6kW on 26/08/2022 
Reply:
    NFV reserved loads updated 29/12/2022 
Reply:
    NFV reserved loads updated 
Reply:
    NFV Load updated on 29th July 23
Reply:
    NFV live &amp; reserved loads updated 30/08/2023
Reply:
    NFV reserved loads updated 12/12/23</t>
      </text>
    </comment>
    <comment ref="H75" authorId="50" shapeId="0" xr:uid="{078554BB-06F0-4FD7-B1FB-B56359950BBD}">
      <text>
        <t>[Threaded comment]
Your version of Excel allows you to read this threaded comment; however, any edits to it will get removed if the file is opened in a newer version of Excel. Learn more: https://go.microsoft.com/fwlink/?linkid=870924
Comment:
    Number of modules reduced to 28 to  move capacity onto DCSYS07a &amp; b 
Reply:
    Following Eaton Upgrade revised rectifier count is 34</t>
      </text>
    </comment>
    <comment ref="AG76" authorId="51" shapeId="0" xr:uid="{8CC96BC0-48CE-4E0B-A2F3-85A53CF88090}">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AE77" authorId="52" shapeId="0" xr:uid="{CFD3DC83-8300-4537-8E4A-7F8C967A4029}">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W78" authorId="53" shapeId="0" xr:uid="{5F32A5FD-B316-48E2-A1F1-B88200B54B6D}">
      <text>
        <t>[Threaded comment]
Your version of Excel allows you to read this threaded comment; however, any edits to it will get removed if the file is opened in a newer version of Excel. Learn more: https://go.microsoft.com/fwlink/?linkid=870924
Comment:
    Pending expansion of x5 rectifiers 
Reply:
    upgrade completed</t>
      </text>
    </comment>
    <comment ref="W79" authorId="54" shapeId="0" xr:uid="{3C730509-695D-4379-B16E-A09D87378E61}">
      <text>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t>
      </text>
    </comment>
    <comment ref="AE80" authorId="55" shapeId="0" xr:uid="{B846BBE4-1E39-4929-9DEA-A21BB142C6C9}">
      <text>
        <t>[Threaded comment]
Your version of Excel allows you to read this threaded comment; however, any edits to it will get removed if the file is opened in a newer version of Excel. Learn more: https://go.microsoft.com/fwlink/?linkid=870924
Comment:
    70A allocated. 28/5/24 29A increase</t>
      </text>
    </comment>
    <comment ref="AE81" authorId="56" shapeId="0" xr:uid="{E9BECDF9-9F36-4BE3-986E-193620E89391}">
      <text>
        <t>[Threaded comment]
Your version of Excel allows you to read this threaded comment; however, any edits to it will get removed if the file is opened in a newer version of Excel. Learn more: https://go.microsoft.com/fwlink/?linkid=870924
Comment:
    70A allocated. 28/5/24 38A increase</t>
      </text>
    </comment>
    <comment ref="AD86" authorId="57" shapeId="0" xr:uid="{C686C913-ACB7-4203-95BA-A54F4C9435BD}">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87" authorId="58" shapeId="0" xr:uid="{856E799D-704B-41C0-AD44-03DA8786C92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E94" authorId="59" shapeId="0" xr:uid="{6625460F-3136-45B4-895B-26DD59C4F39C}">
      <text>
        <t>[Threaded comment]
Your version of Excel allows you to read this threaded comment; however, any edits to it will get removed if the file is opened in a newer version of Excel. Learn more: https://go.microsoft.com/fwlink/?linkid=870924
Comment:
    65A allocated</t>
      </text>
    </comment>
    <comment ref="AE95" authorId="60" shapeId="0" xr:uid="{7ECF5251-5CBD-431A-B6E2-03DC8D416063}">
      <text>
        <t>[Threaded comment]
Your version of Excel allows you to read this threaded comment; however, any edits to it will get removed if the file is opened in a newer version of Excel. Learn more: https://go.microsoft.com/fwlink/?linkid=870924
Comment:
    65A allocated</t>
      </text>
    </comment>
    <comment ref="B96" authorId="61" shapeId="0" xr:uid="{1B8C3581-2C70-4679-9C29-856B8063E37A}">
      <text>
        <t>[Threaded comment]
Your version of Excel allows you to read this threaded comment; however, any edits to it will get removed if the file is opened in a newer version of Excel. Learn more: https://go.microsoft.com/fwlink/?linkid=870924
Comment:
    85A increase on 19/08/22. Likely to be Redstream Evo RA, though no increase on PEDCF
05/9/22- 48A decrease
12/09/22- 26A decrease
26/09/22- 33A increase
03/10/22- 16A decrease
17/10/22- 24A increase
12/12/22- 100A decrease</t>
      </text>
    </comment>
    <comment ref="AG99" authorId="62" shapeId="0" xr:uid="{C43461D2-979D-40E4-8899-E23853BEBF24}">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AI99" authorId="63" shapeId="0" xr:uid="{D2B177A8-90C9-49F9-A976-48325EC4AB6E}">
      <text>
        <t xml:space="preserve">[Threaded comment]
Your version of Excel allows you to read this threaded comment; however, any edits to it will get removed if the file is opened in a newer version of Excel. Learn more: https://go.microsoft.com/fwlink/?linkid=870924
Comment:
    Reduced to 13A after M-CE upgrade completed </t>
      </text>
    </comment>
    <comment ref="AG100" authorId="64" shapeId="0" xr:uid="{2016F649-069E-4BE2-A35B-0504DE030E87}">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D109" authorId="65" shapeId="0" xr:uid="{39FE0E1F-8987-440E-98AD-703FDD8FE0F3}">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22/7/24</t>
      </text>
    </comment>
    <comment ref="E109" authorId="66" shapeId="0" xr:uid="{3D93C4B2-5336-4905-B7EC-35FEB1E0C0EB}">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22/7/24</t>
      </text>
    </comment>
    <comment ref="D112" authorId="67" shapeId="0" xr:uid="{7B4FFD23-84BD-4F82-AC7A-8EF60736DE2D}">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E112" authorId="68" shapeId="0" xr:uid="{8F350B2B-D26B-4547-B86B-F283D1A35326}">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AD112" authorId="69" shapeId="0" xr:uid="{EA33B4D4-CE42-4ADF-AAB5-C0B8DF787AD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113" authorId="70" shapeId="0" xr:uid="{CC143250-2CFD-45D2-B092-344A5CA91C98}">
      <text>
        <t>[Threaded comment]
Your version of Excel allows you to read this threaded comment; however, any edits to it will get removed if the file is opened in a newer version of Excel. Learn more: https://go.microsoft.com/fwlink/?linkid=870924
Comment:
    No kit in cabs yet</t>
      </text>
    </comment>
    <comment ref="B133" authorId="71" shapeId="0" xr:uid="{E7E150BA-B760-48E1-8D30-6A5829AB2085}">
      <text>
        <t xml:space="preserve">[Threaded comment]
Your version of Excel allows you to read this threaded comment; however, any edits to it will get removed if the file is opened in a newer version of Excel. Learn more: https://go.microsoft.com/fwlink/?linkid=870924
Comment:
    XCY currently manually added as 42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tc={3128CC90-9AC3-4779-88CC-8EB09B67ABB2}</author>
    <author>tc={0D3D5D95-95B3-4033-BA30-9A35F1E4F00D}</author>
    <author>tc={2F1AFB8F-0E22-4FE7-80DC-6FEABDBE522F}</author>
    <author>tc={0E73A71C-C1A2-47B4-BCEE-B902E5BF8E4D}</author>
    <author>tc={D25619FA-6E1D-470A-8B2C-742747E2B0BA}</author>
    <author>tc={3D78C261-D0C9-4CBD-9CB4-983F0BAF814F}</author>
    <author>tc={EFC44177-A6C0-4FE9-AC17-BB660BD056DC}</author>
    <author>tc={12091D0C-42C6-4C50-BA09-48100E9988CB}</author>
    <author>tc={396EA0A4-261A-4021-A24E-19D6610B92D1}</author>
    <author>tc={BA9B4F02-CE40-4B62-93F2-57DD62243B50}</author>
    <author>tc={EBF32E5C-E253-448F-9D8F-79EA1E4A7000}</author>
    <author>tc={AC5AD687-0B2D-48C3-B906-35AC5933F5A4}</author>
    <author>tc={C1AC5E86-B67A-4C21-AC64-11ECFC225A2B}</author>
    <author>tc={1E10E234-72D3-4A9E-82F6-A1B8D939B48D}</author>
    <author>tc={7C218501-A518-4987-BCE4-7E4D722115CC}</author>
    <author>tc={54733D5A-BDCB-4510-A5F3-F2FB48E6201E}</author>
    <author>tc={8A094481-666A-4883-86AB-6AEA22058F72}</author>
  </authors>
  <commentList>
    <comment ref="X1" authorId="0" shapeId="0" xr:uid="{3128CC90-9AC3-4779-88CC-8EB09B67ABB2}">
      <text>
        <t>[Threaded comment]
Your version of Excel allows you to read this threaded comment; however, any edits to it will get removed if the file is opened in a newer version of Excel. Learn more: https://go.microsoft.com/fwlink/?linkid=870924
Comment:
    Value (W)/54.5/No of plants feeding AC plant then add 10% for losses</t>
      </text>
    </comment>
    <comment ref="P2" authorId="1" shapeId="0" xr:uid="{0D3D5D95-95B3-4033-BA30-9A35F1E4F00D}">
      <text>
        <t>[Threaded comment]
Your version of Excel allows you to read this threaded comment; however, any edits to it will get removed if the file is opened in a newer version of Excel. Learn more: https://go.microsoft.com/fwlink/?linkid=870924
Comment:
    Security Cage</t>
      </text>
    </comment>
    <comment ref="B20" authorId="2" shapeId="0" xr:uid="{2F1AFB8F-0E22-4FE7-80DC-6FEABDBE522F}">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0" authorId="3" shapeId="0" xr:uid="{0E73A71C-C1A2-47B4-BCEE-B902E5BF8E4D}">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B21" authorId="4" shapeId="0" xr:uid="{D25619FA-6E1D-470A-8B2C-742747E2B0BA}">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1" authorId="5" shapeId="0" xr:uid="{3D78C261-D0C9-4CBD-9CB4-983F0BAF814F}">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K28" authorId="6" shapeId="0" xr:uid="{EFC44177-A6C0-4FE9-AC17-BB660BD056DC}">
      <text>
        <t>[Threaded comment]
Your version of Excel allows you to read this threaded comment; however, any edits to it will get removed if the file is opened in a newer version of Excel. Learn more: https://go.microsoft.com/fwlink/?linkid=870924
Comment:
    Load from AxScada</t>
      </text>
    </comment>
    <comment ref="K29" authorId="7" shapeId="0" xr:uid="{12091D0C-42C6-4C50-BA09-48100E9988CB}">
      <text>
        <t>[Threaded comment]
Your version of Excel allows you to read this threaded comment; however, any edits to it will get removed if the file is opened in a newer version of Excel. Learn more: https://go.microsoft.com/fwlink/?linkid=870924
Comment:
    Load from AxScada</t>
      </text>
    </comment>
    <comment ref="D30" authorId="8" shapeId="0" xr:uid="{396EA0A4-261A-4021-A24E-19D6610B92D1}">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D31" authorId="9" shapeId="0" xr:uid="{BA9B4F02-CE40-4B62-93F2-57DD62243B50}">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B52" authorId="10" shapeId="0" xr:uid="{EBF32E5C-E253-448F-9D8F-79EA1E4A7000}">
      <text>
        <t>[Threaded comment]
Your version of Excel allows you to read this threaded comment; however, any edits to it will get removed if the file is opened in a newer version of Excel. Learn more: https://go.microsoft.com/fwlink/?linkid=870924
Comment:
    Max load on PDU 75kW/ 94kVA, max 130A per phase,</t>
      </text>
    </comment>
    <comment ref="D52" authorId="11" shapeId="0" xr:uid="{AC5AD687-0B2D-48C3-B906-35AC5933F5A4}">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E52" authorId="12" shapeId="0" xr:uid="{C1AC5E86-B67A-4C21-AC64-11ECFC225A2B}">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F52" authorId="13" shapeId="0" xr:uid="{1E10E234-72D3-4A9E-82F6-A1B8D939B48D}">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M52" authorId="14" shapeId="0" xr:uid="{7C218501-A518-4987-BCE4-7E4D722115CC}">
      <text>
        <t xml:space="preserve">[Threaded comment]
Your version of Excel allows you to read this threaded comment; however, any edits to it will get removed if the file is opened in a newer version of Excel. Learn more: https://go.microsoft.com/fwlink/?linkid=870924
Comment:
    Refer to AxScada
</t>
      </text>
    </comment>
    <comment ref="C62" authorId="15" shapeId="0" xr:uid="{54733D5A-BDCB-4510-A5F3-F2FB48E6201E}">
      <text>
        <t>[Threaded comment]
Your version of Excel allows you to read this threaded comment; however, any edits to it will get removed if the file is opened in a newer version of Excel. Learn more: https://go.microsoft.com/fwlink/?linkid=870924
Comment:
    Security cage has max allocatoin of 20kW. 
11/12/17 Cage has 16kW remaining</t>
      </text>
    </comment>
    <comment ref="D112" authorId="16" shapeId="0" xr:uid="{8A094481-666A-4883-86AB-6AEA22058F72}">
      <text>
        <t>[Threaded comment]
Your version of Excel allows you to read this threaded comment; however, any edits to it will get removed if the file is opened in a newer version of Excel. Learn more: https://go.microsoft.com/fwlink/?linkid=870924
Comment:
    (130A per phase) Max 75kW on PDU
https://axscada.ad.plc.cwintra.com/login pmc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Lee, Rich</author>
    <author>Lee, Richard.X, Vodafone</author>
    <author>tc={658D8832-E490-4308-A5C0-2275E1E98D40}</author>
    <author>tc={24F6E1D4-DBF6-4C78-B110-A5AB764F9AD1}</author>
    <author>tc={FECD739F-7180-46E8-90E0-D75CED46DE85}</author>
  </authors>
  <commentList>
    <comment ref="F10" authorId="0" shapeId="0" xr:uid="{475F3F69-6A8D-4FCC-8027-4A71319DD2D8}">
      <text>
        <r>
          <rPr>
            <b/>
            <sz val="9"/>
            <color indexed="81"/>
            <rFont val="Tahoma"/>
            <family val="2"/>
          </rPr>
          <t>Lee, Rich:</t>
        </r>
        <r>
          <rPr>
            <sz val="9"/>
            <color indexed="81"/>
            <rFont val="Tahoma"/>
            <family val="2"/>
          </rPr>
          <t xml:space="preserve">
Use 6% figure to ensure total adds to 100% as current utilisation is 94%
</t>
        </r>
      </text>
    </comment>
    <comment ref="K10" authorId="0" shapeId="0" xr:uid="{32B48EC5-D1CD-4DD0-90D2-7178C8DBAF38}">
      <text>
        <r>
          <rPr>
            <b/>
            <sz val="9"/>
            <color indexed="81"/>
            <rFont val="Tahoma"/>
            <family val="2"/>
          </rPr>
          <t>Lee, Rich:</t>
        </r>
        <r>
          <rPr>
            <sz val="9"/>
            <color indexed="81"/>
            <rFont val="Tahoma"/>
            <family val="2"/>
          </rPr>
          <t xml:space="preserve">
This is remaining capacity based on 94% utilisation as we have exceeded 90% capacity management limit</t>
        </r>
      </text>
    </comment>
    <comment ref="D13" authorId="1" shapeId="0" xr:uid="{B6B59B31-036C-44F7-B049-6D4F909FA32C}">
      <text>
        <r>
          <rPr>
            <sz val="8"/>
            <rFont val="Arial"/>
            <family val="2"/>
          </rPr>
          <t xml:space="preserve">Lee, Richard.X, Vodafone:
Combined AC &amp; DC total
DC = 190kW (80% of N)
AC = 310kW
AP 
AC only figures 345kW
</t>
        </r>
      </text>
    </comment>
    <comment ref="G13" authorId="2" shapeId="0" xr:uid="{658D8832-E490-4308-A5C0-2275E1E98D40}">
      <text>
        <t xml:space="preserve">[Threaded comment]
Your version of Excel allows you to read this threaded comment; however, any edits to it will get removed if the file is opened in a newer version of Excel. Learn more: https://go.microsoft.com/fwlink/?linkid=870924
Comment:
    Note this figure taken from iPDU sheets not true running loads but are forecast loads . 160 running load is the 221kW less 61kW Reserved </t>
      </text>
    </comment>
    <comment ref="H13" authorId="3" shapeId="0" xr:uid="{24F6E1D4-DBF6-4C78-B110-A5AB764F9AD1}">
      <text>
        <t xml:space="preserve">[Threaded comment]
Your version of Excel allows you to read this threaded comment; however, any edits to it will get removed if the file is opened in a newer version of Excel. Learn more: https://go.microsoft.com/fwlink/?linkid=870924
Comment:
    The Reserved figures is based on the live figures from the NFV Ops team </t>
      </text>
    </comment>
    <comment ref="R13" authorId="4" shapeId="0" xr:uid="{FECD739F-7180-46E8-90E0-D75CED46DE85}">
      <text>
        <t xml:space="preserve">[Threaded comment]
Your version of Excel allows you to read this threaded comment; however, any edits to it will get removed if the file is opened in a newer version of Excel. Learn more: https://go.microsoft.com/fwlink/?linkid=870924
Comment:
    Should this not be 90% for the AC in BKLN05?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tc={70A9B99F-7015-445F-9C56-1CA2527A00B5}</author>
    <author>tc={F2D34359-723C-4459-8D1A-BAC37A0E4353}</author>
    <author>tc={21E86459-B018-4876-8880-9A257C155443}</author>
    <author>tc={E733F22B-3C16-485A-ACE5-3D298FDA9346}</author>
    <author>tc={0306553E-DBF2-4100-A2C3-CD678BCB3FD5}</author>
    <author>tc={23A3E0FB-B3B7-49C6-B4C5-AC84C1897F75}</author>
    <author>tc={3F50C7C3-DA93-41AE-97F6-4D93F7E96D01}</author>
    <author>tc={9E934B6B-F1DC-4A01-B66A-0B4C8ED8ADF3}</author>
    <author>tc={BF3846B0-4800-4F2E-A29F-2BD464CD40E5}</author>
    <author>tc={B67DB61F-C9FA-4937-86C9-1165D7E2F800}</author>
    <author>tc={AC7EF483-E598-4498-8067-0633DA997477}</author>
    <author>tc={7D6C2CA1-EC8B-4E1B-92A5-7F3A40C3E549}</author>
    <author>tc={9A2702D3-7B46-4FFA-BA7D-B825CFD584AF}</author>
    <author>tc={014D749D-0601-4F46-8E56-51326AB2B704}</author>
    <author>tc={878F0D92-3E99-4FBF-8FC3-FB45FC2C1C74}</author>
    <author>tc={CD34E952-E5D7-4BEB-BE86-716A55B720B3}</author>
    <author>tc={A2A909BA-E663-4638-B7D2-44EE78305791}</author>
    <author>tc={98B17BCE-AC73-4889-BD36-F7F7F84B226F}</author>
    <author>tc={BA72F4BA-159A-4E57-8A72-9FB97AEBE627}</author>
    <author>tc={5DE2416C-750A-4334-A597-6A2147E6A45D}</author>
    <author>tc={7D7D05E8-014F-4621-BE94-0F03F63C27E5}</author>
    <author>tc={2B4490C1-B9C4-48C9-8300-926BC65D2954}</author>
    <author>tc={FB707332-0C38-4557-8306-72ADCCE5BC78}</author>
    <author>tc={6B3845D7-B3C6-449C-9240-0DB8751DF7D7}</author>
    <author>tc={F09865DB-9C5B-44B9-80A7-32BBE2F86205}</author>
    <author>tc={1AB73024-FDA6-4CFF-9714-EF85F0646855}</author>
    <author>tc={39889C24-36F5-4764-917C-98D4489DF220}</author>
    <author>tc={C4CD9F3C-90A5-423F-8179-638637AD22BD}</author>
    <author>tc={BC2DB773-D665-46AE-9608-BDDB94EA651A}</author>
    <author>tc={3C58D041-526D-4543-AA11-A9752D1B1334}</author>
    <author>tc={8B1556D4-19B0-4193-9AF6-4A5EF49E32E0}</author>
    <author>tc={10732EAD-E866-4FC4-928F-EB39590F1697}</author>
  </authors>
  <commentList>
    <comment ref="B1" authorId="0" shapeId="0" xr:uid="{70A9B99F-7015-445F-9C56-1CA2527A00B5}">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D1" authorId="1" shapeId="0" xr:uid="{F2D34359-723C-4459-8D1A-BAC37A0E4353}">
      <text>
        <t>[Threaded comment]
Your version of Excel allows you to read this threaded comment; however, any edits to it will get removed if the file is opened in a newer version of Excel. Learn more: https://go.microsoft.com/fwlink/?linkid=870924
Comment:
    Inc HAC</t>
      </text>
    </comment>
    <comment ref="F1" authorId="2" shapeId="0" xr:uid="{21E86459-B018-4876-8880-9A257C155443}">
      <text>
        <t>[Threaded comment]
Your version of Excel allows you to read this threaded comment; however, any edits to it will get removed if the file is opened in a newer version of Excel. Learn more: https://go.microsoft.com/fwlink/?linkid=870924
Comment:
    Inc HAC</t>
      </text>
    </comment>
    <comment ref="B5" authorId="3" shapeId="0" xr:uid="{E733F22B-3C16-485A-ACE5-3D298FDA9346}">
      <text>
        <t>[Threaded comment]
Your version of Excel allows you to read this threaded comment; however, any edits to it will get removed if the file is opened in a newer version of Excel. Learn more: https://go.microsoft.com/fwlink/?linkid=870924
Comment:
    Vax Rm= 9m²</t>
      </text>
    </comment>
    <comment ref="B7" authorId="4" shapeId="0" xr:uid="{0306553E-DBF2-4100-A2C3-CD678BCB3FD5}">
      <text>
        <t>[Threaded comment]
Your version of Excel allows you to read this threaded comment; however, any edits to it will get removed if the file is opened in a newer version of Excel. Learn more: https://go.microsoft.com/fwlink/?linkid=870924
Comment:
    Sw Rm 2= 450m²</t>
      </text>
    </comment>
    <comment ref="B13" authorId="5" shapeId="0" xr:uid="{23A3E0FB-B3B7-49C6-B4C5-AC84C1897F75}">
      <text>
        <t>[Threaded comment]
Your version of Excel allows you to read this threaded comment; however, any edits to it will get removed if the file is opened in a newer version of Excel. Learn more: https://go.microsoft.com/fwlink/?linkid=870924
Comment:
    Sw Rm 2= 598m²</t>
      </text>
    </comment>
    <comment ref="J21" authorId="6" shapeId="0" xr:uid="{3F50C7C3-DA93-41AE-97F6-4D93F7E96D01}">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J32" authorId="7" shapeId="0" xr:uid="{9E934B6B-F1DC-4A01-B66A-0B4C8ED8ADF3}">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M36" authorId="8" shapeId="0" xr:uid="{BF3846B0-4800-4F2E-A29F-2BD464CD40E5}">
      <text>
        <t>[Threaded comment]
Your version of Excel allows you to read this threaded comment; however, any edits to it will get removed if the file is opened in a newer version of Excel. Learn more: https://go.microsoft.com/fwlink/?linkid=870924
Comment:
    Basement figs omitted</t>
      </text>
    </comment>
    <comment ref="B49" authorId="9" shapeId="0" xr:uid="{B67DB61F-C9FA-4937-86C9-1165D7E2F800}">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B50" authorId="10" shapeId="0" xr:uid="{AC7EF483-E598-4498-8067-0633DA997477}">
      <text>
        <t>[Threaded comment]
Your version of Excel allows you to read this threaded comment; however, any edits to it will get removed if the file is opened in a newer version of Excel. Learn more: https://go.microsoft.com/fwlink/?linkid=870924
Comment:
    Sw Rm 2=59m², Sw Rm 3=152m², Sw Rm 4=145m², Sw Rm 5= 18m²</t>
      </text>
    </comment>
    <comment ref="B51" authorId="11" shapeId="0" xr:uid="{7D6C2CA1-EC8B-4E1B-92A5-7F3A40C3E549}">
      <text>
        <t>[Threaded comment]
Your version of Excel allows you to read this threaded comment; however, any edits to it will get removed if the file is opened in a newer version of Excel. Learn more: https://go.microsoft.com/fwlink/?linkid=870924
Comment:
    Sw Rm2= 445m²</t>
      </text>
    </comment>
    <comment ref="B52" authorId="12" shapeId="0" xr:uid="{9A2702D3-7B46-4FFA-BA7D-B825CFD584AF}">
      <text>
        <t>[Threaded comment]
Your version of Excel allows you to read this threaded comment; however, any edits to it will get removed if the file is opened in a newer version of Excel. Learn more: https://go.microsoft.com/fwlink/?linkid=870924
Comment:
    Comms Rm= 22m²</t>
      </text>
    </comment>
    <comment ref="B53" authorId="13" shapeId="0" xr:uid="{014D749D-0601-4F46-8E56-51326AB2B704}">
      <text>
        <t>[Threaded comment]
Your version of Excel allows you to read this threaded comment; however, any edits to it will get removed if the file is opened in a newer version of Excel. Learn more: https://go.microsoft.com/fwlink/?linkid=870924
Comment:
    Comms Rm=26m²</t>
      </text>
    </comment>
    <comment ref="B54" authorId="14" shapeId="0" xr:uid="{878F0D92-3E99-4FBF-8FC3-FB45FC2C1C74}">
      <text>
        <t>[Threaded comment]
Your version of Excel allows you to read this threaded comment; however, any edits to it will get removed if the file is opened in a newer version of Excel. Learn more: https://go.microsoft.com/fwlink/?linkid=870924
Comment:
    Sw Rm 2= 16m²</t>
      </text>
    </comment>
    <comment ref="B55" authorId="15" shapeId="0" xr:uid="{CD34E952-E5D7-4BEB-BE86-716A55B720B3}">
      <text>
        <t>[Threaded comment]
Your version of Excel allows you to read this threaded comment; however, any edits to it will get removed if the file is opened in a newer version of Excel. Learn more: https://go.microsoft.com/fwlink/?linkid=870924
Comment:
    Sw Rm 2= 181m²</t>
      </text>
    </comment>
    <comment ref="B56" authorId="16" shapeId="0" xr:uid="{A2A909BA-E663-4638-B7D2-44EE78305791}">
      <text>
        <t>[Threaded comment]
Your version of Excel allows you to read this threaded comment; however, any edits to it will get removed if the file is opened in a newer version of Excel. Learn more: https://go.microsoft.com/fwlink/?linkid=870924
Comment:
    Sw Rm 3= 328m²</t>
      </text>
    </comment>
    <comment ref="B58" authorId="17" shapeId="0" xr:uid="{98B17BCE-AC73-4889-BD36-F7F7F84B226F}">
      <text>
        <t>[Threaded comment]
Your version of Excel allows you to read this threaded comment; however, any edits to it will get removed if the file is opened in a newer version of Excel. Learn more: https://go.microsoft.com/fwlink/?linkid=870924
Comment:
    Sw Rm 2= 159m²</t>
      </text>
    </comment>
    <comment ref="B61" authorId="18" shapeId="0" xr:uid="{BA72F4BA-159A-4E57-8A72-9FB97AEBE627}">
      <text>
        <t>[Threaded comment]
Your version of Excel allows you to read this threaded comment; however, any edits to it will get removed if the file is opened in a newer version of Excel. Learn more: https://go.microsoft.com/fwlink/?linkid=870924
Comment:
    Sw Rm B= 150m²</t>
      </text>
    </comment>
    <comment ref="C93" authorId="19" shapeId="0" xr:uid="{5DE2416C-750A-4334-A597-6A2147E6A45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E93" authorId="20" shapeId="0" xr:uid="{7D7D05E8-014F-4621-BE94-0F03F63C27E5}">
      <text>
        <t>[Threaded comment]
Your version of Excel allows you to read this threaded comment; however, any edits to it will get removed if the file is opened in a newer version of Excel. Learn more: https://go.microsoft.com/fwlink/?linkid=870924
Comment:
    number of cabs multiplied by average 0.8m2 per cab</t>
      </text>
    </comment>
    <comment ref="G93" authorId="21" shapeId="0" xr:uid="{2B4490C1-B9C4-48C9-8300-926BC65D2954}">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H93" authorId="22" shapeId="0" xr:uid="{FB707332-0C38-4557-8306-72ADCCE5BC78}">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  To be done for April report</t>
      </text>
    </comment>
    <comment ref="B94" authorId="23" shapeId="0" xr:uid="{6B3845D7-B3C6-449C-9240-0DB8751DF7D7}">
      <text>
        <t>[Threaded comment]
Your version of Excel allows you to read this threaded comment; however, any edits to it will get removed if the file is opened in a newer version of Excel. Learn more: https://go.microsoft.com/fwlink/?linkid=870924
Comment:
    F=20
H=0</t>
      </text>
    </comment>
    <comment ref="B95" authorId="24" shapeId="0" xr:uid="{F09865DB-9C5B-44B9-80A7-32BBE2F86205}">
      <text>
        <t xml:space="preserve">[Threaded comment]
Your version of Excel allows you to read this threaded comment; however, any edits to it will get removed if the file is opened in a newer version of Excel. Learn more: https://go.microsoft.com/fwlink/?linkid=870924
Comment:
    F=10
H=8
</t>
      </text>
    </comment>
    <comment ref="B96" authorId="25" shapeId="0" xr:uid="{1AB73024-FDA6-4CFF-9714-EF85F0646855}">
      <text>
        <t>[Threaded comment]
Your version of Excel allows you to read this threaded comment; however, any edits to it will get removed if the file is opened in a newer version of Excel. Learn more: https://go.microsoft.com/fwlink/?linkid=870924
Comment:
    F=5
H=7</t>
      </text>
    </comment>
    <comment ref="B97" authorId="26" shapeId="0" xr:uid="{39889C24-36F5-4764-917C-98D4489DF220}">
      <text>
        <t>[Threaded comment]
Your version of Excel allows you to read this threaded comment; however, any edits to it will get removed if the file is opened in a newer version of Excel. Learn more: https://go.microsoft.com/fwlink/?linkid=870924
Comment:
    F=16
H=1</t>
      </text>
    </comment>
    <comment ref="B98" authorId="27" shapeId="0" xr:uid="{C4CD9F3C-90A5-423F-8179-638637AD22B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98" authorId="28" shapeId="0" xr:uid="{BC2DB773-D665-46AE-9608-BDDB94EA651A}">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E98" authorId="29" shapeId="0" xr:uid="{3C58D041-526D-4543-AA11-A9752D1B1334}">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t>
      </text>
    </comment>
    <comment ref="B105" authorId="30" shapeId="0" xr:uid="{8B1556D4-19B0-4193-9AF6-4A5EF49E32E0}">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105" authorId="31" shapeId="0" xr:uid="{10732EAD-E866-4FC4-928F-EB39590F1697}">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tc={4685E38E-5C26-41A3-B52F-5C93672AEE7D}</author>
    <author>tc={5DCA1E5D-C795-4F26-8D6A-0F1E16E5B4C0}</author>
    <author>tc={29969460-9525-A040-99FA-B28BD18A14D8}</author>
    <author>tc={45949F55-1DAD-4F20-B97B-22C762394451}</author>
    <author>tc={C8F34929-DADF-4B41-9316-CE8D0459CD0B}</author>
  </authors>
  <commentList>
    <comment ref="F8" authorId="0" shapeId="0" xr:uid="{4685E38E-5C26-41A3-B52F-5C93672AEE7D}">
      <text>
        <t>[Threaded comment]
Your version of Excel allows you to read this threaded comment; however, any edits to it will get removed if the file is opened in a newer version of Excel. Learn more: https://go.microsoft.com/fwlink/?linkid=870924
Comment:
    update to 465 from 300 after tactical upgrade</t>
      </text>
    </comment>
    <comment ref="F9" authorId="1" shapeId="0" xr:uid="{5DCA1E5D-C795-4F26-8D6A-0F1E16E5B4C0}">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480 to 462 to reflect actual capacity post upgrade</t>
      </text>
    </comment>
    <comment ref="F11" authorId="2" shapeId="0" xr:uid="{29969460-9525-A040-99FA-B28BD18A14D8}">
      <text>
        <t>[Threaded comment]
Your version of Excel allows you to read this threaded comment; however, any edits to it will get removed if the file is opened in a newer version of Excel. Learn more: https://go.microsoft.com/fwlink/?linkid=870924
Comment:
    Reduced for 478kW to 460kW based on revised tactical figures</t>
      </text>
    </comment>
    <comment ref="F12" authorId="3" shapeId="0" xr:uid="{45949F55-1DAD-4F20-B97B-22C762394451}">
      <text>
        <t>[Threaded comment]
Your version of Excel allows you to read this threaded comment; however, any edits to it will get removed if the file is opened in a newer version of Excel. Learn more: https://go.microsoft.com/fwlink/?linkid=870924
Comment:
    Increased from 407kW May 21
Reply:
    Updated to 481kW to 480kW</t>
      </text>
    </comment>
    <comment ref="F13" authorId="4" shapeId="0" xr:uid="{C8F34929-DADF-4B41-9316-CE8D0459CD0B}">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473 to 468 to reflect actual capacity post upgrade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tc={5A662948-2B62-4C10-AC2B-1BA1F18B35FE}</author>
    <author>tc={D83C5F4B-F536-4650-857B-EB7F445A8F99}</author>
    <author>tc={B3FD0EA4-2532-436F-9E04-055D1A86A5A7}</author>
    <author>tc={B1AEB70D-B9E9-410E-B0B8-6239877F6544}</author>
    <author>tc={3C1DAD60-39DA-4D2F-B45D-324BA43DDFAC}</author>
    <author>tc={D5B9A91A-1A26-48D1-BEEF-5333E4B7460B}</author>
    <author>tc={4FED0C80-BC61-40CF-8962-65BD98030C3C}</author>
    <author>tc={B2BECC07-C043-42E3-93DC-7DF070F18027}</author>
    <author>tc={70B6A88E-D687-4309-8199-CA1A9EC96F21}</author>
    <author>tc={B6C82E95-B66A-4CBC-A9E6-DAA2B5123E2F}</author>
    <author>tc={8033D3D1-2D70-47FF-BA3F-57C3EE827A54}</author>
    <author>tc={6B0AA231-AB18-4DCA-9891-4F738BAEB27A}</author>
    <author>tc={05F53E69-EA95-47DF-A5F0-DB8EA387A0E1}</author>
    <author>tc={F326492E-D904-4FEF-A04A-81C33920CD8B}</author>
    <author>tc={D53BD43A-196F-440C-84AC-244F8200F21B}</author>
    <author>tc={AF65D181-1845-42C0-870E-119DBDFAE246}</author>
    <author>tc={8AD7241C-CE4E-49AA-8DB8-0F5D59FAF173}</author>
    <author>tc={A134F7C7-0788-4780-8C89-3AC68F5AF3A6}</author>
    <author>tc={9DF3675F-9C34-41EE-89A4-D0B25EA295B1}</author>
    <author>tc={BF0E26FD-356A-4680-8654-DB88EA223DAC}</author>
    <author>tc={D309D111-B686-4314-81FE-8AF01246B1A9}</author>
    <author>tc={5758691E-3D8A-40D6-A956-3D6A417E272B}</author>
    <author>tc={404D9240-FA39-4F84-A812-A15923CABFCB}</author>
    <author>tc={497BDEA4-AD02-49A3-A31F-B37D939DE2A3}</author>
    <author>tc={7E40EB83-EC40-483F-8BDD-CAA4D6DF36DC}</author>
    <author>tc={B0EBC8A2-15DE-4EB0-95AC-2A24E329E509}</author>
    <author>tc={39AD9EC5-3C29-4A9A-AFE7-4C0E98CD6D2E}</author>
    <author>tc={7CF9619D-0AF1-42A9-892C-82CC53CBD06C}</author>
    <author>tc={355DBF94-7A42-42F8-833F-A9999A151942}</author>
    <author>tc={D6121A3D-7329-4C76-A2C1-F2AD1AB1EECD}</author>
    <author>tc={A3C0D69B-E60A-43F1-AC1E-0A2B01B60092}</author>
    <author>tc={0FA5F5F1-ECC5-416E-8C23-3FCFFF89FE50}</author>
    <author>tc={C0AAC8CF-185F-4D85-A33F-2DC7B830853D}</author>
    <author>tc={507EA7AF-2077-4C8D-A11F-D3606EB263B0}</author>
    <author>tc={7B74B866-E230-43C2-8611-E9F6A5F08287}</author>
    <author>tc={4157D5EA-8C7F-4420-A964-317B41CD97D2}</author>
    <author>tc={8FC1F881-D213-4A7B-9032-F6F31F35CCCA}</author>
    <author>tc={673EA18B-777E-4504-94D3-8CD1CDD008D8}</author>
    <author>tc={D535D790-B66A-437F-9791-0FADBE459C65}</author>
    <author>tc={44BEA983-0959-4273-88C5-473B56E7D837}</author>
    <author>tc={BD5565D9-0E69-474F-B23B-70D9820BD55D}</author>
    <author>tc={FDA2F383-4F39-4256-8CB2-1B2BC8D8D98B}</author>
    <author>tc={3641F859-71BB-4521-92EE-6AD9AF69DE30}</author>
    <author>tc={EFBD4339-5C6F-4B3E-8F2D-D35CA5A50FCB}</author>
    <author>tc={F31C47DD-C206-45DA-AD32-AA87653806CF}</author>
    <author>tc={23BCA1C2-47EA-4D2E-A82D-7157CE6517AD}</author>
    <author>tc={8BAC345D-533F-4BE9-9CA8-886EB7577287}</author>
    <author>tc={D6C969B2-A2CC-4016-A6E3-3753DFC2519D}</author>
    <author>tc={60121BE1-42E9-4918-998F-E6040681221C}</author>
    <author>tc={018556B1-0AD7-47FF-B860-22C5B1ADB4E1}</author>
    <author>tc={B891BF97-F17A-431C-A7A3-B3D544DDDF7B}</author>
    <author>tc={C116E032-05AE-4536-9EAB-4524DCE0480B}</author>
    <author>tc={F0CAF06D-99BB-41AD-933C-DF9A47945116}</author>
    <author>tc={D6207AD5-CEC1-444E-B85B-9D9C4D3C04CA}</author>
    <author>tc={9B89B4A7-0052-4278-9E36-ECA67BE3ED4F}</author>
    <author>tc={69195778-6B67-4B81-B1F2-80A40D4FFD68}</author>
    <author>tc={617538B4-912E-4829-B907-F19A8080E0F9}</author>
    <author>tc={EF9123EF-286F-4F75-A45D-7043FA85D622}</author>
    <author>tc={0BB29EFD-C36E-49D0-8630-1BD1F127606C}</author>
    <author>tc={786DB729-34A0-419D-84AA-AFEF5D12C8BF}</author>
    <author>tc={6FC08B0E-6F55-4A75-BDDE-0F3DE5759BA9}</author>
    <author>tc={7A6E4966-3917-4A91-9236-4AE072AB84C8}</author>
    <author>tc={20F7E3F3-75A1-714B-BE64-BAB01E8C6937}</author>
  </authors>
  <commentList>
    <comment ref="P7" authorId="0" shapeId="0" xr:uid="{5A662948-2B62-4C10-AC2B-1BA1F18B35FE}">
      <text>
        <t>[Threaded comment]
Your version of Excel allows you to read this threaded comment; however, any edits to it will get removed if the file is opened in a newer version of Excel. Learn more: https://go.microsoft.com/fwlink/?linkid=870924
Comment:
    SBS XL 170F-FT = High Temp
6V165/6 = Standard</t>
      </text>
    </comment>
    <comment ref="E8" authorId="1" shapeId="0" xr:uid="{D83C5F4B-F536-4650-857B-EB7F445A8F9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 authorId="2" shapeId="0" xr:uid="{B3FD0EA4-2532-436F-9E04-055D1A86A5A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0" authorId="3" shapeId="0" xr:uid="{B1AEB70D-B9E9-410E-B0B8-6239877F654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 authorId="4" shapeId="0" xr:uid="{3C1DAD60-39DA-4D2F-B45D-324BA43DDF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2" authorId="5" shapeId="0" xr:uid="{D5B9A91A-1A26-48D1-BEEF-5333E4B7460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1" authorId="6" shapeId="0" xr:uid="{4FED0C80-BC61-40CF-8962-65BD98030C3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2" authorId="7" shapeId="0" xr:uid="{B2BECC07-C043-42E3-93DC-7DF070F1802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3" authorId="8" shapeId="0" xr:uid="{70B6A88E-D687-4309-8199-CA1A9EC96F2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4" authorId="9" shapeId="0" xr:uid="{B6C82E95-B66A-4CBC-A9E6-DAA2B5123E2F}">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5" authorId="10" shapeId="0" xr:uid="{8033D3D1-2D70-47FF-BA3F-57C3EE827A5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6" authorId="11" shapeId="0" xr:uid="{6B0AA231-AB18-4DCA-9891-4F738BAEB27A}">
      <text>
        <t>[Threaded comment]
Your version of Excel allows you to read this threaded comment; however, any edits to it will get removed if the file is opened in a newer version of Excel. Learn more: https://go.microsoft.com/fwlink/?linkid=870924
Comment:
    SBS XL170-FT Deployed</t>
      </text>
    </comment>
    <comment ref="E27" authorId="12" shapeId="0" xr:uid="{05F53E69-EA95-47DF-A5F0-DB8EA387A0E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8" authorId="13" shapeId="0" xr:uid="{F326492E-D904-4FEF-A04A-81C33920CD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9" authorId="14" shapeId="0" xr:uid="{D53BD43A-196F-440C-84AC-244F8200F21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0" authorId="15" shapeId="0" xr:uid="{AF65D181-1845-42C0-870E-119DBDFAE24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1" authorId="16" shapeId="0" xr:uid="{8AD7241C-CE4E-49AA-8DB8-0F5D59FAF173}">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2" authorId="17" shapeId="0" xr:uid="{A134F7C7-0788-4780-8C89-3AC68F5AF3A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X32" authorId="18" shapeId="0" xr:uid="{9DF3675F-9C34-41EE-89A4-D0B25EA295B1}">
      <text>
        <t xml:space="preserve">[Threaded comment]
Your version of Excel allows you to read this threaded comment; however, any edits to it will get removed if the file is opened in a newer version of Excel. Learn more: https://go.microsoft.com/fwlink/?linkid=870924
Comment:
    picked up M as majority of cells are lower year 2012 (front cab is 2013)
</t>
      </text>
    </comment>
    <comment ref="E33" authorId="19" shapeId="0" xr:uid="{BF0E26FD-356A-4680-8654-DB88EA223D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B34" authorId="20" shapeId="0" xr:uid="{D309D111-B686-4314-81FE-8AF01246B1A9}">
      <text>
        <t xml:space="preserve">[Threaded comment]
Your version of Excel allows you to read this threaded comment; however, any edits to it will get removed if the file is opened in a newer version of Excel. Learn more: https://go.microsoft.com/fwlink/?linkid=870924
Comment:
    4 stud SBS390
</t>
      </text>
    </comment>
    <comment ref="E34" authorId="21" shapeId="0" xr:uid="{5758691E-3D8A-40D6-A956-3D6A417E272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5" authorId="22" shapeId="0" xr:uid="{404D9240-FA39-4F84-A812-A15923CABFC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1" authorId="23" shapeId="0" xr:uid="{497BDEA4-AD02-49A3-A31F-B37D939DE2A3}">
      <text>
        <t>[Threaded comment]
Your version of Excel allows you to read this threaded comment; however, any edits to it will get removed if the file is opened in a newer version of Excel. Learn more: https://go.microsoft.com/fwlink/?linkid=870924
Comment:
    Only 2 strings</t>
      </text>
    </comment>
    <comment ref="I42" authorId="24" shapeId="0" xr:uid="{7E40EB83-EC40-483F-8BDD-CAA4D6DF36DC}">
      <text>
        <t>[Threaded comment]
Your version of Excel allows you to read this threaded comment; however, any edits to it will get removed if the file is opened in a newer version of Excel. Learn more: https://go.microsoft.com/fwlink/?linkid=870924
Comment:
    Only 2 strings</t>
      </text>
    </comment>
    <comment ref="E46" authorId="25" shapeId="0" xr:uid="{B0EBC8A2-15DE-4EB0-95AC-2A24E329E50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9" authorId="26" shapeId="0" xr:uid="{39AD9EC5-3C29-4A9A-AFE7-4C0E98CD6D2E}">
      <text>
        <t>[Threaded comment]
Your version of Excel allows you to read this threaded comment; however, any edits to it will get removed if the file is opened in a newer version of Excel. Learn more: https://go.microsoft.com/fwlink/?linkid=870924
Comment:
    Only 2 strings</t>
      </text>
    </comment>
    <comment ref="I50" authorId="27" shapeId="0" xr:uid="{7CF9619D-0AF1-42A9-892C-82CC53CBD06C}">
      <text>
        <t>[Threaded comment]
Your version of Excel allows you to read this threaded comment; however, any edits to it will get removed if the file is opened in a newer version of Excel. Learn more: https://go.microsoft.com/fwlink/?linkid=870924
Comment:
    Only 2 strings</t>
      </text>
    </comment>
    <comment ref="I66" authorId="28" shapeId="0" xr:uid="{355DBF94-7A42-42F8-833F-A9999A151942}">
      <text>
        <t>[Threaded comment]
Your version of Excel allows you to read this threaded comment; however, any edits to it will get removed if the file is opened in a newer version of Excel. Learn more: https://go.microsoft.com/fwlink/?linkid=870924
Comment:
    Only 2 strings</t>
      </text>
    </comment>
    <comment ref="I67" authorId="29" shapeId="0" xr:uid="{D6121A3D-7329-4C76-A2C1-F2AD1AB1EECD}">
      <text>
        <t>[Threaded comment]
Your version of Excel allows you to read this threaded comment; however, any edits to it will get removed if the file is opened in a newer version of Excel. Learn more: https://go.microsoft.com/fwlink/?linkid=870924
Comment:
    Only 2 strings</t>
      </text>
    </comment>
    <comment ref="I74" authorId="30" shapeId="0" xr:uid="{A3C0D69B-E60A-43F1-AC1E-0A2B01B60092}">
      <text>
        <t>[Threaded comment]
Your version of Excel allows you to read this threaded comment; however, any edits to it will get removed if the file is opened in a newer version of Excel. Learn more: https://go.microsoft.com/fwlink/?linkid=870924
Comment:
    Only 2 strings</t>
      </text>
    </comment>
    <comment ref="I75" authorId="31" shapeId="0" xr:uid="{0FA5F5F1-ECC5-416E-8C23-3FCFFF89FE50}">
      <text>
        <t>[Threaded comment]
Your version of Excel allows you to read this threaded comment; however, any edits to it will get removed if the file is opened in a newer version of Excel. Learn more: https://go.microsoft.com/fwlink/?linkid=870924
Comment:
    Only 2 strings</t>
      </text>
    </comment>
    <comment ref="E76" authorId="32" shapeId="0" xr:uid="{C0AAC8CF-185F-4D85-A33F-2DC7B830853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77" authorId="33" shapeId="0" xr:uid="{507EA7AF-2077-4C8D-A11F-D3606EB263B0}">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82" authorId="34" shapeId="0" xr:uid="{7B74B866-E230-43C2-8611-E9F6A5F08287}">
      <text>
        <t>[Threaded comment]
Your version of Excel allows you to read this threaded comment; however, any edits to it will get removed if the file is opened in a newer version of Excel. Learn more: https://go.microsoft.com/fwlink/?linkid=870924
Comment:
    Only 2 strings</t>
      </text>
    </comment>
    <comment ref="I83" authorId="35" shapeId="0" xr:uid="{4157D5EA-8C7F-4420-A964-317B41CD97D2}">
      <text>
        <t>[Threaded comment]
Your version of Excel allows you to read this threaded comment; however, any edits to it will get removed if the file is opened in a newer version of Excel. Learn more: https://go.microsoft.com/fwlink/?linkid=870924
Comment:
    Only 2 strings</t>
      </text>
    </comment>
    <comment ref="E89" authorId="36" shapeId="0" xr:uid="{8FC1F881-D213-4A7B-9032-F6F31F35CCCA}">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0" authorId="37" shapeId="0" xr:uid="{673EA18B-777E-4504-94D3-8CD1CDD008D8}">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1" authorId="38" shapeId="0" xr:uid="{D535D790-B66A-437F-9791-0FADBE459C65}">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2" authorId="39" shapeId="0" xr:uid="{44BEA983-0959-4273-88C5-473B56E7D83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6" authorId="40" shapeId="0" xr:uid="{BD5565D9-0E69-474F-B23B-70D9820BD55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7" authorId="41" shapeId="0" xr:uid="{FDA2F383-4F39-4256-8CB2-1B2BC8D8D9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8" authorId="42" shapeId="0" xr:uid="{3641F859-71BB-4521-92EE-6AD9AF69DE30}">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8" authorId="43" shapeId="0" xr:uid="{EFBD4339-5C6F-4B3E-8F2D-D35CA5A50FC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8" authorId="44" shapeId="0" xr:uid="{F31C47DD-C206-45DA-AD32-AA87653806C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8" authorId="45" shapeId="0" xr:uid="{23BCA1C2-47EA-4D2E-A82D-7157CE6517A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8" authorId="46" shapeId="0" xr:uid="{8BAC345D-533F-4BE9-9CA8-886EB7577287}">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8" authorId="47" shapeId="0" xr:uid="{D6C969B2-A2CC-4016-A6E3-3753DFC2519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8" authorId="48" shapeId="0" xr:uid="{60121BE1-42E9-4918-998F-E6040681221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8" authorId="49" shapeId="0" xr:uid="{018556B1-0AD7-47FF-B860-22C5B1ADB4E1}">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8" authorId="50" shapeId="0" xr:uid="{B891BF97-F17A-431C-A7A3-B3D544DDDF7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E119" authorId="51" shapeId="0" xr:uid="{C116E032-05AE-4536-9EAB-4524DCE0480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9" authorId="52" shapeId="0" xr:uid="{F0CAF06D-99BB-41AD-933C-DF9A47945116}">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9" authorId="53" shapeId="0" xr:uid="{D6207AD5-CEC1-444E-B85B-9D9C4D3C04CA}">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9" authorId="54" shapeId="0" xr:uid="{9B89B4A7-0052-4278-9E36-ECA67BE3ED4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9" authorId="55" shapeId="0" xr:uid="{69195778-6B67-4B81-B1F2-80A40D4FFD68}">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9" authorId="56" shapeId="0" xr:uid="{617538B4-912E-4829-B907-F19A8080E0F9}">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9" authorId="57" shapeId="0" xr:uid="{EF9123EF-286F-4F75-A45D-7043FA85D622}">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9" authorId="58" shapeId="0" xr:uid="{0BB29EFD-C36E-49D0-8630-1BD1F127606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9" authorId="59" shapeId="0" xr:uid="{786DB729-34A0-419D-84AA-AFEF5D12C8B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B122" authorId="60" shapeId="0" xr:uid="{6FC08B0E-6F55-4A75-BDDE-0F3DE5759BA9}">
      <text>
        <t>[Threaded comment]
Your version of Excel allows you to read this threaded comment; however, any edits to it will get removed if the file is opened in a newer version of Excel. Learn more: https://go.microsoft.com/fwlink/?linkid=870924
Comment:
    4 stud Youassa battery</t>
      </text>
    </comment>
    <comment ref="B140" authorId="61" shapeId="0" xr:uid="{7A6E4966-3917-4A91-9236-4AE072AB84C8}">
      <text>
        <t>[Threaded comment]
Your version of Excel allows you to read this threaded comment; however, any edits to it will get removed if the file is opened in a newer version of Excel. Learn more: https://go.microsoft.com/fwlink/?linkid=870924
Comment:
    VPC price April-14
AMD - updated Nov 15 for budget forecast FY16/17
AMD updated Oct 28 for budget forecast 18/19
AMD -  updatedt for HT batts and connection kit
AMD - VPC price  16/8/2021 for LRP forcasting</t>
      </text>
    </comment>
    <comment ref="B141" authorId="62" shapeId="0" xr:uid="{20F7E3F3-75A1-714B-BE64-BAB01E8C6937}">
      <text>
        <t>[Threaded comment]
Your version of Excel allows you to read this threaded comment; however, any edits to it will get removed if the file is opened in a newer version of Excel. Learn more: https://go.microsoft.com/fwlink/?linkid=870924
Comment:
    String price plus connection kit 16/08/2021</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tc={4EDEDC09-00DA-48C9-BAC6-F30DC7D93CB9}</author>
    <author>tc={BB511B31-6EC4-4E0C-9CDD-B7795B5408B6}</author>
    <author>tc={63615BED-0553-4D6C-BB94-8FFE5C1DE644}</author>
  </authors>
  <commentList>
    <comment ref="H24" authorId="0" shapeId="0" xr:uid="{4EDEDC09-00DA-48C9-BAC6-F30DC7D93CB9}">
      <text>
        <t>[Threaded comment]
Your version of Excel allows you to read this threaded comment; however, any edits to it will get removed if the file is opened in a newer version of Excel. Learn more: https://go.microsoft.com/fwlink/?linkid=870924
Comment:
     x10 MiO cabs are 600 wide, so calculated space as x8 800mm cabs</t>
      </text>
    </comment>
    <comment ref="H26" authorId="1" shapeId="0" xr:uid="{BB511B31-6EC4-4E0C-9CDD-B7795B5408B6}">
      <text>
        <t>[Threaded comment]
Your version of Excel allows you to read this threaded comment; however, any edits to it will get removed if the file is opened in a newer version of Excel. Learn more: https://go.microsoft.com/fwlink/?linkid=870924
Comment:
    x11 MiO cabs are 600 wide</t>
      </text>
    </comment>
    <comment ref="B108" authorId="2" shapeId="0" xr:uid="{63615BED-0553-4D6C-BB94-8FFE5C1DE644}">
      <text>
        <t>[Threaded comment]
Your version of Excel allows you to read this threaded comment; however, any edits to it will get removed if the file is opened in a newer version of Excel. Learn more: https://go.microsoft.com/fwlink/?linkid=870924
Comment:
    12 cabs used, space inc for x15= 50% either side of suite line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tc={62538D89-F0C3-4B47-A4B0-15F681B96B07}</author>
    <author>tc={6CE72EDB-A286-4206-A19D-202AA12B3CB7}</author>
    <author>tc={D8908291-2EF0-43DF-940E-040DA6BDD392}</author>
  </authors>
  <commentList>
    <comment ref="C10" authorId="0" shapeId="0" xr:uid="{62538D89-F0C3-4B47-A4B0-15F681B96B07}">
      <text>
        <t>[Threaded comment]
Your version of Excel allows you to read this threaded comment; however, any edits to it will get removed if the file is opened in a newer version of Excel. Learn more: https://go.microsoft.com/fwlink/?linkid=870924
Comment:
    Oct 16 Decreases inc Voicemail MTA, SMS-C,  MCA and ACF cabs (11kW), then gradual decreases since</t>
      </text>
    </comment>
    <comment ref="B24" authorId="1" shapeId="0" xr:uid="{6CE72EDB-A286-4206-A19D-202AA12B3CB7}">
      <text>
        <t>[Threaded comment]
Your version of Excel allows you to read this threaded comment; however, any edits to it will get removed if the file is opened in a newer version of Excel. Learn more: https://go.microsoft.com/fwlink/?linkid=870924
Comment:
    (System Load)</t>
      </text>
    </comment>
    <comment ref="D40" authorId="2" shapeId="0" xr:uid="{D8908291-2EF0-43DF-940E-040DA6BDD392}">
      <text>
        <t>[Threaded comment]
Your version of Excel allows you to read this threaded comment; however, any edits to it will get removed if the file is opened in a newer version of Excel. Learn more: https://go.microsoft.com/fwlink/?linkid=870924
Comment:
    Multiply by 10% for load on DC plants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tc={CFED8188-36A3-4F39-B7B7-16B825289199}</author>
    <author>tc={D9EA6A4D-6AF9-47AF-8B4C-10285468917A}</author>
    <author>tc={0EE6DB90-7F1F-4208-AA0F-47E4DD8E2F38}</author>
    <author>tc={4CB26DF1-E77B-45CC-A0E6-68A63941FB94}</author>
    <author>tc={2265B3F7-F189-4287-9B46-F2671168B8F1}</author>
    <author>tc={6E064348-F489-4DDA-A726-97E4EAA67073}</author>
    <author>tc={074F7ADD-F493-49FB-A0ED-069E44C80FA8}</author>
    <author>tc={EFA4BCFC-9C14-40CA-A7C1-F8B38B878BBF}</author>
    <author>tc={BD709AEA-31B1-465D-90E7-45D0010C3933}</author>
    <author>tc={E6D7435A-BCB3-4F37-8ABF-4E70DBEFCB97}</author>
    <author>tc={76490329-1D75-445A-ACCB-32962EACB6B6}</author>
    <author>tc={E7894465-E42A-44E4-8F52-56BFA51C7294}</author>
    <author>tc={E696FC18-A270-4065-AC5E-66A7AAE96267}</author>
    <author>tc={39B1BBA3-09A1-4DB5-9A9D-EFEB6EEA9462}</author>
    <author>tc={CF2107A9-A594-4926-99FA-C9726AF4319F}</author>
    <author>tc={40B67558-E61C-41E1-B059-F0CE0FFFA4F3}</author>
    <author>tc={F11308A2-D5AD-445C-A6C5-09CD28A83D40}</author>
    <author>tc={3117A83C-7259-4DB9-9AEC-47AED9C0E540}</author>
    <author>tc={18452732-BEB5-42FE-A6EE-8CBA4263D38F}</author>
    <author>tc={8FF17046-B721-4868-A6C2-BD2062C940C8}</author>
  </authors>
  <commentList>
    <comment ref="D2" authorId="0" shapeId="0" xr:uid="{CFED8188-36A3-4F39-B7B7-16B825289199}">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O8" authorId="1" shapeId="0" xr:uid="{D9EA6A4D-6AF9-47AF-8B4C-10285468917A}">
      <text>
        <t>[Threaded comment]
Your version of Excel allows you to read this threaded comment; however, any edits to it will get removed if the file is opened in a newer version of Excel. Learn more: https://go.microsoft.com/fwlink/?linkid=870924
Comment:
    Inconsistent readings</t>
      </text>
    </comment>
    <comment ref="O11" authorId="2" shapeId="0" xr:uid="{0EE6DB90-7F1F-4208-AA0F-47E4DD8E2F38}">
      <text>
        <t>[Threaded comment]
Your version of Excel allows you to read this threaded comment; however, any edits to it will get removed if the file is opened in a newer version of Excel. Learn more: https://go.microsoft.com/fwlink/?linkid=870924
Comment:
    Not reporting from 21/09-25/09</t>
      </text>
    </comment>
    <comment ref="G15" authorId="3" shapeId="0" xr:uid="{4CB26DF1-E77B-45CC-A0E6-68A63941FB94}">
      <text>
        <t>[Threaded comment]
Your version of Excel allows you to read this threaded comment; however, any edits to it will get removed if the file is opened in a newer version of Excel. Learn more: https://go.microsoft.com/fwlink/?linkid=870924
Comment:
    Not reporting</t>
      </text>
    </comment>
    <comment ref="Y39" authorId="4" shapeId="0" xr:uid="{2265B3F7-F189-4287-9B46-F2671168B8F1}">
      <text>
        <t>[Threaded comment]
Your version of Excel allows you to read this threaded comment; however, any edits to it will get removed if the file is opened in a newer version of Excel. Learn more: https://go.microsoft.com/fwlink/?linkid=870924
Comment:
    Cell equation is =(400*L4*1.73)/1000</t>
      </text>
    </comment>
    <comment ref="D40" authorId="5" shapeId="0" xr:uid="{6E064348-F489-4DDA-A726-97E4EAA67073}">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Y40" authorId="6" shapeId="0" xr:uid="{074F7ADD-F493-49FB-A0ED-069E44C80FA8}">
      <text>
        <t>[Threaded comment]
Your version of Excel allows you to read this threaded comment; however, any edits to it will get removed if the file is opened in a newer version of Excel. Learn more: https://go.microsoft.com/fwlink/?linkid=870924
Comment:
    cell equation is =(400*L5*1.73)/1000</t>
      </text>
    </comment>
    <comment ref="H41" authorId="7" shapeId="0" xr:uid="{EFA4BCFC-9C14-40CA-A7C1-F8B38B878BBF}">
      <text>
        <t>[Threaded comment]
Your version of Excel allows you to read this threaded comment; however, any edits to it will get removed if the file is opened in a newer version of Excel. Learn more: https://go.microsoft.com/fwlink/?linkid=870924
Comment:
    Reading of 1.15. Didn’t record for a few days as BEMS systems was upgraded</t>
      </text>
    </comment>
    <comment ref="H43" authorId="8" shapeId="0" xr:uid="{BD709AEA-31B1-465D-90E7-45D0010C3933}">
      <text>
        <t>[Threaded comment]
Your version of Excel allows you to read this threaded comment; however, any edits to it will get removed if the file is opened in a newer version of Excel. Learn more: https://go.microsoft.com/fwlink/?linkid=870924
Comment:
    Actual value of 0.52. Didn’t record for a few days as BEMS systems was upgraded</t>
      </text>
    </comment>
    <comment ref="I43" authorId="9" shapeId="0" xr:uid="{E6D7435A-BCB3-4F37-8ABF-4E70DBEFCB97}">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I44" authorId="10" shapeId="0" xr:uid="{76490329-1D75-445A-ACCB-32962EACB6B6}">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L44" authorId="11" shapeId="0" xr:uid="{E7894465-E42A-44E4-8F52-56BFA51C7294}">
      <text>
        <t>[Threaded comment]
Your version of Excel allows you to read this threaded comment; however, any edits to it will get removed if the file is opened in a newer version of Excel. Learn more: https://go.microsoft.com/fwlink/?linkid=870924
Comment:
    Actual fig of 0.97, BMS did not report 20-29 June</t>
      </text>
    </comment>
    <comment ref="D56" authorId="12" shapeId="0" xr:uid="{E696FC18-A270-4065-AC5E-66A7AAE96267}">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58" authorId="13" shapeId="0" xr:uid="{39B1BBA3-09A1-4DB5-9A9D-EFEB6EEA9462}">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59" authorId="14" shapeId="0" xr:uid="{CF2107A9-A594-4926-99FA-C9726AF4319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I62" authorId="15" shapeId="0" xr:uid="{40B67558-E61C-41E1-B059-F0CE0FFFA4F3}">
      <text>
        <t>[Threaded comment]
Your version of Excel allows you to read this threaded comment; however, any edits to it will get removed if the file is opened in a newer version of Excel. Learn more: https://go.microsoft.com/fwlink/?linkid=870924
Comment:
    This is an approx fig as between 10-21 Mar the value was -0.04 resulting in an average of 0.93</t>
      </text>
    </comment>
    <comment ref="D72" authorId="16" shapeId="0" xr:uid="{F11308A2-D5AD-445C-A6C5-09CD28A83D40}">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74" authorId="17" shapeId="0" xr:uid="{3117A83C-7259-4DB9-9AEC-47AED9C0E540}">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75" authorId="18" shapeId="0" xr:uid="{18452732-BEB5-42FE-A6EE-8CBA4263D38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D96" authorId="19" shapeId="0" xr:uid="{8FF17046-B721-4868-A6C2-BD2062C940C8}">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tc={A76B342E-5CC2-483C-B7C2-AC595CE972D8}</author>
    <author>tc={3A670D8D-AAB7-49E2-9C06-A3F9A0845993}</author>
  </authors>
  <commentList>
    <comment ref="C26" authorId="0" shapeId="0" xr:uid="{A76B342E-5CC2-483C-B7C2-AC595CE972D8}">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 ref="C60" authorId="1" shapeId="0" xr:uid="{3A670D8D-AAB7-49E2-9C06-A3F9A0845993}">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<sst xmlns="http://schemas.openxmlformats.org/spreadsheetml/2006/main" count="7136" uniqueCount="1742">
  <si>
    <t xml:space="preserve">Key </t>
  </si>
  <si>
    <t>Not
reporting</t>
  </si>
  <si>
    <t>&lt;70</t>
  </si>
  <si>
    <t>70-80%</t>
  </si>
  <si>
    <t>80 - 90 %</t>
  </si>
  <si>
    <t>&gt;90%</t>
  </si>
  <si>
    <t xml:space="preserve">Highlight's cells with non-standard formula </t>
  </si>
  <si>
    <t>MTX</t>
  </si>
  <si>
    <t>Power Element Name</t>
  </si>
  <si>
    <t>Power Element Type</t>
  </si>
  <si>
    <t>Element Load (A) Jul 24</t>
  </si>
  <si>
    <t>Element Load (A) 18/08/24</t>
  </si>
  <si>
    <t>Running % load</t>
  </si>
  <si>
    <t>Total Running Site Load (kW)/(%)</t>
  </si>
  <si>
    <t>Number of Modules</t>
  </si>
  <si>
    <t>Module Capacity (kW)</t>
  </si>
  <si>
    <t>Power Element Capability (kW)</t>
  </si>
  <si>
    <t>Number of Redundant Modules</t>
  </si>
  <si>
    <t>Available Capability (kW)</t>
  </si>
  <si>
    <t>Available Capability (A)</t>
  </si>
  <si>
    <t>Reserved (A)</t>
  </si>
  <si>
    <t>Running Load + Reserved (%)</t>
  </si>
  <si>
    <t>Total Reserved  (kW)/(%)</t>
  </si>
  <si>
    <t>Forecast (A)</t>
  </si>
  <si>
    <t>Total Forecast  (kW)/(%)</t>
  </si>
  <si>
    <t>Running Load + Reserved+  Forecast (A)</t>
  </si>
  <si>
    <t>Running Load + Reserved+  Forecast (kW)/(%)</t>
  </si>
  <si>
    <t>Remaining Element Capability (A)</t>
  </si>
  <si>
    <t>Remaining Element Capability (kW)/(%)</t>
  </si>
  <si>
    <t>Total Power Element
  RAG (% used)</t>
  </si>
  <si>
    <t>Deployed Usable Capability (% used)</t>
  </si>
  <si>
    <t>RAG value (for graphing)</t>
  </si>
  <si>
    <t>Max Technology Load RAG (% used)</t>
  </si>
  <si>
    <t>Following Power Expansion</t>
  </si>
  <si>
    <t>Element Reference
(S&amp;P Ref/element name/planned deployment date/requestor) (AC =AC load on DC plant)</t>
  </si>
  <si>
    <r>
      <t xml:space="preserve">Text below in </t>
    </r>
    <r>
      <rPr>
        <sz val="10"/>
        <color rgb="FFFF0000"/>
        <rFont val="Vodafone Rg"/>
        <family val="2"/>
      </rPr>
      <t>RED</t>
    </r>
    <r>
      <rPr>
        <sz val="10"/>
        <rFont val="Vodafone Rg"/>
        <family val="2"/>
      </rPr>
      <t xml:space="preserve"> is for cabs that have been installed but are not yet powered up. </t>
    </r>
    <r>
      <rPr>
        <sz val="10"/>
        <color rgb="FF0070C0"/>
        <rFont val="Vodafone Rg"/>
        <family val="2"/>
      </rPr>
      <t>BLUE</t>
    </r>
    <r>
      <rPr>
        <sz val="10"/>
        <rFont val="Vodafone Rg"/>
        <family val="2"/>
      </rPr>
      <t xml:space="preserve"> for cabs powered up, not yet fully loaded</t>
    </r>
  </si>
  <si>
    <t>Acton</t>
  </si>
  <si>
    <t>PEAAN</t>
  </si>
  <si>
    <t>eSure</t>
  </si>
  <si>
    <t>15033/Cage/Feb16/AM</t>
  </si>
  <si>
    <t>23013/Beacon CSTN/AP</t>
  </si>
  <si>
    <t>24009/mDCN/Sep24/LP</t>
  </si>
  <si>
    <t>RAG Status</t>
  </si>
  <si>
    <t>PEBAN</t>
  </si>
  <si>
    <t>Plant % Used</t>
  </si>
  <si>
    <t>Site % Remaining</t>
  </si>
  <si>
    <t>PECAN</t>
  </si>
  <si>
    <t>&lt;=70</t>
  </si>
  <si>
    <t>PEFAN</t>
  </si>
  <si>
    <t>70-80</t>
  </si>
  <si>
    <t>PEGAN</t>
  </si>
  <si>
    <t>80-90</t>
  </si>
  <si>
    <t>Basingstoke</t>
  </si>
  <si>
    <t>PEABE</t>
  </si>
  <si>
    <t>Total res'd for NFV</t>
  </si>
  <si>
    <t>23026/Fortinet/AP</t>
  </si>
  <si>
    <t>23018/Security TSR/AP</t>
  </si>
  <si>
    <t>24008/Geoprobe INSG FY/24/AP</t>
  </si>
  <si>
    <t>&gt;90</t>
  </si>
  <si>
    <t>PEBBE</t>
  </si>
  <si>
    <t>23018/NFV TSR/AP</t>
  </si>
  <si>
    <t>240008/Geoprobe INSG FY/24/AP</t>
  </si>
  <si>
    <t>PECBE</t>
  </si>
  <si>
    <t>PEEBE</t>
  </si>
  <si>
    <t>23007/M-PE 9912/AP</t>
  </si>
  <si>
    <t>PEFBE</t>
  </si>
  <si>
    <t>PEGBE</t>
  </si>
  <si>
    <t>PEHBE</t>
  </si>
  <si>
    <t>PEIBE</t>
  </si>
  <si>
    <t>Crawley</t>
  </si>
  <si>
    <t>PEACY</t>
  </si>
  <si>
    <t>PEBCY</t>
  </si>
  <si>
    <t>PECCY</t>
  </si>
  <si>
    <t>PEDCY</t>
  </si>
  <si>
    <t>20029/RedstreamEvo/AP(SP)</t>
  </si>
  <si>
    <t>PEECY</t>
  </si>
  <si>
    <t>Edinburgh</t>
  </si>
  <si>
    <t>PECEH</t>
  </si>
  <si>
    <t>NFV reserved loads updated 11/10/23</t>
  </si>
  <si>
    <t>23014/Beacon CSTN/AP</t>
  </si>
  <si>
    <t>PEDEH</t>
  </si>
  <si>
    <t>PEEEH</t>
  </si>
  <si>
    <t>23027/ISNG Probes/LP</t>
  </si>
  <si>
    <t>PEFEH</t>
  </si>
  <si>
    <t>PEGEH</t>
  </si>
  <si>
    <t>PEHEH</t>
  </si>
  <si>
    <t>Esher</t>
  </si>
  <si>
    <t>PEDER</t>
  </si>
  <si>
    <t>PEEER</t>
  </si>
  <si>
    <t>PEFER</t>
  </si>
  <si>
    <t>PEGER</t>
  </si>
  <si>
    <t>Gloucester</t>
  </si>
  <si>
    <t>PEAGR</t>
  </si>
  <si>
    <t>23025/Hawk/AP (AC)</t>
  </si>
  <si>
    <t>22024/NFV DELL Store/AP (AC)</t>
  </si>
  <si>
    <t>PEBGR</t>
  </si>
  <si>
    <t>23024/ POD304/AP</t>
  </si>
  <si>
    <t> </t>
  </si>
  <si>
    <t>PECGR</t>
  </si>
  <si>
    <t> 24008/Geoprobe INSG FY/24/AP</t>
  </si>
  <si>
    <t>PEDGR</t>
  </si>
  <si>
    <t>PEEGR</t>
  </si>
  <si>
    <t>GCRMTX-DCSYS06a</t>
  </si>
  <si>
    <t>NPR48-ES</t>
  </si>
  <si>
    <t>23024/ POD305/AP</t>
  </si>
  <si>
    <t>GCRMTX-DCSYS06b</t>
  </si>
  <si>
    <t>Gravelly Hill</t>
  </si>
  <si>
    <t>BMGMTX-DCSYS01</t>
  </si>
  <si>
    <t>HDR48-ES</t>
  </si>
  <si>
    <t>20049/RSE/AP(SP)</t>
  </si>
  <si>
    <t>23022/A2/AP</t>
  </si>
  <si>
    <t>24003/AC Util 03/LP (AC)</t>
  </si>
  <si>
    <t>BMGMTX-DCSYS02</t>
  </si>
  <si>
    <t>BMGMTX-DCSYS03</t>
  </si>
  <si>
    <t>BMGMTX-DCSYS04</t>
  </si>
  <si>
    <t>BMGMTX-DCSYS05</t>
  </si>
  <si>
    <t>BMGMTX-DCSYS06</t>
  </si>
  <si>
    <t>BMGMTX-DCSYS07a</t>
  </si>
  <si>
    <t> Total res'd for NFV</t>
  </si>
  <si>
    <t>22013/M-PE 9912/AP</t>
  </si>
  <si>
    <t>22022/M-PE Wavserver Ai/AP</t>
  </si>
  <si>
    <t>BMGMTX-DCSYS07b</t>
  </si>
  <si>
    <t>Kings Cross</t>
  </si>
  <si>
    <t>PEAKS</t>
  </si>
  <si>
    <t>PEBKS</t>
  </si>
  <si>
    <t>PEEKS</t>
  </si>
  <si>
    <t>PEIKS</t>
  </si>
  <si>
    <t>PEJKS</t>
  </si>
  <si>
    <t>PEKKS</t>
  </si>
  <si>
    <t>PELKS</t>
  </si>
  <si>
    <t>PEMKS</t>
  </si>
  <si>
    <t>PENKS</t>
  </si>
  <si>
    <t>Leyland</t>
  </si>
  <si>
    <t>LLDMTX-DCSYS01</t>
  </si>
  <si>
    <t>23016/NFV CV 101/AP (AC)</t>
  </si>
  <si>
    <t>24002/RLS-Ciena cab3/GD</t>
  </si>
  <si>
    <t>24000/ISNG Probe/LP</t>
  </si>
  <si>
    <t>LLDMTX-DCSYS02</t>
  </si>
  <si>
    <t>LLDMTX-DCSYS03</t>
  </si>
  <si>
    <t>LLDMTX-DCSYS04</t>
  </si>
  <si>
    <t>LLDMTX-DCSYS05</t>
  </si>
  <si>
    <t>LLDMTX-DCSYS06</t>
  </si>
  <si>
    <t>LLDMTX-DCSYS07a</t>
  </si>
  <si>
    <t xml:space="preserve"> 24008/Geoprobe INSG FY/24/AP</t>
  </si>
  <si>
    <t>LLDMTX-DCSYS07b</t>
  </si>
  <si>
    <t>Milton Keynes</t>
  </si>
  <si>
    <t>PEAMS</t>
  </si>
  <si>
    <t>PEBMS</t>
  </si>
  <si>
    <t>PECMS</t>
  </si>
  <si>
    <t>PEDMS</t>
  </si>
  <si>
    <t>PEEMS</t>
  </si>
  <si>
    <t>PEFMS</t>
  </si>
  <si>
    <t xml:space="preserve"> </t>
  </si>
  <si>
    <t>MKSMTX-DCSYS07a</t>
  </si>
  <si>
    <t>MKSMTX-DCSYS07b</t>
  </si>
  <si>
    <t>Oldham</t>
  </si>
  <si>
    <t>OLDMTX-DCSYS01</t>
  </si>
  <si>
    <t>OLDMTX-DCSYS02</t>
  </si>
  <si>
    <t>OLDMTX-DCSYS03</t>
  </si>
  <si>
    <t>OLDMTX-DCSYS04</t>
  </si>
  <si>
    <t>OLDMTX-DCSYS05</t>
  </si>
  <si>
    <t>20042&amp;22022/OptExpress x3 cabs/Nov20/AP(SP)</t>
  </si>
  <si>
    <t>OLDMTX-DCSYS06</t>
  </si>
  <si>
    <t>OLDMTX-DCSYS07a</t>
  </si>
  <si>
    <t>OLDMTX-DCSYS07b</t>
  </si>
  <si>
    <t>Rotherham</t>
  </si>
  <si>
    <t>PEARM</t>
  </si>
  <si>
    <t>20011/OpenRAN/Apr20/AP</t>
  </si>
  <si>
    <t xml:space="preserve"> 240xx/Geoprobe INSG FY/24/AP</t>
  </si>
  <si>
    <t>PEBRM</t>
  </si>
  <si>
    <t>22019/Huawei BSC/AP</t>
  </si>
  <si>
    <t>PECRM</t>
  </si>
  <si>
    <t>PEDRM</t>
  </si>
  <si>
    <t>PEERM</t>
  </si>
  <si>
    <t>Southampton</t>
  </si>
  <si>
    <t>PEASN</t>
  </si>
  <si>
    <t>PEBSN</t>
  </si>
  <si>
    <t>20035/AMITIE/Sept20/AP(RL)</t>
  </si>
  <si>
    <t>22019/Huawei BSC BHISN/AP</t>
  </si>
  <si>
    <t>PECSN</t>
  </si>
  <si>
    <t>22019/Huawei BSC BHISN /AP</t>
  </si>
  <si>
    <t>PEESN</t>
  </si>
  <si>
    <t>Swanley</t>
  </si>
  <si>
    <t>PEASY</t>
  </si>
  <si>
    <t>PEBSY</t>
  </si>
  <si>
    <t>PECSY</t>
  </si>
  <si>
    <t>PEDSY</t>
  </si>
  <si>
    <t>PEESY</t>
  </si>
  <si>
    <t>Bristol</t>
  </si>
  <si>
    <t>PEFBL</t>
  </si>
  <si>
    <t>NetSure</t>
  </si>
  <si>
    <t>PEHBL</t>
  </si>
  <si>
    <t>Cardiff</t>
  </si>
  <si>
    <t>PECCF</t>
  </si>
  <si>
    <t>PEDCF</t>
  </si>
  <si>
    <t>PEECF</t>
  </si>
  <si>
    <t>Carlisle</t>
  </si>
  <si>
    <t>PEACE</t>
  </si>
  <si>
    <t>20041/OptExpress x3 cabs/Nov20/AP(SP)</t>
  </si>
  <si>
    <t>22008/M-PE/M-CE Upgrade/AP</t>
  </si>
  <si>
    <t>22016/E/// BSC/Sep22/AP</t>
  </si>
  <si>
    <t>PEBCE</t>
  </si>
  <si>
    <t>Croydon</t>
  </si>
  <si>
    <t>PEFCN</t>
  </si>
  <si>
    <t>PEGCN</t>
  </si>
  <si>
    <t>Glasgow TXO</t>
  </si>
  <si>
    <t>PEJGW</t>
  </si>
  <si>
    <t>PEKGW</t>
  </si>
  <si>
    <t>Leicester</t>
  </si>
  <si>
    <t>PEFLR</t>
  </si>
  <si>
    <t>PEGLR</t>
  </si>
  <si>
    <t>Newbury</t>
  </si>
  <si>
    <t>PEGNY</t>
  </si>
  <si>
    <t>PEHNY</t>
  </si>
  <si>
    <t>Newcastle</t>
  </si>
  <si>
    <t>PEENE</t>
  </si>
  <si>
    <t>22016/E/// x2 BSC/Sep22/AP</t>
  </si>
  <si>
    <t>PEFNE</t>
  </si>
  <si>
    <t>PEGNE</t>
  </si>
  <si>
    <t>Oxford</t>
  </si>
  <si>
    <t>PECOD</t>
  </si>
  <si>
    <t>20035/AMITIE/Sept20/AP</t>
  </si>
  <si>
    <t>PEFOD</t>
  </si>
  <si>
    <t>Stafford</t>
  </si>
  <si>
    <t>PEESD</t>
  </si>
  <si>
    <t>PEGSD</t>
  </si>
  <si>
    <t>Warrington TXO</t>
  </si>
  <si>
    <t>PELWN</t>
  </si>
  <si>
    <t>PEMWN</t>
  </si>
  <si>
    <t>PENWN</t>
  </si>
  <si>
    <t>Total VF-UK Network</t>
  </si>
  <si>
    <t>VF-UK Type A Sites</t>
  </si>
  <si>
    <t>Number of Elements</t>
  </si>
  <si>
    <t>Module Count</t>
  </si>
  <si>
    <t>Total Capacity</t>
  </si>
  <si>
    <t>Number of Plants</t>
  </si>
  <si>
    <t>Rectifier Count</t>
  </si>
  <si>
    <t>(kW)</t>
  </si>
  <si>
    <t>(MW)</t>
  </si>
  <si>
    <t>Total DC Capacity (Type A) (MW)</t>
  </si>
  <si>
    <t>Total eSure Capacity (Type A) as % of Total DC</t>
  </si>
  <si>
    <t>Total Battery Capaicty (Type A) (Ah)</t>
  </si>
  <si>
    <t>Total AC (inverter) Capacity (Type A) (kVA)</t>
  </si>
  <si>
    <t>Total Bravo Capacity (type A) as % of Total AC</t>
  </si>
  <si>
    <t>(Multiple Items)</t>
  </si>
  <si>
    <t>Row Labels</t>
  </si>
  <si>
    <t>Sum of Element Load (A) Jan 21</t>
  </si>
  <si>
    <t>Sum of Running % load</t>
  </si>
  <si>
    <t>Sum of Reserved (A)</t>
  </si>
  <si>
    <t>Sum of Running Load + Reserved (%)</t>
  </si>
  <si>
    <t>Sum of Forcast (A)</t>
  </si>
  <si>
    <t>Sum of Total Forecast  (kW)</t>
  </si>
  <si>
    <t>Sum of Running Load + Reserved+  Forecast (A)</t>
  </si>
  <si>
    <t>Sum of Total Power Element
  RAG (% used)</t>
  </si>
  <si>
    <t xml:space="preserve">Power Element Type </t>
  </si>
  <si>
    <t>Total Number of Inverters</t>
  </si>
  <si>
    <t>Redundant inverters</t>
  </si>
  <si>
    <t>Inverter Module Capacity (kW)</t>
  </si>
  <si>
    <t>Deployed Capacity (kW)</t>
  </si>
  <si>
    <t>Deployed Capacity (A)</t>
  </si>
  <si>
    <t>Expansion Capability (kW)</t>
  </si>
  <si>
    <t>Element Load (A)</t>
  </si>
  <si>
    <t>Load Reading
Date</t>
  </si>
  <si>
    <t>Element Load (kW)</t>
  </si>
  <si>
    <t>Total Load on DC power plants (A)</t>
  </si>
  <si>
    <t>Total Load on DC power plants (kW)</t>
  </si>
  <si>
    <t>Inverter Reserved Load (A)</t>
  </si>
  <si>
    <t>Inverter Reserved Load (kW)</t>
  </si>
  <si>
    <t>Forecast Load (A)</t>
  </si>
  <si>
    <t>Forecast Load (kW)</t>
  </si>
  <si>
    <t>Element Load+Reserved+Forecast (A)</t>
  </si>
  <si>
    <t>Power Element Remaining (RAG)</t>
  </si>
  <si>
    <t>Forecasted elements (A)</t>
  </si>
  <si>
    <t>Value (A) to be added to DC Power Plants</t>
  </si>
  <si>
    <t>XAN</t>
  </si>
  <si>
    <t>IC30aAN</t>
  </si>
  <si>
    <t>ECI</t>
  </si>
  <si>
    <t>SecureNet (2.5A)</t>
  </si>
  <si>
    <t>Originally 63A for cage.</t>
  </si>
  <si>
    <t>IC30bAN</t>
  </si>
  <si>
    <t>XBE</t>
  </si>
  <si>
    <t>IC30aBE</t>
  </si>
  <si>
    <t>IC30bBE</t>
  </si>
  <si>
    <t>IC31aBE</t>
  </si>
  <si>
    <t>IC31bBE</t>
  </si>
  <si>
    <t>IC32aBE</t>
  </si>
  <si>
    <t>IC32bBE</t>
  </si>
  <si>
    <t>XCY</t>
  </si>
  <si>
    <t>IC30aCY</t>
  </si>
  <si>
    <t>IC30bCY</t>
  </si>
  <si>
    <t>XEH</t>
  </si>
  <si>
    <t>IC30aEH</t>
  </si>
  <si>
    <t>IC30bEH</t>
  </si>
  <si>
    <t>XER</t>
  </si>
  <si>
    <t>IC30aER</t>
  </si>
  <si>
    <t>TBC</t>
  </si>
  <si>
    <t>IC30bER</t>
  </si>
  <si>
    <t>XGL</t>
  </si>
  <si>
    <t>IC30aGL</t>
  </si>
  <si>
    <t>Util AC03 (6)</t>
  </si>
  <si>
    <t>Util AC03 (8)</t>
  </si>
  <si>
    <t>IC30bGL</t>
  </si>
  <si>
    <t>IC31aGL</t>
  </si>
  <si>
    <t>SecureNet 11A</t>
  </si>
  <si>
    <t>IC31bGL</t>
  </si>
  <si>
    <t>XGR</t>
  </si>
  <si>
    <t>IC30aGR</t>
  </si>
  <si>
    <t>(Hawk 4.8) NFV Dell Store (6)</t>
  </si>
  <si>
    <t>Hawk (21A) NFV Dell Store (6.4)</t>
  </si>
  <si>
    <t>IC30bGR</t>
  </si>
  <si>
    <t>GCRMTX-INV02a</t>
  </si>
  <si>
    <t>GCRMTX-INV02b</t>
  </si>
  <si>
    <t>XKS</t>
  </si>
  <si>
    <t>IC30aKS</t>
  </si>
  <si>
    <t>IC30bKS</t>
  </si>
  <si>
    <t>XLD</t>
  </si>
  <si>
    <t>IC30aLD</t>
  </si>
  <si>
    <t>23016 NFV CV 101  (10A)</t>
  </si>
  <si>
    <t>Net 103 (22.6A)</t>
  </si>
  <si>
    <t>IC30bLD</t>
  </si>
  <si>
    <t>XMS</t>
  </si>
  <si>
    <t>IC20aMS</t>
  </si>
  <si>
    <t>TSI</t>
  </si>
  <si>
    <t>IC20bMS</t>
  </si>
  <si>
    <t>IC30aMS</t>
  </si>
  <si>
    <t>IC30bMS</t>
  </si>
  <si>
    <t>IC31aMS</t>
  </si>
  <si>
    <t>IC31bMS</t>
  </si>
  <si>
    <t>XOM</t>
  </si>
  <si>
    <t>IC30aOM</t>
  </si>
  <si>
    <t>(Hawk 4.8)</t>
  </si>
  <si>
    <t>Hawk (21A)</t>
  </si>
  <si>
    <t>IC30bOM</t>
  </si>
  <si>
    <t>XRM</t>
  </si>
  <si>
    <t>IC30aRM</t>
  </si>
  <si>
    <t>IC30bRM</t>
  </si>
  <si>
    <t>XSN</t>
  </si>
  <si>
    <t>IC30aSN</t>
  </si>
  <si>
    <t>IC30bSN</t>
  </si>
  <si>
    <t>XSY</t>
  </si>
  <si>
    <t>IC30aSY</t>
  </si>
  <si>
    <t>IC30bSY</t>
  </si>
  <si>
    <t>Note- the inverter systems readings are greater than the PDU readings, this is due to the CT (current transformers) used for circuit monitoring. The inverter system reading is used for Dulux.</t>
  </si>
  <si>
    <t>Name</t>
  </si>
  <si>
    <t xml:space="preserve">Type </t>
  </si>
  <si>
    <t>Reserved Load (kW)</t>
  </si>
  <si>
    <t>Forecasted elements</t>
  </si>
  <si>
    <t>Value (A) to be added to each DC Power Plant</t>
  </si>
  <si>
    <t>XBL</t>
  </si>
  <si>
    <t>IC2BL</t>
  </si>
  <si>
    <t>XCF</t>
  </si>
  <si>
    <t>IC2CF</t>
  </si>
  <si>
    <t>RDI</t>
  </si>
  <si>
    <t>XCE</t>
  </si>
  <si>
    <t>IC2CE</t>
  </si>
  <si>
    <t>XCN</t>
  </si>
  <si>
    <t>IC3CN</t>
  </si>
  <si>
    <t>TGW</t>
  </si>
  <si>
    <t>IC1GW</t>
  </si>
  <si>
    <t>XLR</t>
  </si>
  <si>
    <t>IC3LR</t>
  </si>
  <si>
    <t>XNE</t>
  </si>
  <si>
    <t>IC3NE</t>
  </si>
  <si>
    <t>XNY</t>
  </si>
  <si>
    <t>IC4NY</t>
  </si>
  <si>
    <t>Canal House UPS</t>
  </si>
  <si>
    <t>UPS</t>
  </si>
  <si>
    <t>XOD</t>
  </si>
  <si>
    <t>IC2OD</t>
  </si>
  <si>
    <t>XSD</t>
  </si>
  <si>
    <t>IC3SD</t>
  </si>
  <si>
    <t>TWN</t>
  </si>
  <si>
    <t>IC3WN</t>
  </si>
  <si>
    <t>IC2ER</t>
  </si>
  <si>
    <t>Type A - Reporting Data</t>
  </si>
  <si>
    <t>System Load (kW)</t>
  </si>
  <si>
    <t>Reserved (kW)</t>
  </si>
  <si>
    <t>Forecast (kW)</t>
  </si>
  <si>
    <t>Power Capability (kW)</t>
  </si>
  <si>
    <t>Power Element RAG (% remaining)</t>
  </si>
  <si>
    <t>IC30AN</t>
  </si>
  <si>
    <t>IC30BE</t>
  </si>
  <si>
    <t>IC31BE</t>
  </si>
  <si>
    <t>IC30CY</t>
  </si>
  <si>
    <t>IC13GL</t>
  </si>
  <si>
    <t>IC14GL</t>
  </si>
  <si>
    <t>IC30GL</t>
  </si>
  <si>
    <t>IC31GL</t>
  </si>
  <si>
    <t>IC30GR</t>
  </si>
  <si>
    <t>IC30KS</t>
  </si>
  <si>
    <t>IC12LD</t>
  </si>
  <si>
    <t>IC13LD</t>
  </si>
  <si>
    <t>IC30LD</t>
  </si>
  <si>
    <t>IC20MS</t>
  </si>
  <si>
    <t>IC30MS</t>
  </si>
  <si>
    <t>IC31MS</t>
  </si>
  <si>
    <t>IC30OM</t>
  </si>
  <si>
    <t>IC30RM</t>
  </si>
  <si>
    <t>IC30SY</t>
  </si>
  <si>
    <t>Core Graphing data</t>
  </si>
  <si>
    <t>ICxBE</t>
  </si>
  <si>
    <t>ICxGL</t>
  </si>
  <si>
    <t>ICxLD</t>
  </si>
  <si>
    <t>ICxMS</t>
  </si>
  <si>
    <t>Type B Graphing data</t>
  </si>
  <si>
    <t>IC3LS</t>
  </si>
  <si>
    <t>IC1WY</t>
  </si>
  <si>
    <t>CH PDU</t>
  </si>
  <si>
    <t>System Load (A)</t>
  </si>
  <si>
    <t>Remaining Capacity (A)</t>
  </si>
  <si>
    <t>CH PDU Forecasted  Elements</t>
  </si>
  <si>
    <t>Phase L1</t>
  </si>
  <si>
    <t>2A (VFPTSP 22015)</t>
  </si>
  <si>
    <t>Phase L2</t>
  </si>
  <si>
    <t>Phase L3</t>
  </si>
  <si>
    <t>Total (A)</t>
  </si>
  <si>
    <t>Total(kW)</t>
  </si>
  <si>
    <t>Max load on PDU 75kW (130A per phase limit)</t>
  </si>
  <si>
    <t>DC Power Plant Usage Report</t>
  </si>
  <si>
    <t>Type A Sites</t>
  </si>
  <si>
    <t>Technology Load for the site (kW)</t>
  </si>
  <si>
    <t>Reserved+Forecast for the site (kW)</t>
  </si>
  <si>
    <t>Deployed DC Capability (kW)</t>
  </si>
  <si>
    <t>Max Technology Load (kW)</t>
  </si>
  <si>
    <t>Kings Cross Breakdown</t>
  </si>
  <si>
    <t>DC Load for the site (kW)</t>
  </si>
  <si>
    <t>Forecast for the site (kW)</t>
  </si>
  <si>
    <t>XKS - 1st Floor</t>
  </si>
  <si>
    <t>XKS - 2nd Floor</t>
  </si>
  <si>
    <t>XKS - 3rd Floor</t>
  </si>
  <si>
    <t>Type B Sites</t>
  </si>
  <si>
    <t>N/A</t>
  </si>
  <si>
    <t>Power Plant Load (kW)</t>
  </si>
  <si>
    <t>Reserved+Forecast (kW)</t>
  </si>
  <si>
    <t>Useable Power Capacity (kW)</t>
  </si>
  <si>
    <t>Total Power Plant Capacity (kW)</t>
  </si>
  <si>
    <t>DCSYS07A</t>
  </si>
  <si>
    <t>DCSYS07B</t>
  </si>
  <si>
    <t xml:space="preserve"> (to 90% Capacity Mgmt Limit)</t>
  </si>
  <si>
    <t>Site</t>
  </si>
  <si>
    <t>100% Capacity kW</t>
  </si>
  <si>
    <t>90% Maximum Capacity Management Limit</t>
  </si>
  <si>
    <t>10% Cap Mgmt Limit</t>
  </si>
  <si>
    <t>Running Load kW</t>
  </si>
  <si>
    <t>NFV Reserved kW</t>
  </si>
  <si>
    <t>Forecast kW</t>
  </si>
  <si>
    <t>Run Load + Fore +Res</t>
  </si>
  <si>
    <t>Remaining Capacity kW</t>
  </si>
  <si>
    <t>Remaining kW 
including NFV Reserve</t>
  </si>
  <si>
    <t>Maximum NFV Require FY22-23
kW</t>
  </si>
  <si>
    <t>Typical  NFV Require FY22-23 kW</t>
  </si>
  <si>
    <t>Remaining kW
 (to 100% Capacity)</t>
  </si>
  <si>
    <t>Original Forecast
kW</t>
  </si>
  <si>
    <t>85% Figure</t>
  </si>
  <si>
    <t>Remaining Cap kW to 85%</t>
  </si>
  <si>
    <t>Typical/Max Demand</t>
  </si>
  <si>
    <t>Hardware Name</t>
  </si>
  <si>
    <t>OEM Requested Max (kW)</t>
  </si>
  <si>
    <t>NDI Reserve (kW)</t>
  </si>
  <si>
    <t>NDI Reserve/OEM Requested</t>
  </si>
  <si>
    <t>Gen 9 HP</t>
  </si>
  <si>
    <t>Gen 10 HPC</t>
  </si>
  <si>
    <t>Dell M1000e</t>
  </si>
  <si>
    <t>Synergy AC</t>
  </si>
  <si>
    <t>Synergy DC</t>
  </si>
  <si>
    <t>BKL</t>
  </si>
  <si>
    <t xml:space="preserve">RMS Cab type  </t>
  </si>
  <si>
    <t> OEM Max Value (KW)</t>
  </si>
  <si>
    <t>OEM Typical Values (KW)</t>
  </si>
  <si>
    <t>Storage Cab Live ( 4 x Powerstore 500T, 2 x 5448 Storage Leaf Switches, 2 x 9432 Storage Spine Switches)</t>
  </si>
  <si>
    <r>
      <t xml:space="preserve">8 X RMS Host and </t>
    </r>
    <r>
      <rPr>
        <sz val="11"/>
        <color rgb="FFFF0000"/>
        <rFont val="Calibri"/>
        <family val="2"/>
      </rPr>
      <t>High Performance</t>
    </r>
    <r>
      <rPr>
        <sz val="11"/>
        <color rgb="FF000000"/>
        <rFont val="Calibri"/>
        <family val="2"/>
      </rPr>
      <t xml:space="preserve"> Networking ( 2 x 5448 Service TOR , 1 x 5448 Storage TOR , 1 x 5248 Mgmt TOR)</t>
    </r>
  </si>
  <si>
    <r>
      <t xml:space="preserve">8 X RMS Host and </t>
    </r>
    <r>
      <rPr>
        <sz val="11"/>
        <color rgb="FFFF0000"/>
        <rFont val="Calibri"/>
        <family val="2"/>
      </rPr>
      <t>STD Performance</t>
    </r>
    <r>
      <rPr>
        <sz val="11"/>
        <color rgb="FF000000"/>
        <rFont val="Calibri"/>
        <family val="2"/>
      </rPr>
      <t xml:space="preserve"> Networking ( 1 x 5448 Service TOR , 1 x 5448 Storage TOR , 1 x 5248 Mgmt TOR)</t>
    </r>
  </si>
  <si>
    <t>11 x RMS and 1 x 2248 OOB switch</t>
  </si>
  <si>
    <t>10 x RMS cab</t>
  </si>
  <si>
    <t>Hi Perf POD Power Loads per POD Kw</t>
  </si>
  <si>
    <t>Storage Kw</t>
  </si>
  <si>
    <t xml:space="preserve">Site Totals </t>
  </si>
  <si>
    <t xml:space="preserve">POD with x38 RMS </t>
  </si>
  <si>
    <t>STD Perf POD Power Loads per POD Kw</t>
  </si>
  <si>
    <t xml:space="preserve">Site Requirements </t>
  </si>
  <si>
    <t xml:space="preserve">Power Requirement </t>
  </si>
  <si>
    <t>Remaining CAP kW to 85%</t>
  </si>
  <si>
    <t>XGR x1 Store, x2 High Perf RMS &amp; x1 STD Perf RMS</t>
  </si>
  <si>
    <t>x2 PODs &amp; Storage cabinets 90kW</t>
  </si>
  <si>
    <t>XGL x1 Store, x2 High Perf RMS &amp; x2 STD Perf RMS</t>
  </si>
  <si>
    <t xml:space="preserve">Needs new room </t>
  </si>
  <si>
    <t xml:space="preserve">DC capacity can be used for CISCO 9912 </t>
  </si>
  <si>
    <t>XOM x1 Store, x2 High Perf RMS &amp; x2 STD Perf RMS</t>
  </si>
  <si>
    <t xml:space="preserve">x2 PODs &amp; Storage cabinets 90kW or 83kW second POD with last cabinet empty so -10 RMS </t>
  </si>
  <si>
    <t>BKLN05 x1 Store, x1 High Perf RMS &amp; x1 STD Perf RMS</t>
  </si>
  <si>
    <t xml:space="preserve">If to 90% of UPS then can go into BKLN05 ext </t>
  </si>
  <si>
    <r>
      <t>Infra Ready - NDI [Cables &amp; Cabs]</t>
    </r>
    <r>
      <rPr>
        <sz val="11"/>
        <color rgb="FF000000"/>
        <rFont val="Calibri"/>
        <family val="2"/>
      </rPr>
      <t xml:space="preserve">134 daysTue 27/09/22Fri 31/03/23   </t>
    </r>
  </si>
  <si>
    <r>
      <t>XOM [19]</t>
    </r>
    <r>
      <rPr>
        <sz val="11"/>
        <color rgb="FF000000"/>
        <rFont val="Calibri"/>
        <family val="2"/>
      </rPr>
      <t xml:space="preserve">   Thu 26/01/23  </t>
    </r>
  </si>
  <si>
    <r>
      <t>XGL [28] [AC Room]   Fri 31/03/23</t>
    </r>
    <r>
      <rPr>
        <sz val="11"/>
        <color rgb="FF000000"/>
        <rFont val="Calibri"/>
        <family val="2"/>
      </rPr>
      <t xml:space="preserve"> Cabinet on site with power to undertake build </t>
    </r>
  </si>
  <si>
    <r>
      <t>BKNL [21]</t>
    </r>
    <r>
      <rPr>
        <sz val="11"/>
        <color rgb="FF000000"/>
        <rFont val="Calibri"/>
        <family val="2"/>
      </rPr>
      <t xml:space="preserve">  Wed 30/11/22</t>
    </r>
  </si>
  <si>
    <r>
      <t>XGR [15]</t>
    </r>
    <r>
      <rPr>
        <sz val="11"/>
        <color rgb="FF000000"/>
        <rFont val="Calibri"/>
        <family val="2"/>
      </rPr>
      <t xml:space="preserve">    Thu 26/01/23   </t>
    </r>
  </si>
  <si>
    <t xml:space="preserve">Site Name </t>
  </si>
  <si>
    <t xml:space="preserve">Total Eqpt Rm 
Area (m²) </t>
  </si>
  <si>
    <t>Total Footprints (S)</t>
  </si>
  <si>
    <t>Total Footprints (D)-after calc</t>
  </si>
  <si>
    <t>Spare Footprints (S)</t>
  </si>
  <si>
    <t>Spare Footprints (D)-after calc</t>
  </si>
  <si>
    <t>Calc- Deep Cabs Tiles</t>
  </si>
  <si>
    <t>Deep Cabs Footprints  (based on 800mm Wide Cab)</t>
  </si>
  <si>
    <t>Total Footprints (S)m2</t>
  </si>
  <si>
    <t>Standard Cab Footprints Spare</t>
  </si>
  <si>
    <t>Deep Cab Footprints Spare-after calc</t>
  </si>
  <si>
    <r>
      <t>XKS (1</t>
    </r>
    <r>
      <rPr>
        <b/>
        <vertAlign val="superscript"/>
        <sz val="10"/>
        <rFont val="Arial"/>
        <family val="2"/>
      </rPr>
      <t>st)</t>
    </r>
  </si>
  <si>
    <r>
      <t>XKS (2</t>
    </r>
    <r>
      <rPr>
        <b/>
        <vertAlign val="superscript"/>
        <sz val="10"/>
        <rFont val="Arial"/>
        <family val="2"/>
      </rPr>
      <t>nd)</t>
    </r>
  </si>
  <si>
    <r>
      <t>XKS (3</t>
    </r>
    <r>
      <rPr>
        <b/>
        <vertAlign val="superscript"/>
        <sz val="10"/>
        <rFont val="Arial"/>
        <family val="2"/>
      </rPr>
      <t>rd)</t>
    </r>
  </si>
  <si>
    <t>Graphing Calcs</t>
  </si>
  <si>
    <t>NFV Sites</t>
  </si>
  <si>
    <t>Site Name</t>
  </si>
  <si>
    <t>Current Usage (S)</t>
  </si>
  <si>
    <t>Reserved no of cabs (S)</t>
  </si>
  <si>
    <t>Forecast no of cabs (S)</t>
  </si>
  <si>
    <t>Remaining Capacity (S)</t>
  </si>
  <si>
    <t>Current Usage (D)</t>
  </si>
  <si>
    <t>Reserved no of cabs (D)</t>
  </si>
  <si>
    <t>Forecast no of cabs (D)</t>
  </si>
  <si>
    <t>Remaining Capacity (D)</t>
  </si>
  <si>
    <t xml:space="preserve">Used (m²) </t>
  </si>
  <si>
    <t>Reserved (m²)</t>
  </si>
  <si>
    <t xml:space="preserve">Forecast (m²) </t>
  </si>
  <si>
    <t>Total usable space (m²) (based on cab positions and front/back space)</t>
  </si>
  <si>
    <t>% usable space remaining</t>
  </si>
  <si>
    <t xml:space="preserve">Remaining (m²) </t>
  </si>
  <si>
    <t>CORE Sites</t>
  </si>
  <si>
    <t>Total usable space (based on cab positions and front/back space)</t>
  </si>
  <si>
    <t>Forecast Cab Deployment (S)</t>
  </si>
  <si>
    <t>Forecast Cab Deployment (D)</t>
  </si>
  <si>
    <t>Pie Chart</t>
  </si>
  <si>
    <t>Site Name Non-Core</t>
  </si>
  <si>
    <t>Deep Cabs Footprints</t>
  </si>
  <si>
    <t>XNE (XNE001)</t>
  </si>
  <si>
    <t>XNE (XNE002)</t>
  </si>
  <si>
    <t>XNY COMP RM</t>
  </si>
  <si>
    <t>XOD (Grd Flr)</t>
  </si>
  <si>
    <t>XOD (1st Flr)</t>
  </si>
  <si>
    <t>Graphing Calculations Non-Core</t>
  </si>
  <si>
    <t xml:space="preserve">Current Usage </t>
  </si>
  <si>
    <t>Forecast Cab Deployment</t>
  </si>
  <si>
    <t>Remaining Capacity</t>
  </si>
  <si>
    <t>Used (m²)</t>
  </si>
  <si>
    <t>Forecast (m²)</t>
  </si>
  <si>
    <t>Remaining (m²)</t>
  </si>
  <si>
    <t>m²</t>
  </si>
  <si>
    <t>XKS Breakdown</t>
  </si>
  <si>
    <t>Suite Lines Spare</t>
  </si>
  <si>
    <t>Spare Capacity (m²)</t>
  </si>
  <si>
    <t>Known Forecast (m²)</t>
  </si>
  <si>
    <t>Suite Lines In Site</t>
  </si>
  <si>
    <t>Deployed Capacity (m²)</t>
  </si>
  <si>
    <t>Max Useable Capacity (m²)</t>
  </si>
  <si>
    <t>Basement</t>
  </si>
  <si>
    <t>First Floor</t>
  </si>
  <si>
    <t>Second Floor</t>
  </si>
  <si>
    <t>Third Floor</t>
  </si>
  <si>
    <t>Graphing Calc</t>
  </si>
  <si>
    <t>Current Usage (m²)</t>
  </si>
  <si>
    <t>Available Capacity (m²)</t>
  </si>
  <si>
    <t>Quarter of total deployed Capacity(m2)</t>
  </si>
  <si>
    <t>Left to hit quarter (m2)</t>
  </si>
  <si>
    <t>XOM Graph Calcs</t>
  </si>
  <si>
    <t>East</t>
  </si>
  <si>
    <t>West</t>
  </si>
  <si>
    <t>Total</t>
  </si>
  <si>
    <t>Graphing Calcs Non Strat CORE</t>
  </si>
  <si>
    <t>Current DC Usage (kW)</t>
  </si>
  <si>
    <t>Deployed DC Capacity (kW)</t>
  </si>
  <si>
    <t>Max Usable DC Capacity (kW)</t>
  </si>
  <si>
    <t>Max Usable Technology Load (kW)</t>
  </si>
  <si>
    <t>Tactical Expansion Cap</t>
  </si>
  <si>
    <t>Demand on Building in Current limit (kW)</t>
  </si>
  <si>
    <t>A&amp;B</t>
  </si>
  <si>
    <t>A or B</t>
  </si>
  <si>
    <t>DC Output Load Per Rect (A)</t>
  </si>
  <si>
    <t xml:space="preserve">Effiency </t>
  </si>
  <si>
    <t>Real Load on Building (kW)</t>
  </si>
  <si>
    <t>Building load with Rectifiers in Current Limit 92% Efficent (kW)</t>
  </si>
  <si>
    <t>Plant Name</t>
  </si>
  <si>
    <t>Type</t>
  </si>
  <si>
    <t>DC Current Load (A)</t>
  </si>
  <si>
    <t>Number of Rectifiers</t>
  </si>
  <si>
    <t>Rectifier Capacity (kW)</t>
  </si>
  <si>
    <t>Based on deployed capabilty of power systems (kW)</t>
  </si>
  <si>
    <t>Total AirCon (kW)</t>
  </si>
  <si>
    <t>Start</t>
  </si>
  <si>
    <t>End</t>
  </si>
  <si>
    <t>Replacement Range</t>
  </si>
  <si>
    <t>Current FY</t>
  </si>
  <si>
    <t>Current FY Expenditure</t>
  </si>
  <si>
    <t>Bugeting FY</t>
  </si>
  <si>
    <t>Budget Requirement forecast</t>
  </si>
  <si>
    <t>Battery life (years)</t>
  </si>
  <si>
    <t>Battery life (days)</t>
  </si>
  <si>
    <t>Next FY</t>
  </si>
  <si>
    <t>Load (kW)</t>
  </si>
  <si>
    <t>Estimated Autonomy Time @25degC</t>
  </si>
  <si>
    <t>Battery Cab 1</t>
  </si>
  <si>
    <t>Battery Cab 2</t>
  </si>
  <si>
    <t>Battery Cab 3</t>
  </si>
  <si>
    <t>Battery Cab 4</t>
  </si>
  <si>
    <t>Battery Cab 5</t>
  </si>
  <si>
    <t>Battery Cab 6</t>
  </si>
  <si>
    <t>Battery Cab 7</t>
  </si>
  <si>
    <t>Battery Cab 8</t>
  </si>
  <si>
    <t>Battery Cab 9</t>
  </si>
  <si>
    <t>Battery Cab 10</t>
  </si>
  <si>
    <t>Battery Cab 11</t>
  </si>
  <si>
    <t>Battery Type</t>
  </si>
  <si>
    <t>PO Number (for cells)</t>
  </si>
  <si>
    <t>Total Number of Strings</t>
  </si>
  <si>
    <t>Load Per String (kW)</t>
  </si>
  <si>
    <t>Lookup value</t>
  </si>
  <si>
    <t>Strings schedulled for replacement</t>
  </si>
  <si>
    <t>Strings in Need of replacement</t>
  </si>
  <si>
    <t>Battery Testing Requirement</t>
  </si>
  <si>
    <t>Test Type</t>
  </si>
  <si>
    <t>SBS XL 170F-FT</t>
  </si>
  <si>
    <t>6V165/6</t>
  </si>
  <si>
    <t>IR+HC Testing</t>
  </si>
  <si>
    <t>Discharge Testing</t>
  </si>
  <si>
    <t>Battery Characteristics Table</t>
  </si>
  <si>
    <t>Time</t>
  </si>
  <si>
    <t>30 mins</t>
  </si>
  <si>
    <t>35 mins</t>
  </si>
  <si>
    <t>40 mins</t>
  </si>
  <si>
    <t>45 mins</t>
  </si>
  <si>
    <t>50 mins</t>
  </si>
  <si>
    <t>55 mins</t>
  </si>
  <si>
    <t>1 hour</t>
  </si>
  <si>
    <t>1.5 hours</t>
  </si>
  <si>
    <t>2 hours</t>
  </si>
  <si>
    <t>2.5 hours</t>
  </si>
  <si>
    <t>3 hours</t>
  </si>
  <si>
    <t>4 hours</t>
  </si>
  <si>
    <t>5 hours</t>
  </si>
  <si>
    <t>6 hours</t>
  </si>
  <si>
    <t>7 hours</t>
  </si>
  <si>
    <t>8 hours</t>
  </si>
  <si>
    <t>6V165/6 Power discharge (watts per cell) @ 20degC to 1.8Vper cell</t>
  </si>
  <si>
    <t>6V165/6 Power discharge (watts per cell) @ 25degC to 1.8Vper cell</t>
  </si>
  <si>
    <t>16 Block Configuration (kW) @20degC</t>
  </si>
  <si>
    <t>16 Block Configuration (kW) @25degC</t>
  </si>
  <si>
    <t>Max load support at 9 strings (kW) @25degC</t>
  </si>
  <si>
    <t>Financial Forecast</t>
  </si>
  <si>
    <t>Single Cell cost</t>
  </si>
  <si>
    <t>String Cost</t>
  </si>
  <si>
    <t>Current FY+ 1 years</t>
  </si>
  <si>
    <t>Current FY+ 2 years</t>
  </si>
  <si>
    <t>Current FY+ 3 years</t>
  </si>
  <si>
    <t>Current FY+ 4 years</t>
  </si>
  <si>
    <t>Current FY+ 5 years</t>
  </si>
  <si>
    <t>Current FY+ 6 years</t>
  </si>
  <si>
    <t>Current FY+ 7 years</t>
  </si>
  <si>
    <t>Number of strings</t>
  </si>
  <si>
    <t>Estimated HW Cost</t>
  </si>
  <si>
    <t>Estimated Labour Cost</t>
  </si>
  <si>
    <t>Total Estimate</t>
  </si>
  <si>
    <t>Support Modelling</t>
  </si>
  <si>
    <t>Year 0</t>
  </si>
  <si>
    <t>Year 6</t>
  </si>
  <si>
    <t>Year 5</t>
  </si>
  <si>
    <t>Year 4</t>
  </si>
  <si>
    <t>Year 3</t>
  </si>
  <si>
    <t>Year 2</t>
  </si>
  <si>
    <t>Year 1</t>
  </si>
  <si>
    <t>Year 7</t>
  </si>
  <si>
    <t>Replacement Due</t>
  </si>
  <si>
    <t>Discharge</t>
  </si>
  <si>
    <t>IR+HC</t>
  </si>
  <si>
    <t>New</t>
  </si>
  <si>
    <t>Reaplcement work around</t>
  </si>
  <si>
    <t>IR</t>
  </si>
  <si>
    <t>HC</t>
  </si>
  <si>
    <t>TLS</t>
  </si>
  <si>
    <t>TWY</t>
  </si>
  <si>
    <t>Site Name *=CHE</t>
  </si>
  <si>
    <t>Current Usage (kW)</t>
  </si>
  <si>
    <t>Forecast + Reserved (kW)</t>
  </si>
  <si>
    <t>Max Useable DC Capacity (kW)</t>
  </si>
  <si>
    <t>Max Useable Technology Load (kW)</t>
  </si>
  <si>
    <t>Tsi Current Usage (kW)</t>
  </si>
  <si>
    <t>Tsi Known Forecast (kW)</t>
  </si>
  <si>
    <t>Deployed Tsi Capacity (kW)</t>
  </si>
  <si>
    <t xml:space="preserve"> XBE</t>
  </si>
  <si>
    <t xml:space="preserve"> XGL</t>
  </si>
  <si>
    <t xml:space="preserve"> XLD</t>
  </si>
  <si>
    <t xml:space="preserve"> XMS</t>
  </si>
  <si>
    <t>Graphing Calculations- 9 Core Sites</t>
  </si>
  <si>
    <t>Inverter Usage (kW)</t>
  </si>
  <si>
    <t>DC Usage (kW)</t>
  </si>
  <si>
    <t>Remaining Deployed Usable Capability (kW)</t>
  </si>
  <si>
    <t>Power Expansion Capability  (kW)</t>
  </si>
  <si>
    <t>XKS
1st floor</t>
  </si>
  <si>
    <t>XKS
2nd floor</t>
  </si>
  <si>
    <t>XKS
3rd floor</t>
  </si>
  <si>
    <t>`</t>
  </si>
  <si>
    <t>Graphing Calculations</t>
  </si>
  <si>
    <t>Remaining Capacity (kW)</t>
  </si>
  <si>
    <t>DC Current Usage (kW)</t>
  </si>
  <si>
    <t>DC Forecast (kW)</t>
  </si>
  <si>
    <t>Graphing Calculations - 5 Remaining Core Sites</t>
  </si>
  <si>
    <t>Core Strat Sites Pwr Utilisation</t>
  </si>
  <si>
    <t>CHE Sites Pwr Utilisation</t>
  </si>
  <si>
    <t>Non- CHE Sites Pwr Utilisation</t>
  </si>
  <si>
    <t>CHE Total Technology Load</t>
  </si>
  <si>
    <t>Total Technology Load</t>
  </si>
  <si>
    <t>Strategic (Non- CHE) Total Technology Load</t>
  </si>
  <si>
    <t>Total Technology Reserved/Forecast</t>
  </si>
  <si>
    <t>CHE Total Technology Reserved/Forecast</t>
  </si>
  <si>
    <t>Remaining Power Capability</t>
  </si>
  <si>
    <t>Strategic (Non-CHE) Total Technology Reserved/Forecast</t>
  </si>
  <si>
    <t>Total Technology Forecast</t>
  </si>
  <si>
    <t>CHE Remaining Power Capability</t>
  </si>
  <si>
    <t>Strategic (Non- CHE) Remaining Power Capability</t>
  </si>
  <si>
    <t>CHE Total Technology Forecast</t>
  </si>
  <si>
    <t>Strategic (Non- CHE) Total Technology Forecast</t>
  </si>
  <si>
    <t>Non Strat Core Sites Pwr Utilisation</t>
  </si>
  <si>
    <t>Agg Sites Pwr Utilisation</t>
  </si>
  <si>
    <t>TxO NetSure chart data</t>
  </si>
  <si>
    <t>Plant Size (kW)</t>
  </si>
  <si>
    <t>PEFWY</t>
  </si>
  <si>
    <t>RAG chart</t>
  </si>
  <si>
    <t>Red count</t>
  </si>
  <si>
    <t>Amber count</t>
  </si>
  <si>
    <t>Green Count</t>
  </si>
  <si>
    <t>CHE power plants</t>
  </si>
  <si>
    <t>Non CHE Strategic Power Plants</t>
  </si>
  <si>
    <t>Remaining Type A sites</t>
  </si>
  <si>
    <t>Inverter DC Usage (kW)</t>
  </si>
  <si>
    <t>DC Known Forecast (kW)</t>
  </si>
  <si>
    <t>PEAOM</t>
  </si>
  <si>
    <t>PEBOM</t>
  </si>
  <si>
    <t>PECOM</t>
  </si>
  <si>
    <t>PEFOM</t>
  </si>
  <si>
    <t>PEGOM</t>
  </si>
  <si>
    <t>PEHOM</t>
  </si>
  <si>
    <t>x8 Core Sites</t>
  </si>
  <si>
    <t>Current Usage</t>
  </si>
  <si>
    <t>Std</t>
  </si>
  <si>
    <t>Deep</t>
  </si>
  <si>
    <r>
      <t xml:space="preserve">Hot Air Containment </t>
    </r>
    <r>
      <rPr>
        <b/>
        <sz val="10"/>
        <color rgb="FFFF0000"/>
        <rFont val="Arial"/>
        <family val="2"/>
      </rPr>
      <t>(do not use- Feb 21 now added to overall site figs)</t>
    </r>
  </si>
  <si>
    <t>Current Cab Usage</t>
  </si>
  <si>
    <t>Reserved Cab Deployment</t>
  </si>
  <si>
    <t>Remaining Cab Capacity</t>
  </si>
  <si>
    <t xml:space="preserve">Total (m²) </t>
  </si>
  <si>
    <t xml:space="preserve">Reserved (m²) </t>
  </si>
  <si>
    <t>x6 Core Sites</t>
  </si>
  <si>
    <t>Pie Chart (S)</t>
  </si>
  <si>
    <t xml:space="preserve">Non CHE Current Usage </t>
  </si>
  <si>
    <t xml:space="preserve">CHE Current Usage </t>
  </si>
  <si>
    <t xml:space="preserve">Remaining Capacity </t>
  </si>
  <si>
    <t>Pie Chart (D)</t>
  </si>
  <si>
    <t>Property Technical Census viiew</t>
  </si>
  <si>
    <t>w</t>
  </si>
  <si>
    <t>d</t>
  </si>
  <si>
    <r>
      <t>Std m</t>
    </r>
    <r>
      <rPr>
        <vertAlign val="superscript"/>
        <sz val="8"/>
        <rFont val="Arial"/>
        <family val="2"/>
      </rPr>
      <t>2</t>
    </r>
  </si>
  <si>
    <t>600(w) x 800(d) cab + 400 front and back clearance + proportion of side corridors (worked out as 5% of both corridors at 1.2m wide)</t>
  </si>
  <si>
    <r>
      <t>Deep m</t>
    </r>
    <r>
      <rPr>
        <vertAlign val="superscript"/>
        <sz val="8"/>
        <rFont val="Arial"/>
        <family val="2"/>
      </rPr>
      <t>2</t>
    </r>
  </si>
  <si>
    <t>800(w) x 1200(d) cab + 600 front and back clearance + proportion of side corridors (worked out as 5% of both corridors at 1.2m wide)</t>
  </si>
  <si>
    <r>
      <t>Used m</t>
    </r>
    <r>
      <rPr>
        <u/>
        <vertAlign val="superscript"/>
        <sz val="8"/>
        <rFont val="Arial"/>
        <family val="2"/>
      </rPr>
      <t xml:space="preserve">2 </t>
    </r>
    <r>
      <rPr>
        <u/>
        <sz val="8"/>
        <rFont val="Arial"/>
        <family val="2"/>
      </rPr>
      <t>(zone C)</t>
    </r>
  </si>
  <si>
    <t>(manual figure)</t>
  </si>
  <si>
    <t>(includes cabs in room 1)</t>
  </si>
  <si>
    <t>(includes 1st floor)</t>
  </si>
  <si>
    <t>NFV Sites Power Breakdown (Power exp cap- Deployed Usable Capability)</t>
  </si>
  <si>
    <t>Hot Aisle Containment- discontinued Feb 21</t>
  </si>
  <si>
    <t xml:space="preserve">
</t>
  </si>
  <si>
    <t>Core sites power breakdown (Power exp cap- Deployed Usable Capability)</t>
  </si>
  <si>
    <t>CORE Sites Power Breakdown</t>
  </si>
  <si>
    <t>Actual Load (kW)</t>
  </si>
  <si>
    <t xml:space="preserve"> XBE*</t>
  </si>
  <si>
    <t>XEH**</t>
  </si>
  <si>
    <t xml:space="preserve"> XLD**</t>
  </si>
  <si>
    <t xml:space="preserve"> XMS*</t>
  </si>
  <si>
    <t>Month</t>
  </si>
  <si>
    <t>Region</t>
  </si>
  <si>
    <t>Asset Code</t>
  </si>
  <si>
    <t>Description</t>
  </si>
  <si>
    <t>Location</t>
  </si>
  <si>
    <t>System</t>
  </si>
  <si>
    <t>Tag</t>
  </si>
  <si>
    <t>AR_SEQ</t>
  </si>
  <si>
    <t>Refrigerant</t>
  </si>
  <si>
    <t>KW</t>
  </si>
  <si>
    <t>Comments</t>
  </si>
  <si>
    <t>LDC</t>
  </si>
  <si>
    <t>VF507642</t>
  </si>
  <si>
    <t>CRAC UNIT 1</t>
  </si>
  <si>
    <t>MTX Room</t>
  </si>
  <si>
    <t>AIRCON</t>
  </si>
  <si>
    <t>AHU</t>
  </si>
  <si>
    <t>ACTMTX</t>
  </si>
  <si>
    <t>R410A 16KG</t>
  </si>
  <si>
    <t>VF507643</t>
  </si>
  <si>
    <t>CRAC UNIT 2</t>
  </si>
  <si>
    <t>R410A   16kg</t>
  </si>
  <si>
    <t>Powered down 27/01/20</t>
  </si>
  <si>
    <t>VF507644</t>
  </si>
  <si>
    <t>CRAC UNIT 5</t>
  </si>
  <si>
    <t>R410a 16kg</t>
  </si>
  <si>
    <t>VF507645</t>
  </si>
  <si>
    <t>CRAC UNIT 4</t>
  </si>
  <si>
    <t>VF507646</t>
  </si>
  <si>
    <t>CRAC UNIT 3</t>
  </si>
  <si>
    <t>VF-508032</t>
  </si>
  <si>
    <t>Control Room AHU 8</t>
  </si>
  <si>
    <t>Control Room</t>
  </si>
  <si>
    <t>R410a  2.8kg</t>
  </si>
  <si>
    <t>VF-508033</t>
  </si>
  <si>
    <t>Control Room AHU 9</t>
  </si>
  <si>
    <t>VF522001</t>
  </si>
  <si>
    <t>CRAC UNIT 6</t>
  </si>
  <si>
    <t>Mids</t>
  </si>
  <si>
    <t>CHILLER 1</t>
  </si>
  <si>
    <t>EXTERNAL COMPOUND</t>
  </si>
  <si>
    <t>CHILLER</t>
  </si>
  <si>
    <t>BMGMTX</t>
  </si>
  <si>
    <t>R410A - 2 x 12.5Kg</t>
  </si>
  <si>
    <t>CHILLER 2</t>
  </si>
  <si>
    <t>CHILLER 3</t>
  </si>
  <si>
    <t>CHILLER 4</t>
  </si>
  <si>
    <t>CHILLER 5</t>
  </si>
  <si>
    <t>CHILLER 6</t>
  </si>
  <si>
    <t>CHILLER 7</t>
  </si>
  <si>
    <t>CHILLER 8</t>
  </si>
  <si>
    <t>AHU 1</t>
  </si>
  <si>
    <t>SWITCH ROOM</t>
  </si>
  <si>
    <t>FCU</t>
  </si>
  <si>
    <t>CHILLED WATER</t>
  </si>
  <si>
    <t>AHU 2</t>
  </si>
  <si>
    <t>AHU 3</t>
  </si>
  <si>
    <t>AHU 4</t>
  </si>
  <si>
    <t>AHU 10</t>
  </si>
  <si>
    <t>R407C - 19.5Kg</t>
  </si>
  <si>
    <t>AHU 5</t>
  </si>
  <si>
    <t>AHU 6</t>
  </si>
  <si>
    <t>AHU 7</t>
  </si>
  <si>
    <t>AHU 8</t>
  </si>
  <si>
    <t>AHU 9</t>
  </si>
  <si>
    <t>R407C - 16.5Kg</t>
  </si>
  <si>
    <t>TVB</t>
  </si>
  <si>
    <t>VF-121823</t>
  </si>
  <si>
    <t>Toilet Extract Fan</t>
  </si>
  <si>
    <t>Ground floor Toilet area</t>
  </si>
  <si>
    <t>VENT</t>
  </si>
  <si>
    <t>BSGMTX</t>
  </si>
  <si>
    <t>ventilation</t>
  </si>
  <si>
    <t>VF-1218234</t>
  </si>
  <si>
    <t>MTX Supply Fan</t>
  </si>
  <si>
    <t>1st Floor Over MTX Space</t>
  </si>
  <si>
    <t>Unknown</t>
  </si>
  <si>
    <t>VF-12182345</t>
  </si>
  <si>
    <t>FM200 Extract</t>
  </si>
  <si>
    <t>VF-511501</t>
  </si>
  <si>
    <t>Emerson Free cooling Unit chiller 1</t>
  </si>
  <si>
    <t>R410A 12.5KG</t>
  </si>
  <si>
    <t>VF-511502</t>
  </si>
  <si>
    <t>Emerson Free cooling chiller 2</t>
  </si>
  <si>
    <t>VF-511503</t>
  </si>
  <si>
    <t>Emerson Free cooling chiller 3</t>
  </si>
  <si>
    <t>VF-511504</t>
  </si>
  <si>
    <t>Emerson Free Outdoor chiller 4</t>
  </si>
  <si>
    <t>VF-511505</t>
  </si>
  <si>
    <t>Emerson Free cooling chiller 5</t>
  </si>
  <si>
    <t>12.5KG R410A</t>
  </si>
  <si>
    <t>VF-511506</t>
  </si>
  <si>
    <t>Emerson Free Cooling Unit chiller 6</t>
  </si>
  <si>
    <t>VF-511507</t>
  </si>
  <si>
    <t>Emerson Free cooling  Unit chiller 7</t>
  </si>
  <si>
    <t>VF-511508</t>
  </si>
  <si>
    <t>Emerson Free Cooling Unit chiller 8</t>
  </si>
  <si>
    <t>VF-511509</t>
  </si>
  <si>
    <t>Emerson Free cooling  Unit chiller 9</t>
  </si>
  <si>
    <t>Compound</t>
  </si>
  <si>
    <t>VF-511510</t>
  </si>
  <si>
    <t>Emerson Free cooling  Unit chiller 10</t>
  </si>
  <si>
    <t>VF-511511</t>
  </si>
  <si>
    <t>VRV Offices/ Kitchen</t>
  </si>
  <si>
    <t>Ground floor office area</t>
  </si>
  <si>
    <t xml:space="preserve">R407C </t>
  </si>
  <si>
    <t>non-operational/beyond economical repair</t>
  </si>
  <si>
    <t>VF-511512</t>
  </si>
  <si>
    <t>Air Handling Unit Multi Split</t>
  </si>
  <si>
    <t>1st Floor Disaster recovery area</t>
  </si>
  <si>
    <t xml:space="preserve">R410A </t>
  </si>
  <si>
    <t>VF-511513</t>
  </si>
  <si>
    <t>Air Handling Unit Small split</t>
  </si>
  <si>
    <t>R410A</t>
  </si>
  <si>
    <t>VF515001</t>
  </si>
  <si>
    <t>Chiller No10 indoor unit</t>
  </si>
  <si>
    <t>indoor unit to chiller 10</t>
  </si>
  <si>
    <t>VF515002</t>
  </si>
  <si>
    <t>Chiller No1 indoor unit</t>
  </si>
  <si>
    <t>indoor unit to chiller 01</t>
  </si>
  <si>
    <t>VF515003</t>
  </si>
  <si>
    <t>Chiller No 2 indoor unit</t>
  </si>
  <si>
    <t>indoor unit to chiller 02</t>
  </si>
  <si>
    <t>VF-515004</t>
  </si>
  <si>
    <t>Chiller No3 indoor unit</t>
  </si>
  <si>
    <t>indoor unit to chiller 03</t>
  </si>
  <si>
    <t>VF-515005</t>
  </si>
  <si>
    <t>Chiller No4 indoor unit</t>
  </si>
  <si>
    <t>indoor unit to chiller 04</t>
  </si>
  <si>
    <t>VF-515006</t>
  </si>
  <si>
    <t>Chiller No5 indoor unit</t>
  </si>
  <si>
    <t>indoor unit to chiller 05</t>
  </si>
  <si>
    <t>VF-515007</t>
  </si>
  <si>
    <t>Chiller No6 indoor unit</t>
  </si>
  <si>
    <t>indoor unit to chiller 06</t>
  </si>
  <si>
    <t>VF-515008</t>
  </si>
  <si>
    <t>Chiller No7 indoor unit</t>
  </si>
  <si>
    <t>indoor unit to chiller 07</t>
  </si>
  <si>
    <t>VF-515009</t>
  </si>
  <si>
    <t>Chiller No 8 indoor unit</t>
  </si>
  <si>
    <t>indoor unit to chiller 08</t>
  </si>
  <si>
    <t>VF-515010</t>
  </si>
  <si>
    <t>Chiller No 9 indoor unit</t>
  </si>
  <si>
    <t>indoor unit to chiller 09</t>
  </si>
  <si>
    <t>SWW</t>
  </si>
  <si>
    <t>VF 504005</t>
  </si>
  <si>
    <t>Chiller 1</t>
  </si>
  <si>
    <t>COMPOUND</t>
  </si>
  <si>
    <t>BTLMTX</t>
  </si>
  <si>
    <t>R410a 18KG</t>
  </si>
  <si>
    <t>VF 504006</t>
  </si>
  <si>
    <t>Chiller 2</t>
  </si>
  <si>
    <t>VF112074</t>
  </si>
  <si>
    <t>A/C Unit</t>
  </si>
  <si>
    <t>Comms Rm Switch Rm 3</t>
  </si>
  <si>
    <t>R410a  1.8Kg</t>
  </si>
  <si>
    <t>VF-111117</t>
  </si>
  <si>
    <t>Liebert Unit No 1</t>
  </si>
  <si>
    <t>Switchroom</t>
  </si>
  <si>
    <t>CDFMTX</t>
  </si>
  <si>
    <t>R407c 27KG</t>
  </si>
  <si>
    <t>VF-111118</t>
  </si>
  <si>
    <t>Liebert Unit No 2</t>
  </si>
  <si>
    <t>R407c 26KG</t>
  </si>
  <si>
    <t>VF-111119</t>
  </si>
  <si>
    <t>Liebert Unit No 4</t>
  </si>
  <si>
    <t>R407c 25KG</t>
  </si>
  <si>
    <t>VF-111120</t>
  </si>
  <si>
    <t>Liebert Unit No 3</t>
  </si>
  <si>
    <t>R407c 31KG</t>
  </si>
  <si>
    <t>VF504008</t>
  </si>
  <si>
    <t>Air Handling Unit CU1</t>
  </si>
  <si>
    <t>Comms Room</t>
  </si>
  <si>
    <t>R417A 3.6KG</t>
  </si>
  <si>
    <t>VF504011</t>
  </si>
  <si>
    <t>Air Handling Unit SECURITY OFFICE</t>
  </si>
  <si>
    <t>Throughout</t>
  </si>
  <si>
    <t>VF-983854</t>
  </si>
  <si>
    <t>R410a 1.7KG</t>
  </si>
  <si>
    <t>LSSE</t>
  </si>
  <si>
    <t>Free cooling Unit chiller 1</t>
  </si>
  <si>
    <t>CLYMTX</t>
  </si>
  <si>
    <t>12.5KG OF R410A</t>
  </si>
  <si>
    <t>In Use</t>
  </si>
  <si>
    <t>Free cooling Unit chiller 2</t>
  </si>
  <si>
    <t>Free cooling Unit chiller 3</t>
  </si>
  <si>
    <t>Free cooling Unit chiller 4</t>
  </si>
  <si>
    <t>Free cooling Unit chiller 5</t>
  </si>
  <si>
    <t>Free cooling Unit chiller 6</t>
  </si>
  <si>
    <t>VF-119439</t>
  </si>
  <si>
    <t>5.4KG OF R407C</t>
  </si>
  <si>
    <t>VF-119440</t>
  </si>
  <si>
    <t>4KG OF R407C</t>
  </si>
  <si>
    <t>NW</t>
  </si>
  <si>
    <t>VF-120516</t>
  </si>
  <si>
    <t>Liebert AC 1</t>
  </si>
  <si>
    <t>CSLMTX</t>
  </si>
  <si>
    <t>R407 32KG</t>
  </si>
  <si>
    <t>VF-120517</t>
  </si>
  <si>
    <t>Liebert AC  2</t>
  </si>
  <si>
    <t>changing to Airedale 40 kw</t>
  </si>
  <si>
    <t>VF-120518</t>
  </si>
  <si>
    <t>Liebert AC 3</t>
  </si>
  <si>
    <t>VF-120519</t>
  </si>
  <si>
    <t>Liebert AC 4</t>
  </si>
  <si>
    <t>VF-120520</t>
  </si>
  <si>
    <t>Liebert AC 6</t>
  </si>
  <si>
    <t>VF-120521</t>
  </si>
  <si>
    <t>Liebert AC 5</t>
  </si>
  <si>
    <t>VF-120522</t>
  </si>
  <si>
    <t>A/C Offices &amp; Mess Room</t>
  </si>
  <si>
    <t>R407 7KG</t>
  </si>
  <si>
    <t>VF-120541</t>
  </si>
  <si>
    <t>AHU Supply - Office</t>
  </si>
  <si>
    <t>MTX ROOM</t>
  </si>
  <si>
    <t>CYNMTX</t>
  </si>
  <si>
    <t>10.5KG OF R410A</t>
  </si>
  <si>
    <t>Chiller 3</t>
  </si>
  <si>
    <t>38KG OF R410A</t>
  </si>
  <si>
    <t>Runs if temperature rise above a certain setpoint</t>
  </si>
  <si>
    <t>31.2KG OF R410A</t>
  </si>
  <si>
    <t>30KG OF R407C</t>
  </si>
  <si>
    <t>Unit 1</t>
  </si>
  <si>
    <t>Old Plantroom</t>
  </si>
  <si>
    <t>ESHMTX</t>
  </si>
  <si>
    <t>20KG OF R407C</t>
  </si>
  <si>
    <t>Vigilent controlled units</t>
  </si>
  <si>
    <t>Unit 2</t>
  </si>
  <si>
    <t>Unit 3</t>
  </si>
  <si>
    <t>Unit 4</t>
  </si>
  <si>
    <t>New Plant Room</t>
  </si>
  <si>
    <t>Unit 5</t>
  </si>
  <si>
    <t>Security office AC</t>
  </si>
  <si>
    <t>Security Office</t>
  </si>
  <si>
    <t>1.9KG OF R410A</t>
  </si>
  <si>
    <t>Used as and when required</t>
  </si>
  <si>
    <t>Unit 6</t>
  </si>
  <si>
    <t>Unit 7</t>
  </si>
  <si>
    <t>VF 504021</t>
  </si>
  <si>
    <t>GCRMTX</t>
  </si>
  <si>
    <t>R407c  12.5 KG</t>
  </si>
  <si>
    <t>VF 504022</t>
  </si>
  <si>
    <t>Liebert Unit No 5</t>
  </si>
  <si>
    <t>R407c 12.5 KG</t>
  </si>
  <si>
    <t>VF 504023</t>
  </si>
  <si>
    <t>Liebert Unit No 6</t>
  </si>
  <si>
    <t>R407c  12.5KG</t>
  </si>
  <si>
    <t>VF-119068</t>
  </si>
  <si>
    <t>Control Room multi split</t>
  </si>
  <si>
    <t>CONTROL ROOM</t>
  </si>
  <si>
    <t>VF504018</t>
  </si>
  <si>
    <t>VF504019</t>
  </si>
  <si>
    <t>R407c 12.KG</t>
  </si>
  <si>
    <t>VF504020</t>
  </si>
  <si>
    <t>SC</t>
  </si>
  <si>
    <t>VF - 120406</t>
  </si>
  <si>
    <t>Air Handling Unit No.1</t>
  </si>
  <si>
    <t>GLWMTX</t>
  </si>
  <si>
    <t>R407C 20.5Kg</t>
  </si>
  <si>
    <t>VF - 120407</t>
  </si>
  <si>
    <t>Air Handling Unit No.2</t>
  </si>
  <si>
    <t>R407C 24.0Kg</t>
  </si>
  <si>
    <t>VF - 120408</t>
  </si>
  <si>
    <t>Air Handling Unit No.3</t>
  </si>
  <si>
    <t>LNEA</t>
  </si>
  <si>
    <t>Security Office Split A/C Unit</t>
  </si>
  <si>
    <t>KCSMTX</t>
  </si>
  <si>
    <t>R410A 1.00kg</t>
  </si>
  <si>
    <t>VF510763</t>
  </si>
  <si>
    <t>Air Handling Unit F1</t>
  </si>
  <si>
    <t>MTX 2</t>
  </si>
  <si>
    <t>R410A 48.1kg</t>
  </si>
  <si>
    <t>VF510766</t>
  </si>
  <si>
    <t>Air Handling Unit F2</t>
  </si>
  <si>
    <t>R410A 49.6kg</t>
  </si>
  <si>
    <t>VF510769</t>
  </si>
  <si>
    <t>Air Handling Unit F3</t>
  </si>
  <si>
    <t>R410A 51.6kg</t>
  </si>
  <si>
    <t>VF510772</t>
  </si>
  <si>
    <t>Air Handling Unit F4</t>
  </si>
  <si>
    <t>R410A 51.5kg</t>
  </si>
  <si>
    <t>VF510775</t>
  </si>
  <si>
    <t>Air Handling Unit S1</t>
  </si>
  <si>
    <t>MTX 3</t>
  </si>
  <si>
    <t>R410A 48.3kg</t>
  </si>
  <si>
    <t>VF510778</t>
  </si>
  <si>
    <t>Air Handling Unit S2</t>
  </si>
  <si>
    <t>R410A 48.6kg</t>
  </si>
  <si>
    <t>VF510781</t>
  </si>
  <si>
    <t>Air Handling Unit S3</t>
  </si>
  <si>
    <t>R410A 45.2kg</t>
  </si>
  <si>
    <t>VF510784</t>
  </si>
  <si>
    <t>Air Handling Unit S4</t>
  </si>
  <si>
    <t>R410A 54.5kg</t>
  </si>
  <si>
    <t>VF510787</t>
  </si>
  <si>
    <t>Air Handling Unit T1</t>
  </si>
  <si>
    <t>MTX 4</t>
  </si>
  <si>
    <t>R410A 43.5kg</t>
  </si>
  <si>
    <t>VF510790</t>
  </si>
  <si>
    <t>Air Handling Unit T2</t>
  </si>
  <si>
    <t>R410A 42.7kg</t>
  </si>
  <si>
    <t>VF510793</t>
  </si>
  <si>
    <t>Air Handling Unit T3</t>
  </si>
  <si>
    <t>R410A 45kg</t>
  </si>
  <si>
    <t>VF510796</t>
  </si>
  <si>
    <t>Air Handling Unit T4</t>
  </si>
  <si>
    <t>R410A 48.5kg</t>
  </si>
  <si>
    <t>AHU -  VAX ROOM</t>
  </si>
  <si>
    <t>LCTMTX</t>
  </si>
  <si>
    <t>R410A - 1.7Kg</t>
  </si>
  <si>
    <t>CONDENSER - VAX ROOM</t>
  </si>
  <si>
    <t xml:space="preserve">EXTERNAL </t>
  </si>
  <si>
    <t>CON</t>
  </si>
  <si>
    <t>SEE ASSET 015468</t>
  </si>
  <si>
    <t>PLANT ROOM</t>
  </si>
  <si>
    <t>R407C - 25Kg  2x12.5</t>
  </si>
  <si>
    <t>R407C - 25Kg 2x12.5</t>
  </si>
  <si>
    <t>CONDENSER - AHU 1</t>
  </si>
  <si>
    <t>SEE ASSET 119207</t>
  </si>
  <si>
    <t>CONDENSER - AHU 2</t>
  </si>
  <si>
    <t>SEE ASSET 119208</t>
  </si>
  <si>
    <t>CONDENSER - AHU 3</t>
  </si>
  <si>
    <t>NE</t>
  </si>
  <si>
    <t>VF-122322</t>
  </si>
  <si>
    <t>ACU 1 (2 x 3.6kg R407c)</t>
  </si>
  <si>
    <t>EXTERNAL</t>
  </si>
  <si>
    <t>LDSMTX</t>
  </si>
  <si>
    <t>R407C/2 x 3.6kg</t>
  </si>
  <si>
    <t>VF-122323</t>
  </si>
  <si>
    <t>ACU 2 (2 x 3.6kg R407c)</t>
  </si>
  <si>
    <t>VF-122324</t>
  </si>
  <si>
    <t>ACU 3 (2 x 3.6kg R407c)</t>
  </si>
  <si>
    <t>VF-122325</t>
  </si>
  <si>
    <t>ACU 4 (2 x 3.6kg R407c)</t>
  </si>
  <si>
    <t>R407C/ 2 x 3.6</t>
  </si>
  <si>
    <t>DX Air Conditioning System</t>
  </si>
  <si>
    <t>Side Chiller compound</t>
  </si>
  <si>
    <t>LIVMTX</t>
  </si>
  <si>
    <t>R410A 1.0 Kg</t>
  </si>
  <si>
    <t>R410A 1.5 Kg</t>
  </si>
  <si>
    <t>R410A 1.7 Kg</t>
  </si>
  <si>
    <t>R407C 4.4 Kg</t>
  </si>
  <si>
    <t>R407C 3.2 Kg</t>
  </si>
  <si>
    <t>R410A 1.62 Kg</t>
  </si>
  <si>
    <t>R407C 4.0 Kg</t>
  </si>
  <si>
    <t>CW - 050933</t>
  </si>
  <si>
    <t>Main Equipment Room</t>
  </si>
  <si>
    <t>Chilled Water</t>
  </si>
  <si>
    <t>CW - 050936</t>
  </si>
  <si>
    <t>CW - 050937</t>
  </si>
  <si>
    <t>CW - 050938</t>
  </si>
  <si>
    <t>Air Handling Unit No.4</t>
  </si>
  <si>
    <t>CW - 050939</t>
  </si>
  <si>
    <t>Air Handling Unit No.5</t>
  </si>
  <si>
    <t>VF - 111304</t>
  </si>
  <si>
    <t>Air Handling Unit No.6</t>
  </si>
  <si>
    <t>Decommissioned</t>
  </si>
  <si>
    <t>VF-502065</t>
  </si>
  <si>
    <t xml:space="preserve">Switch room </t>
  </si>
  <si>
    <t>LLDMTX</t>
  </si>
  <si>
    <t>R410 10KG</t>
  </si>
  <si>
    <t>VF-502066</t>
  </si>
  <si>
    <t>VF-502067</t>
  </si>
  <si>
    <t>VF-502068</t>
  </si>
  <si>
    <t>VF-502069</t>
  </si>
  <si>
    <t>VF-502070</t>
  </si>
  <si>
    <t>VF-502071</t>
  </si>
  <si>
    <t>VF-502072</t>
  </si>
  <si>
    <t xml:space="preserve">R410 10KG </t>
  </si>
  <si>
    <t>VF-502073</t>
  </si>
  <si>
    <t xml:space="preserve">outside </t>
  </si>
  <si>
    <t>R410</t>
  </si>
  <si>
    <t>VF-502074</t>
  </si>
  <si>
    <t>VF-502075</t>
  </si>
  <si>
    <t>VF-502076</t>
  </si>
  <si>
    <t>Chiller 4</t>
  </si>
  <si>
    <t>VF-502077</t>
  </si>
  <si>
    <t>Chiller 5</t>
  </si>
  <si>
    <t>VF-502078</t>
  </si>
  <si>
    <t>Chiller 6</t>
  </si>
  <si>
    <t>VF-502079</t>
  </si>
  <si>
    <t>Chiller 7</t>
  </si>
  <si>
    <t>Chiller 8</t>
  </si>
  <si>
    <t>MKSMTX</t>
  </si>
  <si>
    <t>R407C - 12.5Kg</t>
  </si>
  <si>
    <t>VF510340</t>
  </si>
  <si>
    <t>CHILLER 9</t>
  </si>
  <si>
    <t>R410A - 12.5Kg</t>
  </si>
  <si>
    <t>VERTIV</t>
  </si>
  <si>
    <t>AHU 1A</t>
  </si>
  <si>
    <t>R407C - 5.8Kg</t>
  </si>
  <si>
    <t>AHU 1B</t>
  </si>
  <si>
    <t>R407C - 3.1Kg</t>
  </si>
  <si>
    <t>VF510339</t>
  </si>
  <si>
    <t>LIEBERT</t>
  </si>
  <si>
    <t>SEE ASSET 015389</t>
  </si>
  <si>
    <t>SEE ASSET 015387</t>
  </si>
  <si>
    <t>Fan Coil Unit No9</t>
  </si>
  <si>
    <t xml:space="preserve">R407C 54Kg </t>
  </si>
  <si>
    <t>VF515051</t>
  </si>
  <si>
    <t>Test Lab unit 2</t>
  </si>
  <si>
    <t xml:space="preserve"> CANAL TEST LAB</t>
  </si>
  <si>
    <t>NBYMTX</t>
  </si>
  <si>
    <t>4KG of R410A</t>
  </si>
  <si>
    <t>VF515053</t>
  </si>
  <si>
    <t>PABX AHU 3</t>
  </si>
  <si>
    <t>CANAL PABX ROOM</t>
  </si>
  <si>
    <t>4.9KG of R410A</t>
  </si>
  <si>
    <t>VF517549</t>
  </si>
  <si>
    <t>EXTRACT AHU INVERTOR TOP</t>
  </si>
  <si>
    <t>CANAL PLANT ROOM</t>
  </si>
  <si>
    <t>FAU</t>
  </si>
  <si>
    <t>inverter/removed</t>
  </si>
  <si>
    <t>VF517550</t>
  </si>
  <si>
    <t>EXTRACT AHU INVERTOR MIDDLE</t>
  </si>
  <si>
    <t>VF517551</t>
  </si>
  <si>
    <t>EXTRACT AHU INVERTOR BOTTOM</t>
  </si>
  <si>
    <t>VF517559</t>
  </si>
  <si>
    <t>SUPPLY INVERTOR</t>
  </si>
  <si>
    <t>VF517560</t>
  </si>
  <si>
    <t>VF517561</t>
  </si>
  <si>
    <t>VF517569</t>
  </si>
  <si>
    <t>AIR CONDITIONING PANEL COP/1</t>
  </si>
  <si>
    <t>DBD</t>
  </si>
  <si>
    <t>630 AMP ISOLATOR</t>
  </si>
  <si>
    <t>distribution board</t>
  </si>
  <si>
    <t>VF517599</t>
  </si>
  <si>
    <t>AHU EXTRACT</t>
  </si>
  <si>
    <t>CANAL LOADING BAY</t>
  </si>
  <si>
    <t>chilled water ahu/switched off</t>
  </si>
  <si>
    <t>VF517605</t>
  </si>
  <si>
    <t>AHU SUPPLY</t>
  </si>
  <si>
    <t>VF517656</t>
  </si>
  <si>
    <t>CANAL COMPUTER ROOM 1</t>
  </si>
  <si>
    <t>R407C/20KG</t>
  </si>
  <si>
    <t>VF517657</t>
  </si>
  <si>
    <t>VF517658</t>
  </si>
  <si>
    <t>R407C 20KG</t>
  </si>
  <si>
    <t>VF517660</t>
  </si>
  <si>
    <t>MTX CONTROL ROOM EXTRACT FAN</t>
  </si>
  <si>
    <t>CANAL MTX CONTROL ROOM</t>
  </si>
  <si>
    <t>6 AMP</t>
  </si>
  <si>
    <t>extract fan</t>
  </si>
  <si>
    <t>VF517663</t>
  </si>
  <si>
    <t>MR SLIM SPILT</t>
  </si>
  <si>
    <t>R407C/5KG</t>
  </si>
  <si>
    <t>VF517664</t>
  </si>
  <si>
    <t>Air Handling Unit</t>
  </si>
  <si>
    <t>VF517665</t>
  </si>
  <si>
    <t>AC UNIT 1 C1/C2</t>
  </si>
  <si>
    <t>CANAL SWITCH ROOM 2</t>
  </si>
  <si>
    <t>R407C 16.7KG/16.7KG</t>
  </si>
  <si>
    <t>VF517668</t>
  </si>
  <si>
    <t>MR SLIM CEILING MOUNTS AC/1</t>
  </si>
  <si>
    <t>R407C/4.9KG</t>
  </si>
  <si>
    <t>VF517670</t>
  </si>
  <si>
    <t>HITACHI</t>
  </si>
  <si>
    <t>CANAL PATCH ROOM</t>
  </si>
  <si>
    <t>R407C/2.8KG</t>
  </si>
  <si>
    <t>VF517674</t>
  </si>
  <si>
    <t>SANYO CEILING MOUNT</t>
  </si>
  <si>
    <t>R407C/4.5KG</t>
  </si>
  <si>
    <t>VF517675</t>
  </si>
  <si>
    <t>VF517683</t>
  </si>
  <si>
    <t>R407C/5.1KG</t>
  </si>
  <si>
    <t>VF517684</t>
  </si>
  <si>
    <t>OFFICE CHILLED WATER UNIT C1/C2</t>
  </si>
  <si>
    <t>CANAL OUTSIDE COMPOUND</t>
  </si>
  <si>
    <t>R407C/40KG X2</t>
  </si>
  <si>
    <t>non-operational</t>
  </si>
  <si>
    <t>VF517806</t>
  </si>
  <si>
    <t>Airedale Blucube AHU 2</t>
  </si>
  <si>
    <t>CANAL MTX RM</t>
  </si>
  <si>
    <t>R410A 16.5/16.8 KG</t>
  </si>
  <si>
    <t>VF517807</t>
  </si>
  <si>
    <t>Airedale Blucube AHU 1</t>
  </si>
  <si>
    <t>R410 17.5/17.5 KG</t>
  </si>
  <si>
    <t>VF-122241</t>
  </si>
  <si>
    <t>PLANT ROOM OUTSIDE COMPOUND</t>
  </si>
  <si>
    <t>NWCMTX</t>
  </si>
  <si>
    <t>R407C/44.5</t>
  </si>
  <si>
    <t>VF-122242</t>
  </si>
  <si>
    <t>R407C/38.6</t>
  </si>
  <si>
    <t>VF-122243</t>
  </si>
  <si>
    <t>R407C</t>
  </si>
  <si>
    <t>VF-122264</t>
  </si>
  <si>
    <t>Air Handling Unit 2</t>
  </si>
  <si>
    <t>SWITCH ROOM 2</t>
  </si>
  <si>
    <t>VF-122265</t>
  </si>
  <si>
    <t>Air Handling Unit 1</t>
  </si>
  <si>
    <t>VF-122266</t>
  </si>
  <si>
    <t>Air Handling Unit 3</t>
  </si>
  <si>
    <t>VF-122299</t>
  </si>
  <si>
    <t>VAX Room AHU</t>
  </si>
  <si>
    <t>VAX ROOM</t>
  </si>
  <si>
    <t>R407C/3.5</t>
  </si>
  <si>
    <t>VF-501523</t>
  </si>
  <si>
    <t>LIEBERT AHU 3</t>
  </si>
  <si>
    <t>SWITCH ROOM 3</t>
  </si>
  <si>
    <t>R410A/21</t>
  </si>
  <si>
    <t>VF-501524</t>
  </si>
  <si>
    <t>LIEBERT AHU 2</t>
  </si>
  <si>
    <t>R410A/18.5</t>
  </si>
  <si>
    <t>VF-501525</t>
  </si>
  <si>
    <t>LIEBERT AHU 1</t>
  </si>
  <si>
    <t>R410A/14.5</t>
  </si>
  <si>
    <t>VF-501533</t>
  </si>
  <si>
    <t>LIEBERT HBR99 Condenser AHU 1</t>
  </si>
  <si>
    <t>REAR COMPOUND</t>
  </si>
  <si>
    <t>VF-501534</t>
  </si>
  <si>
    <t>LIEBERT HBR99 Condenser AHU 2</t>
  </si>
  <si>
    <t>VF-501535</t>
  </si>
  <si>
    <t>LIEBERT HBR099 Condenser AHU 3</t>
  </si>
  <si>
    <t>VF-121204</t>
  </si>
  <si>
    <t>Chiller 10</t>
  </si>
  <si>
    <t>outside</t>
  </si>
  <si>
    <t>OLDMTX</t>
  </si>
  <si>
    <t>VF-121208</t>
  </si>
  <si>
    <t>VF-121209</t>
  </si>
  <si>
    <t>VF-121218</t>
  </si>
  <si>
    <t>Chiller 9</t>
  </si>
  <si>
    <t>VF-121219</t>
  </si>
  <si>
    <t>VF-121220</t>
  </si>
  <si>
    <t>Liebert DX Indoor Unit 7</t>
  </si>
  <si>
    <t>R407C 20.4KG</t>
  </si>
  <si>
    <t>VF-121221</t>
  </si>
  <si>
    <t>VF-121222</t>
  </si>
  <si>
    <t>Liebert DX Indoor Unit 5</t>
  </si>
  <si>
    <t>R407C 18.4KG</t>
  </si>
  <si>
    <t>VF-121223</t>
  </si>
  <si>
    <t>VF-121241</t>
  </si>
  <si>
    <t>VF-112474</t>
  </si>
  <si>
    <t>(OXFMTX) Liebert Unit No 4</t>
  </si>
  <si>
    <t>OXFMTX</t>
  </si>
  <si>
    <t>R407c 28KG</t>
  </si>
  <si>
    <t>IN STANDBY FOR ENERGY SAVING  - READY TO USE IF NEEDED</t>
  </si>
  <si>
    <t>VF-112475</t>
  </si>
  <si>
    <t>(OXFMTX) Liebert Unit No 5</t>
  </si>
  <si>
    <t>VF-112476</t>
  </si>
  <si>
    <t>(OXFMTX) Liebert Unit No 6</t>
  </si>
  <si>
    <t>VF-112502</t>
  </si>
  <si>
    <t>(OXFMTX) Liebert Unit No 13</t>
  </si>
  <si>
    <t>NO GAS-DECOMMISSION</t>
  </si>
  <si>
    <t>NO GAS-DECOMMISSION (IN MTX3 NOT MTX2)</t>
  </si>
  <si>
    <t>VF-112503</t>
  </si>
  <si>
    <t>(OXFMTX) Liebert Unit No 14</t>
  </si>
  <si>
    <t>RS44 8.5KG/8.9KG</t>
  </si>
  <si>
    <t>VF-112521</t>
  </si>
  <si>
    <t>(OXFMTX) MTX Supply Fan</t>
  </si>
  <si>
    <t>Plantroom</t>
  </si>
  <si>
    <t>VF-112526</t>
  </si>
  <si>
    <t>(OXFMTX) Plantroom Supply Fan</t>
  </si>
  <si>
    <t>VF112537</t>
  </si>
  <si>
    <t>(OXFMTX) General Supply Fan</t>
  </si>
  <si>
    <t>VF-112560</t>
  </si>
  <si>
    <t>(OXFMTX) Toilet Extract Fan</t>
  </si>
  <si>
    <t>SWITCHED OFF</t>
  </si>
  <si>
    <t>VF-112561</t>
  </si>
  <si>
    <t>(OXFMTX) Extract Fan</t>
  </si>
  <si>
    <t>VF-112562</t>
  </si>
  <si>
    <t>VF-515011</t>
  </si>
  <si>
    <t>(OXFMTX) Chiller unit No1 indoor unit</t>
  </si>
  <si>
    <t>MTX 1</t>
  </si>
  <si>
    <t>VF-515012</t>
  </si>
  <si>
    <t>(OXFMTX) Chiller unit No2 indoor unit</t>
  </si>
  <si>
    <t>VF-515013</t>
  </si>
  <si>
    <t>(OXFMTX) Chiller unit No3 indoor unit</t>
  </si>
  <si>
    <t>XOD Free cooling unit 1</t>
  </si>
  <si>
    <t>(OXFMTX) Emerson Free cooling  Unit chiller 1</t>
  </si>
  <si>
    <t>XOD Free Cooling Unit 2</t>
  </si>
  <si>
    <t>(OXFMTX) Emerson Free cooling  Unit chiller 2</t>
  </si>
  <si>
    <t>XOD Free Cooling Unit 3</t>
  </si>
  <si>
    <t>(OXFMTX) Emerson Free cooling  Unit chiller 3</t>
  </si>
  <si>
    <t>VF-501501</t>
  </si>
  <si>
    <t>AHU-FC:03</t>
  </si>
  <si>
    <t>MAINS POWER ROOM</t>
  </si>
  <si>
    <t>RHMMTX</t>
  </si>
  <si>
    <t>R410a/CHW</t>
  </si>
  <si>
    <t>VF-501502</t>
  </si>
  <si>
    <t>AHU-FC:02</t>
  </si>
  <si>
    <t>VF-501503</t>
  </si>
  <si>
    <t>AHU-FC:01</t>
  </si>
  <si>
    <t>VF-501504</t>
  </si>
  <si>
    <t>AHU-FC:06</t>
  </si>
  <si>
    <t>VF-501505</t>
  </si>
  <si>
    <t>AHU-FC:05</t>
  </si>
  <si>
    <t>VF-501506</t>
  </si>
  <si>
    <t>AHU-FC:04</t>
  </si>
  <si>
    <t>VF-501508</t>
  </si>
  <si>
    <t>CONDENSOR CH:01</t>
  </si>
  <si>
    <t>R410a/12.5</t>
  </si>
  <si>
    <t>VF-501509</t>
  </si>
  <si>
    <t>CONDENSOR CH:02</t>
  </si>
  <si>
    <t>VF-501510</t>
  </si>
  <si>
    <t>CONDENSOR CH:03</t>
  </si>
  <si>
    <t>VF-501517</t>
  </si>
  <si>
    <t>CONDENSOR CH:04</t>
  </si>
  <si>
    <t>VF-501518</t>
  </si>
  <si>
    <t>CONDENSOR CH:05</t>
  </si>
  <si>
    <t>VF-501519</t>
  </si>
  <si>
    <t>CONDENSOR CH:06</t>
  </si>
  <si>
    <t>VF112312</t>
  </si>
  <si>
    <t>Office area supply fan</t>
  </si>
  <si>
    <t>1st Floor Office area</t>
  </si>
  <si>
    <t>SHTMTX</t>
  </si>
  <si>
    <t>ventilation fan</t>
  </si>
  <si>
    <t>VF-112313</t>
  </si>
  <si>
    <t>Mtx Roof Void</t>
  </si>
  <si>
    <t>VF-515043</t>
  </si>
  <si>
    <t>(SHT MTX) AHU 4</t>
  </si>
  <si>
    <t>GND floor MTX room</t>
  </si>
  <si>
    <t>R410A 30KG</t>
  </si>
  <si>
    <t>VF-515044</t>
  </si>
  <si>
    <t>(SHT MTX) AHU 5</t>
  </si>
  <si>
    <t>VF-515045</t>
  </si>
  <si>
    <t>(SHT MTX) AHU 1</t>
  </si>
  <si>
    <t>R410A 18KG</t>
  </si>
  <si>
    <t>VF-515046</t>
  </si>
  <si>
    <t>(SHT MTX) AHU 2</t>
  </si>
  <si>
    <t>R410A 17KG</t>
  </si>
  <si>
    <t>VF-515047</t>
  </si>
  <si>
    <t>(SHT MTX) AHU 3</t>
  </si>
  <si>
    <t>XSY Free cooling unit 1</t>
  </si>
  <si>
    <t>SNYMTX</t>
  </si>
  <si>
    <t>XSY free cooling unit 2</t>
  </si>
  <si>
    <t>Emerson Free cooling Unit chiller 2</t>
  </si>
  <si>
    <t>XSY free cooling unit 3</t>
  </si>
  <si>
    <t>Emerson Free cooling Unit chiller 3</t>
  </si>
  <si>
    <t>XSY free cooling unit 4</t>
  </si>
  <si>
    <t>Emerson Free cooling Unit chiller 4</t>
  </si>
  <si>
    <t>XSY free cooling unit 5</t>
  </si>
  <si>
    <t>Emerson Free cooling Unit chiller 5</t>
  </si>
  <si>
    <t>XSY free cooling unit 6</t>
  </si>
  <si>
    <t>Emerson Free cooling Unit chiller 6</t>
  </si>
  <si>
    <t>STDMTX</t>
  </si>
  <si>
    <t>R410A - 17.6 +18.2Kg</t>
  </si>
  <si>
    <t>R410A - 14.5 + 13Kg</t>
  </si>
  <si>
    <t>R410A - 10.5Kg</t>
  </si>
  <si>
    <t>R407C - 35Kg</t>
  </si>
  <si>
    <t>R407C - 35kg</t>
  </si>
  <si>
    <t>SITE GENERAL</t>
  </si>
  <si>
    <t>WBYMTX</t>
  </si>
  <si>
    <t>R407C - 4.8kg</t>
  </si>
  <si>
    <t>Site closed</t>
  </si>
  <si>
    <t>VF-WTN 00001</t>
  </si>
  <si>
    <t>A/c no1</t>
  </si>
  <si>
    <t>WTNMTX</t>
  </si>
  <si>
    <t>R410 12.5KG</t>
  </si>
  <si>
    <t>VF-WTN 00002</t>
  </si>
  <si>
    <t>A/c no2</t>
  </si>
  <si>
    <t>VF-WTN 00003</t>
  </si>
  <si>
    <t>A/c no3</t>
  </si>
  <si>
    <t>Element Type</t>
  </si>
  <si>
    <t>DC Load/Instance (kW)</t>
  </si>
  <si>
    <t>Total Network Load (kW)</t>
  </si>
  <si>
    <t>% of Type A Acutal Usage</t>
  </si>
  <si>
    <t>Type A Total DC Design Capability (kW)</t>
  </si>
  <si>
    <t>NGVM Core</t>
  </si>
  <si>
    <t>BBNS</t>
  </si>
  <si>
    <t>Type A Actual DC Usage (kW)</t>
  </si>
  <si>
    <t>RNC's</t>
  </si>
  <si>
    <t>BSC's</t>
  </si>
  <si>
    <t>Type A % of DC used to Support Dual Running Compared to Actual DC Usage</t>
  </si>
  <si>
    <t>SMS</t>
  </si>
  <si>
    <t>Legacy IN</t>
  </si>
  <si>
    <t>Dual Running as % of Design Load</t>
  </si>
  <si>
    <t>CHE</t>
  </si>
  <si>
    <t>VML</t>
  </si>
  <si>
    <t>CPN</t>
  </si>
  <si>
    <t>Total Per Site (kW)</t>
  </si>
  <si>
    <t>Overall Site Load (KW)</t>
  </si>
  <si>
    <t xml:space="preserve"> % of Total Site Load</t>
  </si>
  <si>
    <t>Dual Running (kW)</t>
  </si>
  <si>
    <t>Site Load</t>
  </si>
  <si>
    <t>Site Load (kW)</t>
  </si>
  <si>
    <t>Type A Graph data for 12 month Tech Load</t>
  </si>
  <si>
    <t>Graphing Figs</t>
  </si>
  <si>
    <t>Technology Load (kW) July 16</t>
  </si>
  <si>
    <t>Technology Load (kW) July 17</t>
  </si>
  <si>
    <t>Increase (kW)</t>
  </si>
  <si>
    <t>Decrease (kW)</t>
  </si>
  <si>
    <t xml:space="preserve">Difference (kW) </t>
  </si>
  <si>
    <t>Total x9</t>
  </si>
  <si>
    <t>Total x5</t>
  </si>
  <si>
    <t>Type A Graph data for 12 month AC</t>
  </si>
  <si>
    <t>AC Load (kW) Mar 14</t>
  </si>
  <si>
    <t>AC Load (kW) Mar 15</t>
  </si>
  <si>
    <t>Difference (kW)</t>
  </si>
  <si>
    <t>Total x8</t>
  </si>
  <si>
    <t>Total x6</t>
  </si>
  <si>
    <t>Type B and C Graph data for 12 month DC</t>
  </si>
  <si>
    <t>DC Load for the site (kW) Dec 12</t>
  </si>
  <si>
    <t>DC Load for the site (kW) Dec 13</t>
  </si>
  <si>
    <t>Migrations (kW)</t>
  </si>
  <si>
    <t>XHN</t>
  </si>
  <si>
    <t>Type B and C Graph data for 12 month AC</t>
  </si>
  <si>
    <r>
      <t xml:space="preserve">AC load for the site (kW) </t>
    </r>
    <r>
      <rPr>
        <sz val="8"/>
        <color indexed="10"/>
        <rFont val="Arial"/>
        <family val="2"/>
      </rPr>
      <t>Jun 12</t>
    </r>
  </si>
  <si>
    <r>
      <t xml:space="preserve">AC load for the site (kW) </t>
    </r>
    <r>
      <rPr>
        <sz val="8"/>
        <color indexed="10"/>
        <rFont val="Arial"/>
        <family val="2"/>
      </rPr>
      <t>July 13</t>
    </r>
  </si>
  <si>
    <t>No data for XCF, XOD</t>
  </si>
  <si>
    <t>Rectiifer Utilisation</t>
  </si>
  <si>
    <t>Rectifier Utilisation</t>
  </si>
  <si>
    <t>RectCap(A)</t>
  </si>
  <si>
    <t>RecOutput (A)</t>
  </si>
  <si>
    <t>ReqRect</t>
  </si>
  <si>
    <t>ActCap (A)</t>
  </si>
  <si>
    <t>SwitchOn</t>
  </si>
  <si>
    <t>SwitchOff</t>
  </si>
  <si>
    <t>MinRedundancy (%)</t>
  </si>
  <si>
    <t>MaxRedundancy (%)</t>
  </si>
  <si>
    <t>Load (A)</t>
  </si>
  <si>
    <t>Physical Rectifier Count</t>
  </si>
  <si>
    <t>Load per Rectifier (A)</t>
  </si>
  <si>
    <t>Power Output Per Rectifier (W)</t>
  </si>
  <si>
    <t>NetSure Rectifier Effiency (%)</t>
  </si>
  <si>
    <t>Total Load on Building (kW)</t>
  </si>
  <si>
    <t>NetSure (with ECO) Theoretical Best (kW)</t>
  </si>
  <si>
    <t>NetSure Delta (kW) - With ECO</t>
  </si>
  <si>
    <t>NetSure (With ECO) Financial Saving</t>
  </si>
  <si>
    <t>eSure Rectifier Efficency (%) -No ECO</t>
  </si>
  <si>
    <t>eSure Load on building (kW) - No Eco</t>
  </si>
  <si>
    <t>NetSure to eSure Delta (kW) - No ECO</t>
  </si>
  <si>
    <t>eSure (no ECO) Financial Saving</t>
  </si>
  <si>
    <t>eSure Theoretical Best (kW)</t>
  </si>
  <si>
    <t>NetSure to eSure Delta (kW) - With ECO</t>
  </si>
  <si>
    <t>eSure (with ECO) Financial Saving</t>
  </si>
  <si>
    <t>Vout（V)</t>
  </si>
  <si>
    <t>Iout(A)</t>
  </si>
  <si>
    <t>Pin(W)</t>
  </si>
  <si>
    <t>Pout(W)</t>
  </si>
  <si>
    <t>Efficiency(%)</t>
  </si>
  <si>
    <t>Electrical unit Price (pkWh)</t>
  </si>
  <si>
    <t>Type A (NetSure with ECO)</t>
  </si>
  <si>
    <t>Theoretical best (kW)</t>
  </si>
  <si>
    <t>Delta (kW)</t>
  </si>
  <si>
    <t>Financial Saving</t>
  </si>
  <si>
    <t>Type A (eSure with ECO)</t>
  </si>
  <si>
    <t>Type A (eSure without ECO)</t>
  </si>
  <si>
    <t>kWh Saving</t>
  </si>
  <si>
    <t>Totals</t>
  </si>
  <si>
    <t>Completed under MTX FY13/14</t>
  </si>
  <si>
    <t>Saving with ECO only on eSure</t>
  </si>
  <si>
    <t>eSure (with ECO) Theoretical Best (kW)</t>
  </si>
  <si>
    <t>eSure Delta (kW) - With ECO</t>
  </si>
  <si>
    <t>eSure (With ECO) Financial Saving</t>
  </si>
  <si>
    <t>Pout (W)</t>
  </si>
  <si>
    <t>Effiency (%)</t>
  </si>
  <si>
    <t>Site kW</t>
  </si>
  <si>
    <t>Forecast +Current</t>
  </si>
  <si>
    <t>PEALD</t>
  </si>
  <si>
    <t>PEBLD</t>
  </si>
  <si>
    <t>PECLD</t>
  </si>
  <si>
    <t>PEDLD</t>
  </si>
  <si>
    <t>PEELD</t>
  </si>
  <si>
    <t>PEFLD</t>
  </si>
  <si>
    <t>System Load May (A)</t>
  </si>
  <si>
    <t>System Load May (kW)</t>
  </si>
  <si>
    <t>Load per inverter</t>
  </si>
  <si>
    <t>IC7LD</t>
  </si>
  <si>
    <t>IC8LD</t>
  </si>
  <si>
    <t>IC9LD</t>
  </si>
  <si>
    <t>IC10LD</t>
  </si>
  <si>
    <t>Inverter Load on Plant</t>
  </si>
  <si>
    <t>Revised Plant Load</t>
  </si>
  <si>
    <t>Number of ccts on plant</t>
  </si>
  <si>
    <t>TSI Load</t>
  </si>
  <si>
    <t>Plant Total with TSI</t>
  </si>
  <si>
    <t>Delta</t>
  </si>
  <si>
    <t>Total Load (kW)</t>
  </si>
  <si>
    <t>Load Per Module (A)</t>
  </si>
  <si>
    <t xml:space="preserve">Max load per module </t>
  </si>
  <si>
    <t>PEAGL</t>
  </si>
  <si>
    <t>PEBGL</t>
  </si>
  <si>
    <t>PECGL</t>
  </si>
  <si>
    <t>PEDGL</t>
  </si>
  <si>
    <t>PEEGL</t>
  </si>
  <si>
    <t>PEFGL</t>
  </si>
  <si>
    <t>IC9GL</t>
  </si>
  <si>
    <t>IC10GL</t>
  </si>
  <si>
    <t>IC11GL</t>
  </si>
  <si>
    <t>IC12GL</t>
  </si>
  <si>
    <t>Max load per module</t>
  </si>
  <si>
    <t>IC6MS</t>
  </si>
  <si>
    <t>IC7MS</t>
  </si>
  <si>
    <t>IC8MS</t>
  </si>
  <si>
    <t>IC10BE</t>
  </si>
  <si>
    <t>IC11BE</t>
  </si>
  <si>
    <t>IC12BE</t>
  </si>
  <si>
    <t>IC13BE</t>
  </si>
  <si>
    <t>IC14BE</t>
  </si>
  <si>
    <t>IC31aBe</t>
  </si>
  <si>
    <t>Building Load (kW)</t>
  </si>
  <si>
    <t>Building Load Correction (from BMS)</t>
  </si>
  <si>
    <t>PUE</t>
  </si>
  <si>
    <t>Jan PUE</t>
  </si>
  <si>
    <t>Feb PUE</t>
  </si>
  <si>
    <t>Mar PUE</t>
  </si>
  <si>
    <t>Apr PUE</t>
  </si>
  <si>
    <t>May PUE</t>
  </si>
  <si>
    <t>June PUE</t>
  </si>
  <si>
    <t>July PUE</t>
  </si>
  <si>
    <t>Aug PUE</t>
  </si>
  <si>
    <t>Sep PUE</t>
  </si>
  <si>
    <t>Was no correction</t>
  </si>
  <si>
    <t>Correction was 5</t>
  </si>
  <si>
    <t>1.40</t>
  </si>
  <si>
    <t>1.50</t>
  </si>
  <si>
    <t>Correction was 40</t>
  </si>
  <si>
    <t>Same</t>
  </si>
  <si>
    <t>1.80</t>
  </si>
  <si>
    <t>Updated correction figs as of 24/07/13</t>
  </si>
  <si>
    <t>Air flow mgmt completed</t>
  </si>
  <si>
    <t>Free air cooling completed</t>
  </si>
  <si>
    <t>GRAPHING FIGS</t>
  </si>
  <si>
    <t>July 16 PUE</t>
  </si>
  <si>
    <t>July 17 PUE</t>
  </si>
  <si>
    <t>For latest PUE figs, from Sept 2017, see \team\Team Presentations\PUE Presentations 2017</t>
  </si>
  <si>
    <t>Building load</t>
  </si>
  <si>
    <t>A</t>
  </si>
  <si>
    <t>Side A</t>
  </si>
  <si>
    <t>Jun PUE</t>
  </si>
  <si>
    <t>Jul PUE</t>
  </si>
  <si>
    <t>Oct PUE</t>
  </si>
  <si>
    <t>Nov PUE</t>
  </si>
  <si>
    <t>Dec PUE</t>
  </si>
  <si>
    <t>Side B</t>
  </si>
  <si>
    <t>March PUE</t>
  </si>
  <si>
    <t>April PUE</t>
  </si>
  <si>
    <t>Building Load Correction (do not modify)</t>
  </si>
  <si>
    <t>NIR Date</t>
  </si>
  <si>
    <t>Plant(s)/Site(s)</t>
  </si>
  <si>
    <t>Request ref (VFPTSP no)</t>
  </si>
  <si>
    <t>XLD &amp; XMS</t>
  </si>
  <si>
    <t>Request for 5A AC rejected at XLD and XMS due to a no of DC plants being at &gt;90%, XBE approved as decomms planned for PEFBE</t>
  </si>
  <si>
    <t>XGL &amp; XOM</t>
  </si>
  <si>
    <t xml:space="preserve">Request for M-PE expansion, plants not yet at &lt;90%. Rejected due to prospective power requirement from NFV for next FY. Project to be asked for alternative site options  </t>
  </si>
  <si>
    <t>XMS and XEH</t>
  </si>
  <si>
    <t>XEH rejected due to power plants at capacity, XMS on hold pending investigation into why increase of approx 40A on PEDMS (may be due to possible PECMS controller failure) and possible power downs on PEDMS</t>
  </si>
  <si>
    <t>Request for x2 ISNG probes for 5G probing into empty Geoprobe cab 4 approved (10A per plant) as unlikely the RMS allocations of 206-230A on A,B and C are going to reach that</t>
  </si>
  <si>
    <t>22027 &amp; 22010</t>
  </si>
  <si>
    <t>Request for VoiP Future probes and Secure Net blades approved as 7A allocation doesn't alter the 92% load (inc forecast and res'd figs, running load 83%) for PEDMS. NFV res'd load for PEDMS to be checked and DGWMS4 (on D and F) to be powered off in new year</t>
  </si>
  <si>
    <t>Request for NFV C7000 enclosures to be powered on approved on PEIBE (running load 78%, forecast &amp; res'd takes it to 90%) as DSR to be powered off in new year (on E &amp; I)</t>
  </si>
  <si>
    <t>Request for x11 RMS servers and switches, Allaister reported that Andy had approval from Lee which takes plants PECGR + PEDGR to 93%, site to 91% utilised</t>
  </si>
  <si>
    <t>XBE and XMS</t>
  </si>
  <si>
    <t>Request for NFV TSR approved as will be gettting back approx 7kW per plant when Gen 9s powered down, overall approx 10kW per site increase</t>
  </si>
  <si>
    <t>XBEand XMS</t>
  </si>
  <si>
    <t>Request for Fortinet servers approved as will be power returned at each site when TSRs installed and Gen 9s powered down</t>
  </si>
  <si>
    <t>23027 + 23028</t>
  </si>
  <si>
    <t>x4 ISNG probes required, apporved to go into Geoprobe Cab 5, remove 20A reserved NFV load from plants C,E and F, as it is for NFV probing. IPAR cab (AC powered) required for Security, approved due to large reserved load for NFV</t>
  </si>
  <si>
    <t>Inverter system</t>
  </si>
  <si>
    <t>Inverter Numbering</t>
  </si>
  <si>
    <t>Comment</t>
  </si>
  <si>
    <t>Inv1</t>
  </si>
  <si>
    <t>Inv2</t>
  </si>
  <si>
    <t>Inv3</t>
  </si>
  <si>
    <t>Inv4</t>
  </si>
  <si>
    <t>Inv5</t>
  </si>
  <si>
    <t>Inv10</t>
  </si>
  <si>
    <t>Inv11</t>
  </si>
  <si>
    <t>Inv12</t>
  </si>
  <si>
    <t>Inv13</t>
  </si>
  <si>
    <t>Inv14</t>
  </si>
  <si>
    <t>Inv18</t>
  </si>
  <si>
    <t>Inv19</t>
  </si>
  <si>
    <t>Inv20</t>
  </si>
  <si>
    <t>Inv21</t>
  </si>
  <si>
    <t>Inv22</t>
  </si>
  <si>
    <t>Inv23</t>
  </si>
  <si>
    <t>Inv24</t>
  </si>
  <si>
    <t>Inv25</t>
  </si>
  <si>
    <t>Inv26</t>
  </si>
  <si>
    <t>Inv6</t>
  </si>
  <si>
    <t>Inv7</t>
  </si>
  <si>
    <t>Inv8</t>
  </si>
  <si>
    <t>Inv9</t>
  </si>
  <si>
    <t>Inv17</t>
  </si>
  <si>
    <t>DC switched off</t>
  </si>
  <si>
    <t>Inv15</t>
  </si>
  <si>
    <t>Inv16</t>
  </si>
  <si>
    <t>Inv27</t>
  </si>
  <si>
    <t>Inv28</t>
  </si>
  <si>
    <t>Inv29</t>
  </si>
  <si>
    <t>Inv30</t>
  </si>
  <si>
    <t>Inverter off</t>
  </si>
  <si>
    <t>DC Connected by not used</t>
  </si>
  <si>
    <t>Distributed DC feed</t>
  </si>
  <si>
    <t>Current details</t>
  </si>
  <si>
    <t>Room capablility (kW)</t>
  </si>
  <si>
    <t xml:space="preserve">Note each HAC is 150kW MAX cooling </t>
  </si>
  <si>
    <t xml:space="preserve">XGL001 </t>
  </si>
  <si>
    <t>AC iPDUs - limited to 150kW per grouped pair. Max total limited to UPS output of 600kW</t>
  </si>
  <si>
    <t>PDU %age RAG</t>
  </si>
  <si>
    <t xml:space="preserve">HAC1 
A 1 - 13 &amp; B 1 - 13 </t>
  </si>
  <si>
    <t>kW</t>
  </si>
  <si>
    <t xml:space="preserve">HAC2
A 18 - 30 &amp; B 18 - 30 </t>
  </si>
  <si>
    <t>PDU 1C</t>
  </si>
  <si>
    <t>PDU 1D</t>
  </si>
  <si>
    <t>PDU 2C</t>
  </si>
  <si>
    <t>PDU 2D</t>
  </si>
  <si>
    <t>PDU 3C</t>
  </si>
  <si>
    <t xml:space="preserve">PDU3D </t>
  </si>
  <si>
    <t xml:space="preserve">PDU 4C </t>
  </si>
  <si>
    <t xml:space="preserve">PDU 4D </t>
  </si>
  <si>
    <t xml:space="preserve">PDU 6C </t>
  </si>
  <si>
    <t xml:space="preserve">PDU 6D </t>
  </si>
  <si>
    <t xml:space="preserve">PDU 8C </t>
  </si>
  <si>
    <t>PDU 8D</t>
  </si>
  <si>
    <t>%age</t>
  </si>
  <si>
    <t>Bottom Figure</t>
  </si>
  <si>
    <t>Top Figure</t>
  </si>
  <si>
    <t>POD601 - 604</t>
  </si>
  <si>
    <t>Util 01</t>
  </si>
  <si>
    <t xml:space="preserve">Amps Allocated </t>
  </si>
  <si>
    <t>POD401 - 405</t>
  </si>
  <si>
    <t>Util 02</t>
  </si>
  <si>
    <t xml:space="preserve">kW Allocated </t>
  </si>
  <si>
    <t xml:space="preserve">Dell Store 101 </t>
  </si>
  <si>
    <t xml:space="preserve">Total </t>
  </si>
  <si>
    <t>POD101 - 105</t>
  </si>
  <si>
    <t xml:space="preserve">PER Phase Allocated </t>
  </si>
  <si>
    <t>POD 701 - 704</t>
  </si>
  <si>
    <t>POD 701 - 703</t>
  </si>
  <si>
    <t>POD201 - 205</t>
  </si>
  <si>
    <t>L1</t>
  </si>
  <si>
    <t xml:space="preserve">New Total </t>
  </si>
  <si>
    <t>POD301 - 305</t>
  </si>
  <si>
    <t>L2</t>
  </si>
  <si>
    <t>L3</t>
  </si>
  <si>
    <t xml:space="preserve">HAC 3
C 1- 13  &amp; D 1 - 13 </t>
  </si>
  <si>
    <t>POD704</t>
  </si>
  <si>
    <t xml:space="preserve">Amps Measured </t>
  </si>
  <si>
    <t>POD801 - 804</t>
  </si>
  <si>
    <t xml:space="preserve">kW Measured  </t>
  </si>
  <si>
    <t xml:space="preserve">PER Phase Measured </t>
  </si>
  <si>
    <t>The AC supply has been intentionally limited to 220A/3-phase (c150kW) per iPDU
The room is designed to support 8no. 150kW HACs (each with a diverse pair of iPDUs)</t>
  </si>
  <si>
    <t>250kw modules installed</t>
  </si>
  <si>
    <t>N+1 (failover) (kW)</t>
  </si>
  <si>
    <t>Normal running (kW)</t>
  </si>
  <si>
    <t>UPS limit kW @ 90%</t>
  </si>
  <si>
    <t>UPS A</t>
  </si>
  <si>
    <t>UPS B</t>
  </si>
  <si>
    <t xml:space="preserve">Note the site capacity is limited to 600kW
</t>
  </si>
  <si>
    <t xml:space="preserve">Air Conditioning </t>
  </si>
  <si>
    <t xml:space="preserve">The Technology area currently supports cooling capacity of </t>
  </si>
  <si>
    <t>600kW</t>
  </si>
  <si>
    <t xml:space="preserve">Note each CAC is 250kW MAX cooling </t>
  </si>
  <si>
    <t xml:space="preserve">BKLN06 </t>
  </si>
  <si>
    <t>AC iPDUs - limited to 150kW per grouped pair. Max total limited to UPS output of 200kW</t>
  </si>
  <si>
    <t xml:space="preserve">CAC 1
A 1- 21  &amp; B 1 - 21 </t>
  </si>
  <si>
    <t>PDU 4C</t>
  </si>
  <si>
    <t>PDU 4D</t>
  </si>
  <si>
    <t>PDU 5C</t>
  </si>
  <si>
    <t xml:space="preserve">PDU 5D </t>
  </si>
  <si>
    <t>PDU6C</t>
  </si>
  <si>
    <t>PDU6D</t>
  </si>
  <si>
    <t>PDU7C</t>
  </si>
  <si>
    <t>PDU7D</t>
  </si>
  <si>
    <t>PDU 8C</t>
  </si>
  <si>
    <t xml:space="preserve">Totals </t>
  </si>
  <si>
    <t>POD301 - 304</t>
  </si>
  <si>
    <t>POD401 - 404</t>
  </si>
  <si>
    <t>POD501 - 504</t>
  </si>
  <si>
    <t>Total kW</t>
  </si>
  <si>
    <t xml:space="preserve">Amps Measured  </t>
  </si>
  <si>
    <t xml:space="preserve">CAC 2
C 1- 21  &amp; D 1 - 21 </t>
  </si>
  <si>
    <t>The AC supply has been intentionally limited to 220A/3-phase (c150kW) per iPDU
The room is designed to support 4no. 250kW CACs (each with a diverse pair of iPDUs)</t>
  </si>
  <si>
    <t xml:space="preserve">Note the site capacity is limited to 600kW
600kW upgrade 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</si>
</sst>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00;\-&quot;£&quot;#,##0.00"/>
    <numFmt numFmtId="165" formatCode="_-&quot;£&quot;* #,##0.00_-;\-&quot;£&quot;* #,##0.00_-;_-&quot;£&quot;* &quot;-&quot;??_-;_-@_-"/>
    <numFmt numFmtId="166" formatCode="0.0"/>
    <numFmt numFmtId="167" formatCode="[$-F800]dddd\,\ mmmm\ dd\,\ yyyy"/>
    <numFmt numFmtId="168" formatCode="0.000"/>
    <numFmt numFmtId="169" formatCode="&quot;£&quot;#,##0.00"/>
    <numFmt numFmtId="170" formatCode="0.00_ "/>
    <numFmt numFmtId="171" formatCode="#,##0.00_ ;\-#,##0.00\ "/>
    <numFmt numFmtId="172" formatCode="#,##0_ ;\-#,##0\ "/>
    <numFmt numFmtId="173" formatCode="_-&quot;£&quot;* #,##0.0000_-;\-&quot;£&quot;* #,##0.0000_-;_-&quot;£&quot;* &quot;-&quot;????_-;_-@_-"/>
    <numFmt numFmtId="174" formatCode="0.00_ ;[Red]\-0.00\ "/>
    <numFmt numFmtId="175" formatCode="0;[Red]0"/>
    <numFmt numFmtId="176" formatCode="0.0\k\W"/>
    <numFmt numFmtId="177" formatCode="0_ ;[Red]\-0\ "/>
    <numFmt numFmtId="178" formatCode="0.0_ ;[Red]\-0.0\ "/>
    <numFmt numFmtId="179" formatCode="dd/mm/yy;@"/>
    <numFmt numFmtId="180" formatCode="0.0%"/>
  </numFmts>
  <fonts count="116">
    <font>
      <sz val="8"/>
      <name val="Arial"/>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8"/>
      <name val="Arial"/>
      <family val="2"/>
    </font>
    <font>
      <sz val="8"/>
      <name val="Arial"/>
      <family val="2"/>
    </font>
    <font>
      <b/>
      <sz val="8"/>
      <name val="Arial"/>
      <family val="2"/>
    </font>
    <font>
      <sz val="8"/>
      <color indexed="8"/>
      <name val="Times New Roman"/>
      <family val="1"/>
    </font>
    <font>
      <sz val="10"/>
      <name val="Arial"/>
      <family val="2"/>
    </font>
    <font>
      <b/>
      <sz val="10"/>
      <name val="Arial"/>
      <family val="2"/>
    </font>
    <font>
      <b/>
      <u/>
      <sz val="10"/>
      <name val="Arial"/>
      <family val="2"/>
    </font>
    <font>
      <u/>
      <sz val="8"/>
      <name val="Arial"/>
      <family val="2"/>
    </font>
    <font>
      <sz val="8"/>
      <color indexed="10"/>
      <name val="Arial"/>
      <family val="2"/>
    </font>
    <font>
      <b/>
      <vertAlign val="superscript"/>
      <sz val="10"/>
      <name val="Arial"/>
      <family val="2"/>
    </font>
    <font>
      <u/>
      <sz val="12"/>
      <name val="Arial"/>
      <family val="2"/>
    </font>
    <font>
      <sz val="8"/>
      <name val="Arial"/>
      <family val="2"/>
    </font>
    <font>
      <sz val="12"/>
      <name val="Arial"/>
      <family val="2"/>
    </font>
    <font>
      <sz val="20"/>
      <name val="Arial"/>
      <family val="2"/>
    </font>
    <font>
      <sz val="8"/>
      <name val="Arial"/>
      <family val="2"/>
    </font>
    <font>
      <sz val="8"/>
      <name val="Arial"/>
      <family val="2"/>
    </font>
    <font>
      <sz val="8"/>
      <name val="Arial"/>
      <family val="2"/>
    </font>
    <font>
      <b/>
      <u/>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b/>
      <sz val="11"/>
      <color theme="1"/>
      <name val="Calibri"/>
      <family val="2"/>
    </font>
    <font>
      <sz val="12"/>
      <color rgb="FFFF0000"/>
      <name val="Arial"/>
      <family val="2"/>
    </font>
    <font>
      <b/>
      <sz val="10"/>
      <color rgb="FFFF0000"/>
      <name val="Arial"/>
      <family val="2"/>
    </font>
    <font>
      <sz val="10"/>
      <color rgb="FFFF0000"/>
      <name val="Arial"/>
      <family val="2"/>
    </font>
    <font>
      <sz val="11"/>
      <color rgb="FFFF0000"/>
      <name val="Calibri"/>
      <family val="2"/>
    </font>
    <font>
      <b/>
      <sz val="8"/>
      <color rgb="FFFF0000"/>
      <name val="Arial"/>
      <family val="2"/>
    </font>
    <font>
      <sz val="8"/>
      <color rgb="FFFF0000"/>
      <name val="Arial"/>
      <family val="2"/>
    </font>
    <font>
      <b/>
      <sz val="8"/>
      <color theme="0" tint="-0.499984740745262"/>
      <name val="Arial"/>
      <family val="2"/>
    </font>
    <font>
      <u/>
      <sz val="8"/>
      <color theme="0" tint="-0.499984740745262"/>
      <name val="Arial"/>
      <family val="2"/>
    </font>
    <font>
      <sz val="8"/>
      <color theme="0" tint="-0.499984740745262"/>
      <name val="Arial"/>
      <family val="2"/>
    </font>
    <font>
      <sz val="20"/>
      <color rgb="FF000000"/>
      <name val="Vodafone Lt"/>
      <family val="2"/>
    </font>
    <font>
      <sz val="20"/>
      <color rgb="FFFF0000"/>
      <name val="Vodafone Lt"/>
      <family val="2"/>
    </font>
    <font>
      <sz val="10"/>
      <name val="Vodafone Rg"/>
      <family val="2"/>
    </font>
    <font>
      <b/>
      <sz val="10"/>
      <name val="Vodafone Rg"/>
      <family val="2"/>
    </font>
    <font>
      <sz val="10"/>
      <color indexed="10"/>
      <name val="Vodafone Rg"/>
      <family val="2"/>
    </font>
    <font>
      <sz val="10"/>
      <color indexed="8"/>
      <name val="Vodafone Rg"/>
      <family val="2"/>
    </font>
    <font>
      <sz val="10"/>
      <color theme="3" tint="0.39997558519241921"/>
      <name val="Vodafone Rg"/>
      <family val="2"/>
    </font>
    <font>
      <sz val="10"/>
      <color rgb="FFFF0000"/>
      <name val="Vodafone Rg"/>
      <family val="2"/>
    </font>
    <font>
      <b/>
      <sz val="10"/>
      <color theme="0" tint="-0.34998626667073579"/>
      <name val="Vodafone Rg"/>
      <family val="2"/>
    </font>
    <font>
      <sz val="10"/>
      <color theme="0" tint="-0.34998626667073579"/>
      <name val="Vodafone Rg"/>
      <family val="2"/>
    </font>
    <font>
      <b/>
      <sz val="10"/>
      <color rgb="FFFF0000"/>
      <name val="Vodafone Rg"/>
      <family val="2"/>
    </font>
    <font>
      <sz val="8"/>
      <name val="Arial"/>
      <family val="2"/>
    </font>
    <font>
      <sz val="8"/>
      <name val="Arial"/>
      <family val="2"/>
    </font>
    <font>
      <vertAlign val="superscript"/>
      <sz val="8"/>
      <name val="Arial"/>
      <family val="2"/>
    </font>
    <font>
      <u/>
      <vertAlign val="superscript"/>
      <sz val="8"/>
      <name val="Arial"/>
      <family val="2"/>
    </font>
    <font>
      <sz val="8"/>
      <name val="Arial"/>
      <family val="2"/>
    </font>
    <font>
      <sz val="8"/>
      <name val="Arial"/>
      <family val="2"/>
    </font>
    <font>
      <sz val="8"/>
      <name val="Arial"/>
      <family val="2"/>
    </font>
    <font>
      <b/>
      <u/>
      <sz val="10"/>
      <name val="Vodafone Rg"/>
      <family val="2"/>
    </font>
    <font>
      <sz val="8"/>
      <name val="Arial"/>
      <family val="2"/>
    </font>
    <font>
      <b/>
      <sz val="11"/>
      <name val="Vodafone Rg"/>
      <family val="2"/>
    </font>
    <font>
      <sz val="11"/>
      <name val="Vodafone Rg"/>
      <family val="2"/>
    </font>
    <font>
      <sz val="11"/>
      <color indexed="8"/>
      <name val="Vodafone Rg"/>
      <family val="2"/>
    </font>
    <font>
      <sz val="12"/>
      <color rgb="FFFF0000"/>
      <name val="Vodafone Rg"/>
      <family val="2"/>
    </font>
    <font>
      <sz val="10"/>
      <color theme="1"/>
      <name val="Vodafone Rg"/>
      <family val="2"/>
    </font>
    <font>
      <sz val="10"/>
      <color rgb="FF558ED5"/>
      <name val="Vodafone Rg"/>
      <family val="2"/>
    </font>
    <font>
      <sz val="10"/>
      <color rgb="FF000000"/>
      <name val="Arial"/>
      <family val="2"/>
    </font>
    <font>
      <sz val="11"/>
      <color rgb="FFFF0000"/>
      <name val="Calibri"/>
      <family val="2"/>
      <scheme val="minor"/>
    </font>
    <font>
      <sz val="8"/>
      <color theme="1"/>
      <name val="Calibri"/>
      <family val="2"/>
      <scheme val="minor"/>
    </font>
    <font>
      <sz val="10"/>
      <color rgb="FF000000"/>
      <name val="Arial"/>
      <family val="2"/>
    </font>
    <font>
      <sz val="10"/>
      <color rgb="FF000000"/>
      <name val="Arial"/>
      <family val="2"/>
    </font>
    <font>
      <sz val="10"/>
      <color rgb="FF000000"/>
      <name val="Arial"/>
      <family val="2"/>
    </font>
    <font>
      <b/>
      <sz val="10"/>
      <color theme="1"/>
      <name val="Arial"/>
      <family val="2"/>
    </font>
    <font>
      <sz val="10"/>
      <color rgb="FF000000"/>
      <name val="Arial"/>
      <family val="2"/>
    </font>
    <font>
      <sz val="10"/>
      <color rgb="FF000000"/>
      <name val="Arial"/>
      <family val="2"/>
    </font>
    <font>
      <sz val="10"/>
      <color rgb="FF0070C0"/>
      <name val="Vodafone Rg"/>
      <family val="2"/>
    </font>
    <font>
      <sz val="10"/>
      <color rgb="FF000000"/>
      <name val="Vodafone Rg"/>
      <family val="2"/>
    </font>
    <font>
      <sz val="10"/>
      <color rgb="FF000000"/>
      <name val="Arial"/>
      <family val="2"/>
    </font>
    <font>
      <sz val="10"/>
      <color rgb="FF000000"/>
      <name val="Arial"/>
      <family val="2"/>
    </font>
    <font>
      <sz val="12"/>
      <name val="Vodafone Rg"/>
      <family val="2"/>
    </font>
    <font>
      <sz val="10"/>
      <color rgb="FFFFFFFF"/>
      <name val="Vodafone Rg"/>
      <family val="2"/>
    </font>
    <font>
      <b/>
      <sz val="12"/>
      <name val="Vodafone Rg"/>
      <family val="2"/>
    </font>
    <font>
      <b/>
      <sz val="20"/>
      <name val="Arial"/>
      <family val="2"/>
    </font>
    <font>
      <sz val="11"/>
      <color theme="0" tint="-0.34998626667073579"/>
      <name val="Calibri"/>
      <family val="2"/>
      <scheme val="minor"/>
    </font>
    <font>
      <sz val="10"/>
      <color rgb="FF000000"/>
      <name val="Arial"/>
      <family val="2"/>
    </font>
    <font>
      <sz val="10"/>
      <color rgb="FF000000"/>
      <name val="Arial"/>
      <family val="2"/>
    </font>
    <font>
      <sz val="10"/>
      <color rgb="FF000000"/>
      <name val="Arial"/>
      <family val="2"/>
    </font>
    <font>
      <sz val="10"/>
      <color rgb="FF5B9BD5"/>
      <name val="Vodafone Rg"/>
      <family val="2"/>
    </font>
    <font>
      <b/>
      <sz val="11"/>
      <color theme="1"/>
      <name val="Vodafone Rg"/>
      <family val="2"/>
    </font>
    <font>
      <sz val="11"/>
      <color theme="1"/>
      <name val="Vodafone Rg"/>
      <family val="2"/>
    </font>
    <font>
      <sz val="11"/>
      <name val="Arial"/>
      <family val="2"/>
    </font>
    <font>
      <sz val="9"/>
      <color indexed="81"/>
      <name val="Tahoma"/>
      <family val="2"/>
    </font>
    <font>
      <b/>
      <sz val="9"/>
      <color indexed="81"/>
      <name val="Tahoma"/>
      <family val="2"/>
    </font>
    <font>
      <b/>
      <sz val="11"/>
      <color rgb="FFFFFFFF"/>
      <name val="Arial"/>
      <family val="2"/>
    </font>
    <font>
      <sz val="11"/>
      <color rgb="FF000000"/>
      <name val="Vodafone Rg"/>
      <family val="2"/>
    </font>
    <font>
      <sz val="11"/>
      <color rgb="FF000000"/>
      <name val="Calibri"/>
      <family val="2"/>
    </font>
    <font>
      <b/>
      <sz val="11"/>
      <color rgb="FF000000"/>
      <name val="Calibri"/>
      <family val="2"/>
    </font>
    <font>
      <sz val="11.5"/>
      <color rgb="FF000000"/>
      <name val="Calibri"/>
      <family val="2"/>
    </font>
    <font>
      <sz val="11"/>
      <color theme="1"/>
      <name val="Calibri"/>
      <family val="2"/>
      <charset val="1"/>
    </font>
    <font>
      <sz val="10"/>
      <color rgb="FF333333"/>
      <name val="Vodafone Rg"/>
      <family val="2"/>
    </font>
    <font>
      <b/>
      <sz val="11"/>
      <color theme="1"/>
      <name val="Calibri"/>
      <family val="2"/>
      <scheme val="minor"/>
    </font>
    <font>
      <b/>
      <sz val="14"/>
      <color rgb="FFFF0000"/>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sz val="8"/>
      <color theme="0"/>
      <name val="Arial"/>
      <family val="2"/>
    </font>
    <font>
      <b/>
      <sz val="8"/>
      <color theme="0"/>
      <name val="Arial"/>
      <family val="2"/>
    </font>
    <font>
      <b/>
      <sz val="10"/>
      <color rgb="FFFFFFFF"/>
      <name val="Arial"/>
      <family val="2"/>
    </font>
    <font>
      <sz val="10"/>
      <color rgb="FFFFFFFF"/>
      <name val="Arial"/>
      <family val="2"/>
    </font>
    <font>
      <b/>
      <sz val="8"/>
      <name val="Arial"/>
    </font>
    <font>
      <b/>
      <sz val="11"/>
      <name val="Calibri"/>
      <scheme val="minor"/>
    </font>
    <font>
      <sz val="9"/>
      <color indexed="81"/>
      <name val="Tahoma"/>
      <charset val="1"/>
    </font>
    <font>
      <b/>
      <sz val="9"/>
      <color indexed="81"/>
      <name val="Tahoma"/>
      <charset val="1"/>
    </font>
  </fonts>
  <fills count="69">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rgb="FFFFFF00"/>
        <bgColor indexed="64"/>
      </patternFill>
    </fill>
    <fill>
      <patternFill patternType="solid">
        <fgColor rgb="FFCCFFFF"/>
        <bgColor indexed="64"/>
      </patternFill>
    </fill>
    <fill>
      <patternFill patternType="solid">
        <fgColor rgb="FFFFCC99"/>
        <bgColor indexed="64"/>
      </patternFill>
    </fill>
    <fill>
      <patternFill patternType="solid">
        <fgColor rgb="FFFFFF9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E6E0EC"/>
        <bgColor indexed="64"/>
      </patternFill>
    </fill>
    <fill>
      <patternFill patternType="solid">
        <fgColor theme="0" tint="-0.249977111117893"/>
        <bgColor indexed="64"/>
      </patternFill>
    </fill>
    <fill>
      <patternFill patternType="solid">
        <fgColor theme="1"/>
        <bgColor indexed="64"/>
      </patternFill>
    </fill>
    <fill>
      <patternFill patternType="solid">
        <fgColor rgb="FF92D050"/>
        <bgColor indexed="64"/>
      </patternFill>
    </fill>
    <fill>
      <patternFill patternType="solid">
        <fgColor rgb="FF92D050"/>
        <bgColor rgb="FF000000"/>
      </patternFill>
    </fill>
    <fill>
      <patternFill patternType="solid">
        <fgColor rgb="FFE4DFEC"/>
        <bgColor rgb="FF000000"/>
      </patternFill>
    </fill>
    <fill>
      <patternFill patternType="solid">
        <fgColor rgb="FFE6B8B7"/>
        <bgColor rgb="FF000000"/>
      </patternFill>
    </fill>
    <fill>
      <patternFill patternType="solid">
        <fgColor rgb="FF7030A0"/>
        <bgColor indexed="64"/>
      </patternFill>
    </fill>
    <fill>
      <patternFill patternType="solid">
        <fgColor rgb="FFC4D79B"/>
        <bgColor rgb="FF000000"/>
      </patternFill>
    </fill>
    <fill>
      <patternFill patternType="solid">
        <fgColor rgb="FFB1A0C7"/>
        <bgColor rgb="FF000000"/>
      </patternFill>
    </fill>
    <fill>
      <patternFill patternType="solid">
        <fgColor rgb="FFFFFF99"/>
        <bgColor rgb="FF000000"/>
      </patternFill>
    </fill>
    <fill>
      <patternFill patternType="solid">
        <fgColor rgb="FFFFC000"/>
        <bgColor rgb="FF000000"/>
      </patternFill>
    </fill>
    <fill>
      <patternFill patternType="solid">
        <fgColor rgb="FFFF0000"/>
        <bgColor rgb="FF000000"/>
      </patternFill>
    </fill>
    <fill>
      <patternFill patternType="solid">
        <fgColor rgb="FF000000"/>
        <bgColor rgb="FF000000"/>
      </patternFill>
    </fill>
    <fill>
      <patternFill patternType="solid">
        <fgColor rgb="FFD9D9D9"/>
        <bgColor indexed="64"/>
      </patternFill>
    </fill>
    <fill>
      <patternFill patternType="solid">
        <fgColor rgb="FFBFBFBF"/>
        <bgColor indexed="64"/>
      </patternFill>
    </fill>
    <fill>
      <patternFill patternType="solid">
        <fgColor rgb="FF000000"/>
        <bgColor indexed="64"/>
      </patternFill>
    </fill>
    <fill>
      <patternFill patternType="solid">
        <fgColor rgb="FF00B0F0"/>
        <bgColor rgb="FF000000"/>
      </patternFill>
    </fill>
    <fill>
      <patternFill patternType="solid">
        <fgColor rgb="FFBF8F00"/>
        <bgColor indexed="64"/>
      </patternFill>
    </fill>
    <fill>
      <patternFill patternType="solid">
        <fgColor rgb="FFF8FBFC"/>
        <bgColor rgb="FFFFFFFF"/>
      </patternFill>
    </fill>
    <fill>
      <patternFill patternType="solid">
        <fgColor rgb="FFFFFFFF"/>
        <bgColor rgb="FFFFFFFF"/>
      </patternFill>
    </fill>
    <fill>
      <patternFill patternType="solid">
        <fgColor theme="2"/>
        <bgColor indexed="64"/>
      </patternFill>
    </fill>
    <fill>
      <patternFill patternType="solid">
        <fgColor rgb="FFF8CBAD"/>
        <bgColor indexed="64"/>
      </patternFill>
    </fill>
    <fill>
      <patternFill patternType="solid">
        <fgColor rgb="FFC6E0B4"/>
        <bgColor indexed="64"/>
      </patternFill>
    </fill>
    <fill>
      <patternFill patternType="solid">
        <fgColor theme="0" tint="-0.14999847407452621"/>
        <bgColor indexed="64"/>
      </patternFill>
    </fill>
    <fill>
      <patternFill patternType="solid">
        <fgColor rgb="FFF2DCDB"/>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rgb="FF000000"/>
      </patternFill>
    </fill>
    <fill>
      <patternFill patternType="solid">
        <fgColor rgb="FFFFF2CC"/>
        <bgColor rgb="FF000000"/>
      </patternFill>
    </fill>
    <fill>
      <patternFill patternType="solid">
        <fgColor rgb="FFE2EFDA"/>
        <bgColor rgb="FF000000"/>
      </patternFill>
    </fill>
    <fill>
      <patternFill patternType="solid">
        <fgColor rgb="FFCC9900"/>
        <bgColor indexed="64"/>
      </patternFill>
    </fill>
  </fills>
  <borders count="1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indexed="64"/>
      </left>
      <right/>
      <top/>
      <bottom style="medium">
        <color indexed="64"/>
      </bottom>
      <diagonal/>
    </border>
    <border>
      <left style="thin">
        <color indexed="64"/>
      </left>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medium">
        <color rgb="FF000000"/>
      </bottom>
      <diagonal/>
    </border>
    <border>
      <left style="thin">
        <color indexed="64"/>
      </left>
      <right style="thin">
        <color indexed="64"/>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bottom style="thin">
        <color indexed="64"/>
      </bottom>
      <diagonal/>
    </border>
    <border>
      <left style="thin">
        <color indexed="64"/>
      </left>
      <right style="thin">
        <color indexed="64"/>
      </right>
      <top/>
      <bottom style="medium">
        <color rgb="FF000000"/>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medium">
        <color indexed="64"/>
      </left>
      <right style="medium">
        <color indexed="64"/>
      </right>
      <top/>
      <bottom style="medium">
        <color rgb="FF000000"/>
      </bottom>
      <diagonal/>
    </border>
    <border>
      <left style="thin">
        <color indexed="64"/>
      </left>
      <right style="medium">
        <color indexed="64"/>
      </right>
      <top/>
      <bottom/>
      <diagonal/>
    </border>
    <border>
      <left style="medium">
        <color rgb="FF000000"/>
      </left>
      <right style="thin">
        <color indexed="64"/>
      </right>
      <top/>
      <bottom style="thin">
        <color indexed="64"/>
      </bottom>
      <diagonal/>
    </border>
    <border>
      <left style="medium">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style="thin">
        <color indexed="64"/>
      </top>
      <bottom style="thin">
        <color rgb="FF000000"/>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rgb="FF000000"/>
      </bottom>
      <diagonal/>
    </border>
    <border>
      <left style="thin">
        <color rgb="FF000000"/>
      </left>
      <right style="thin">
        <color indexed="64"/>
      </right>
      <top/>
      <bottom style="medium">
        <color indexed="64"/>
      </bottom>
      <diagonal/>
    </border>
    <border>
      <left style="medium">
        <color rgb="FF000000"/>
      </left>
      <right style="medium">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medium">
        <color indexed="64"/>
      </top>
      <bottom style="medium">
        <color indexed="64"/>
      </bottom>
      <diagonal/>
    </border>
    <border>
      <left style="thin">
        <color indexed="64"/>
      </left>
      <right style="thin">
        <color rgb="FF000000"/>
      </right>
      <top style="thin">
        <color indexed="64"/>
      </top>
      <bottom/>
      <diagonal/>
    </border>
    <border>
      <left/>
      <right style="thin">
        <color indexed="64"/>
      </right>
      <top style="thin">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rgb="FF000000"/>
      </right>
      <top style="thin">
        <color indexed="64"/>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right/>
      <top style="medium">
        <color rgb="FF000000"/>
      </top>
      <bottom style="medium">
        <color rgb="FF000000"/>
      </bottom>
      <diagonal/>
    </border>
    <border>
      <left style="thin">
        <color indexed="64"/>
      </left>
      <right style="medium">
        <color indexed="64"/>
      </right>
      <top style="medium">
        <color indexed="64"/>
      </top>
      <bottom/>
      <diagonal/>
    </border>
  </borders>
  <cellStyleXfs count="142">
    <xf numFmtId="0" fontId="0" fillId="0" borderId="0"/>
    <xf numFmtId="165" fontId="5" fillId="0" borderId="0" applyFont="0" applyFill="0" applyBorder="0" applyAlignment="0" applyProtection="0"/>
    <xf numFmtId="165" fontId="26"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165" fontId="31" fillId="0" borderId="0" applyFont="0" applyFill="0" applyBorder="0" applyAlignment="0" applyProtection="0"/>
    <xf numFmtId="165" fontId="32" fillId="0" borderId="0" applyFont="0" applyFill="0" applyBorder="0" applyAlignment="0" applyProtection="0"/>
    <xf numFmtId="165" fontId="6" fillId="0" borderId="0" applyFont="0" applyFill="0" applyBorder="0" applyAlignment="0" applyProtection="0"/>
    <xf numFmtId="165" fontId="1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20" fillId="0" borderId="0" applyFont="0" applyFill="0" applyBorder="0" applyAlignment="0" applyProtection="0"/>
    <xf numFmtId="165" fontId="2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26" fillId="0" borderId="0" applyFont="0" applyFill="0" applyBorder="0" applyAlignment="0" applyProtection="0"/>
    <xf numFmtId="165" fontId="27" fillId="0" borderId="0" applyFont="0" applyFill="0" applyBorder="0" applyAlignment="0" applyProtection="0"/>
    <xf numFmtId="165" fontId="21" fillId="0" borderId="0" applyFont="0" applyFill="0" applyBorder="0" applyAlignment="0" applyProtection="0"/>
    <xf numFmtId="165" fontId="6" fillId="0" borderId="0" applyFont="0" applyFill="0" applyBorder="0" applyAlignment="0" applyProtection="0"/>
    <xf numFmtId="165" fontId="23" fillId="0" borderId="0" applyFont="0" applyFill="0" applyBorder="0" applyAlignment="0" applyProtection="0"/>
    <xf numFmtId="165" fontId="6" fillId="0" borderId="0" applyFont="0" applyFill="0" applyBorder="0" applyAlignment="0" applyProtection="0"/>
    <xf numFmtId="165" fontId="24" fillId="0" borderId="0" applyFont="0" applyFill="0" applyBorder="0" applyAlignment="0" applyProtection="0"/>
    <xf numFmtId="165" fontId="6" fillId="0" borderId="0" applyFont="0" applyFill="0" applyBorder="0" applyAlignment="0" applyProtection="0"/>
    <xf numFmtId="165" fontId="25" fillId="0" borderId="0" applyFont="0" applyFill="0" applyBorder="0" applyAlignment="0" applyProtection="0"/>
    <xf numFmtId="165" fontId="6" fillId="0" borderId="0" applyFont="0" applyFill="0" applyBorder="0" applyAlignment="0" applyProtection="0"/>
    <xf numFmtId="0" fontId="6" fillId="0" borderId="0"/>
    <xf numFmtId="9" fontId="5" fillId="0" borderId="0" applyFont="0" applyFill="0" applyBorder="0" applyAlignment="0" applyProtection="0"/>
    <xf numFmtId="9" fontId="28"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9" fontId="16" fillId="0" borderId="0" applyFont="0" applyFill="0" applyBorder="0" applyAlignment="0" applyProtection="0"/>
    <xf numFmtId="9" fontId="6" fillId="0" borderId="0" applyFont="0" applyFill="0" applyBorder="0" applyAlignment="0" applyProtection="0"/>
    <xf numFmtId="9" fontId="19" fillId="0" borderId="0" applyFont="0" applyFill="0" applyBorder="0" applyAlignment="0" applyProtection="0"/>
    <xf numFmtId="9" fontId="6" fillId="0" borderId="0" applyFont="0" applyFill="0" applyBorder="0" applyAlignment="0" applyProtection="0"/>
    <xf numFmtId="9" fontId="21" fillId="0" borderId="0" applyFont="0" applyFill="0" applyBorder="0" applyAlignment="0" applyProtection="0"/>
    <xf numFmtId="9" fontId="6" fillId="0" borderId="0" applyFont="0" applyFill="0" applyBorder="0" applyAlignment="0" applyProtection="0"/>
    <xf numFmtId="9" fontId="23" fillId="0" borderId="0" applyFont="0" applyFill="0" applyBorder="0" applyAlignment="0" applyProtection="0"/>
    <xf numFmtId="9" fontId="6" fillId="0" borderId="0" applyFont="0" applyFill="0" applyBorder="0" applyAlignment="0" applyProtection="0"/>
    <xf numFmtId="9" fontId="24" fillId="0" borderId="0" applyFont="0" applyFill="0" applyBorder="0" applyAlignment="0" applyProtection="0"/>
    <xf numFmtId="9" fontId="6" fillId="0" borderId="0" applyFont="0" applyFill="0" applyBorder="0" applyAlignment="0" applyProtection="0"/>
    <xf numFmtId="9" fontId="25" fillId="0" borderId="0" applyFont="0" applyFill="0" applyBorder="0" applyAlignment="0" applyProtection="0"/>
    <xf numFmtId="9" fontId="6" fillId="0" borderId="0" applyFont="0" applyFill="0" applyBorder="0" applyAlignment="0" applyProtection="0"/>
    <xf numFmtId="9" fontId="26" fillId="0" borderId="0" applyFont="0" applyFill="0" applyBorder="0" applyAlignment="0" applyProtection="0"/>
    <xf numFmtId="9" fontId="27" fillId="0" borderId="0" applyFont="0" applyFill="0" applyBorder="0" applyAlignment="0" applyProtection="0"/>
    <xf numFmtId="165" fontId="54"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9" fontId="5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165" fontId="55" fillId="0" borderId="0" applyFont="0" applyFill="0" applyBorder="0" applyAlignment="0" applyProtection="0"/>
    <xf numFmtId="165" fontId="5" fillId="0" borderId="0" applyFont="0" applyFill="0" applyBorder="0" applyAlignment="0" applyProtection="0"/>
    <xf numFmtId="9" fontId="55" fillId="0" borderId="0" applyFont="0" applyFill="0" applyBorder="0" applyAlignment="0" applyProtection="0"/>
    <xf numFmtId="9" fontId="5" fillId="0" borderId="0" applyFont="0" applyFill="0" applyBorder="0" applyAlignment="0" applyProtection="0"/>
    <xf numFmtId="165" fontId="58" fillId="0" borderId="0" applyFont="0" applyFill="0" applyBorder="0" applyAlignment="0" applyProtection="0"/>
    <xf numFmtId="165" fontId="5" fillId="0" borderId="0" applyFont="0" applyFill="0" applyBorder="0" applyAlignment="0" applyProtection="0"/>
    <xf numFmtId="9" fontId="58" fillId="0" borderId="0" applyFont="0" applyFill="0" applyBorder="0" applyAlignment="0" applyProtection="0"/>
    <xf numFmtId="9" fontId="5" fillId="0" borderId="0" applyFont="0" applyFill="0" applyBorder="0" applyAlignment="0" applyProtection="0"/>
    <xf numFmtId="165" fontId="59" fillId="0" borderId="0" applyFont="0" applyFill="0" applyBorder="0" applyAlignment="0" applyProtection="0"/>
    <xf numFmtId="165" fontId="5" fillId="0" borderId="0" applyFont="0" applyFill="0" applyBorder="0" applyAlignment="0" applyProtection="0"/>
    <xf numFmtId="9" fontId="59" fillId="0" borderId="0" applyFont="0" applyFill="0" applyBorder="0" applyAlignment="0" applyProtection="0"/>
    <xf numFmtId="9" fontId="5" fillId="0" borderId="0" applyFont="0" applyFill="0" applyBorder="0" applyAlignment="0" applyProtection="0"/>
    <xf numFmtId="165" fontId="59" fillId="0" borderId="0" applyFont="0" applyFill="0" applyBorder="0" applyAlignment="0" applyProtection="0"/>
    <xf numFmtId="9" fontId="59"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62" fillId="0" borderId="0" applyFont="0" applyFill="0" applyBorder="0" applyAlignment="0" applyProtection="0"/>
    <xf numFmtId="9" fontId="62"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0" fontId="4" fillId="0" borderId="0"/>
    <xf numFmtId="0" fontId="3" fillId="0" borderId="0"/>
    <xf numFmtId="0" fontId="69" fillId="0" borderId="0"/>
    <xf numFmtId="0" fontId="2" fillId="0" borderId="0"/>
    <xf numFmtId="0" fontId="72" fillId="0" borderId="0"/>
    <xf numFmtId="0" fontId="73" fillId="0" borderId="0"/>
    <xf numFmtId="0" fontId="74" fillId="0" borderId="0"/>
    <xf numFmtId="0" fontId="76" fillId="0" borderId="0"/>
    <xf numFmtId="0" fontId="77" fillId="0" borderId="0"/>
    <xf numFmtId="0" fontId="80" fillId="0" borderId="0"/>
    <xf numFmtId="0" fontId="81" fillId="0" borderId="0"/>
    <xf numFmtId="0" fontId="1" fillId="0" borderId="0"/>
    <xf numFmtId="0" fontId="87" fillId="0" borderId="0"/>
    <xf numFmtId="0" fontId="88" fillId="0" borderId="0"/>
    <xf numFmtId="0" fontId="89" fillId="0" borderId="0"/>
  </cellStyleXfs>
  <cellXfs count="1501">
    <xf numFmtId="0" fontId="0" fillId="0" borderId="0" xfId="0"/>
    <xf numFmtId="0" fontId="6" fillId="0" borderId="0" xfId="0" applyFont="1"/>
    <xf numFmtId="0" fontId="10" fillId="0" borderId="0" xfId="0" applyFont="1"/>
    <xf numFmtId="0" fontId="10"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1" fontId="9" fillId="0" borderId="0" xfId="0" applyNumberFormat="1" applyFont="1" applyAlignment="1">
      <alignment horizontal="center"/>
    </xf>
    <xf numFmtId="168" fontId="0" fillId="0" borderId="0" xfId="0" applyNumberFormat="1"/>
    <xf numFmtId="0" fontId="11" fillId="0" borderId="0" xfId="0" applyFont="1"/>
    <xf numFmtId="0" fontId="12" fillId="0" borderId="0" xfId="0" applyFont="1" applyAlignment="1">
      <alignment horizontal="center"/>
    </xf>
    <xf numFmtId="1" fontId="0" fillId="0" borderId="0" xfId="0" applyNumberFormat="1" applyAlignment="1">
      <alignment horizontal="center"/>
    </xf>
    <xf numFmtId="17" fontId="0" fillId="0" borderId="0" xfId="0" applyNumberFormat="1"/>
    <xf numFmtId="1" fontId="13" fillId="0" borderId="0" xfId="0" applyNumberFormat="1" applyFont="1"/>
    <xf numFmtId="0" fontId="7" fillId="0" borderId="0" xfId="0" applyFont="1"/>
    <xf numFmtId="0" fontId="34" fillId="0" borderId="0" xfId="0" applyFont="1" applyAlignment="1">
      <alignment horizontal="left" vertical="center" readingOrder="1"/>
    </xf>
    <xf numFmtId="0" fontId="0" fillId="0" borderId="0" xfId="0" applyAlignment="1">
      <alignment vertical="top"/>
    </xf>
    <xf numFmtId="2" fontId="0" fillId="0" borderId="0" xfId="0" applyNumberFormat="1" applyAlignment="1">
      <alignment horizontal="center"/>
    </xf>
    <xf numFmtId="0" fontId="0" fillId="0" borderId="0" xfId="0" quotePrefix="1" applyAlignment="1">
      <alignment horizontal="center"/>
    </xf>
    <xf numFmtId="1" fontId="0" fillId="0" borderId="0" xfId="0" quotePrefix="1" applyNumberFormat="1" applyAlignment="1">
      <alignment horizontal="center"/>
    </xf>
    <xf numFmtId="0" fontId="0" fillId="0" borderId="0" xfId="0" quotePrefix="1" applyAlignment="1">
      <alignment horizontal="left"/>
    </xf>
    <xf numFmtId="2" fontId="9" fillId="0" borderId="0" xfId="0" applyNumberFormat="1" applyFont="1" applyAlignment="1">
      <alignment horizontal="center"/>
    </xf>
    <xf numFmtId="0" fontId="10" fillId="0" borderId="0" xfId="0" applyFont="1" applyAlignment="1">
      <alignment horizontal="left"/>
    </xf>
    <xf numFmtId="0" fontId="0" fillId="0" borderId="0" xfId="0" applyAlignment="1">
      <alignment horizontal="left"/>
    </xf>
    <xf numFmtId="0" fontId="35" fillId="0" borderId="0" xfId="0" applyFont="1"/>
    <xf numFmtId="0" fontId="35" fillId="0" borderId="0" xfId="0" applyFont="1" applyAlignment="1">
      <alignment horizontal="left"/>
    </xf>
    <xf numFmtId="0" fontId="36" fillId="0" borderId="0" xfId="0" applyFont="1" applyAlignment="1">
      <alignment horizontal="center"/>
    </xf>
    <xf numFmtId="0" fontId="35" fillId="0" borderId="0" xfId="0" applyFont="1" applyAlignment="1">
      <alignment horizontal="center"/>
    </xf>
    <xf numFmtId="0" fontId="10" fillId="0" borderId="0" xfId="0" applyFont="1" applyAlignment="1">
      <alignment wrapText="1"/>
    </xf>
    <xf numFmtId="0" fontId="38" fillId="0" borderId="0" xfId="0" applyFont="1"/>
    <xf numFmtId="0" fontId="0" fillId="0" borderId="10" xfId="0" applyBorder="1" applyAlignment="1">
      <alignment horizontal="center"/>
    </xf>
    <xf numFmtId="0" fontId="0" fillId="0" borderId="19" xfId="0" applyBorder="1" applyAlignment="1">
      <alignment horizontal="center"/>
    </xf>
    <xf numFmtId="0" fontId="33" fillId="0" borderId="3" xfId="0" applyFont="1" applyBorder="1" applyAlignment="1">
      <alignment horizontal="center"/>
    </xf>
    <xf numFmtId="0" fontId="0" fillId="0" borderId="26" xfId="0" applyBorder="1" applyAlignment="1">
      <alignment horizontal="center"/>
    </xf>
    <xf numFmtId="0" fontId="7" fillId="0" borderId="0" xfId="0" applyFont="1" applyAlignment="1">
      <alignment horizontal="center" wrapText="1"/>
    </xf>
    <xf numFmtId="0" fontId="7" fillId="0" borderId="2" xfId="0" applyFont="1" applyBorder="1" applyAlignment="1">
      <alignment horizontal="left"/>
    </xf>
    <xf numFmtId="0" fontId="7" fillId="0" borderId="27" xfId="0" applyFont="1" applyBorder="1" applyAlignment="1">
      <alignment horizontal="left"/>
    </xf>
    <xf numFmtId="0" fontId="7" fillId="0" borderId="9" xfId="0" applyFont="1" applyBorder="1" applyAlignment="1">
      <alignment horizontal="left"/>
    </xf>
    <xf numFmtId="169" fontId="0" fillId="0" borderId="0" xfId="1" applyNumberFormat="1" applyFont="1"/>
    <xf numFmtId="164" fontId="0" fillId="0" borderId="0" xfId="1" applyNumberFormat="1" applyFont="1" applyAlignment="1">
      <alignment horizontal="center"/>
    </xf>
    <xf numFmtId="0" fontId="7" fillId="0" borderId="0" xfId="0" applyFont="1" applyAlignment="1">
      <alignment horizontal="right"/>
    </xf>
    <xf numFmtId="166" fontId="0" fillId="0" borderId="0" xfId="0" applyNumberFormat="1" applyAlignment="1">
      <alignment horizontal="center"/>
    </xf>
    <xf numFmtId="2" fontId="0" fillId="0" borderId="0" xfId="0" applyNumberFormat="1"/>
    <xf numFmtId="1" fontId="0" fillId="0" borderId="1" xfId="0" applyNumberFormat="1" applyBorder="1" applyAlignment="1">
      <alignment horizontal="center"/>
    </xf>
    <xf numFmtId="0" fontId="35" fillId="0" borderId="0" xfId="0" applyFont="1" applyAlignment="1">
      <alignment wrapText="1"/>
    </xf>
    <xf numFmtId="0" fontId="15" fillId="0" borderId="0" xfId="0" applyFont="1"/>
    <xf numFmtId="164" fontId="0" fillId="0" borderId="0" xfId="0" applyNumberFormat="1"/>
    <xf numFmtId="9" fontId="7" fillId="0" borderId="0" xfId="29" applyFont="1" applyAlignment="1">
      <alignment horizontal="center"/>
    </xf>
    <xf numFmtId="0" fontId="0" fillId="0" borderId="1" xfId="0" applyBorder="1"/>
    <xf numFmtId="0" fontId="7" fillId="0" borderId="1" xfId="0" applyFont="1" applyBorder="1"/>
    <xf numFmtId="0" fontId="39" fillId="0" borderId="0" xfId="0" applyFont="1"/>
    <xf numFmtId="0" fontId="10" fillId="0" borderId="1" xfId="0" applyFont="1" applyBorder="1"/>
    <xf numFmtId="0" fontId="10" fillId="0" borderId="1" xfId="0" applyFont="1" applyBorder="1" applyAlignment="1">
      <alignment horizontal="center"/>
    </xf>
    <xf numFmtId="1" fontId="9" fillId="0" borderId="1" xfId="0" applyNumberFormat="1" applyFont="1" applyBorder="1" applyAlignment="1">
      <alignment horizontal="center"/>
    </xf>
    <xf numFmtId="0" fontId="9" fillId="0" borderId="1" xfId="0" applyFont="1" applyBorder="1" applyAlignment="1">
      <alignment horizontal="center"/>
    </xf>
    <xf numFmtId="0" fontId="10" fillId="0" borderId="1" xfId="0" applyFont="1" applyBorder="1" applyAlignment="1">
      <alignment horizontal="center" wrapText="1"/>
    </xf>
    <xf numFmtId="0" fontId="40" fillId="0" borderId="0" xfId="0" applyFont="1"/>
    <xf numFmtId="1" fontId="41" fillId="0" borderId="0" xfId="0" applyNumberFormat="1" applyFont="1" applyAlignment="1">
      <alignment horizontal="center"/>
    </xf>
    <xf numFmtId="0" fontId="41" fillId="0" borderId="0" xfId="0" applyFont="1" applyAlignment="1">
      <alignment horizontal="center"/>
    </xf>
    <xf numFmtId="1" fontId="42" fillId="0" borderId="0" xfId="0" applyNumberFormat="1" applyFont="1" applyAlignment="1">
      <alignment horizontal="center"/>
    </xf>
    <xf numFmtId="17" fontId="12" fillId="0" borderId="0" xfId="0" applyNumberFormat="1" applyFont="1"/>
    <xf numFmtId="170" fontId="0" fillId="0" borderId="1" xfId="0" applyNumberFormat="1" applyBorder="1"/>
    <xf numFmtId="0" fontId="0" fillId="20" borderId="0" xfId="0" applyFill="1" applyAlignment="1">
      <alignment horizontal="center"/>
    </xf>
    <xf numFmtId="1" fontId="0" fillId="20" borderId="0" xfId="0" applyNumberFormat="1" applyFill="1" applyAlignment="1">
      <alignment horizontal="center"/>
    </xf>
    <xf numFmtId="2" fontId="0" fillId="20" borderId="0" xfId="0" applyNumberFormat="1" applyFill="1" applyAlignment="1">
      <alignment horizontal="center"/>
    </xf>
    <xf numFmtId="0" fontId="0" fillId="20" borderId="0" xfId="0" applyFill="1"/>
    <xf numFmtId="165" fontId="0" fillId="0" borderId="0" xfId="1" applyFont="1"/>
    <xf numFmtId="165" fontId="7" fillId="0" borderId="0" xfId="0" applyNumberFormat="1" applyFont="1"/>
    <xf numFmtId="0" fontId="10" fillId="0" borderId="0" xfId="0" applyFont="1" applyAlignment="1">
      <alignment horizontal="left" vertical="center"/>
    </xf>
    <xf numFmtId="0" fontId="22" fillId="0" borderId="0" xfId="0" applyFont="1"/>
    <xf numFmtId="2" fontId="7" fillId="0" borderId="0" xfId="0" applyNumberFormat="1" applyFont="1" applyAlignment="1">
      <alignment horizontal="center" wrapText="1"/>
    </xf>
    <xf numFmtId="0" fontId="7" fillId="21" borderId="0" xfId="0" applyFont="1" applyFill="1" applyAlignment="1">
      <alignment horizontal="center" wrapText="1"/>
    </xf>
    <xf numFmtId="0" fontId="0" fillId="21" borderId="0" xfId="0" applyFill="1"/>
    <xf numFmtId="0" fontId="7" fillId="16" borderId="0" xfId="0" applyFont="1" applyFill="1" applyAlignment="1">
      <alignment horizontal="center" wrapText="1"/>
    </xf>
    <xf numFmtId="2" fontId="0" fillId="16" borderId="0" xfId="0" applyNumberFormat="1" applyFill="1" applyAlignment="1">
      <alignment horizontal="center"/>
    </xf>
    <xf numFmtId="0" fontId="0" fillId="16" borderId="0" xfId="0" applyFill="1"/>
    <xf numFmtId="0" fontId="7" fillId="22" borderId="0" xfId="0" applyFont="1" applyFill="1" applyAlignment="1">
      <alignment horizontal="center" wrapText="1"/>
    </xf>
    <xf numFmtId="0" fontId="0" fillId="22" borderId="0" xfId="0" applyFill="1"/>
    <xf numFmtId="165" fontId="7" fillId="22" borderId="0" xfId="0" applyNumberFormat="1" applyFont="1" applyFill="1"/>
    <xf numFmtId="1" fontId="7" fillId="0" borderId="0" xfId="0" applyNumberFormat="1" applyFont="1"/>
    <xf numFmtId="0" fontId="7" fillId="0" borderId="27" xfId="0" applyFont="1" applyBorder="1"/>
    <xf numFmtId="1" fontId="38" fillId="0" borderId="0" xfId="0" applyNumberFormat="1" applyFont="1"/>
    <xf numFmtId="0" fontId="38" fillId="0" borderId="27" xfId="0" applyFont="1" applyBorder="1"/>
    <xf numFmtId="1" fontId="7" fillId="0" borderId="0" xfId="0" applyNumberFormat="1" applyFont="1" applyAlignment="1">
      <alignment horizontal="center" vertical="center"/>
    </xf>
    <xf numFmtId="0" fontId="7" fillId="22" borderId="1" xfId="0" applyFont="1" applyFill="1" applyBorder="1" applyAlignment="1">
      <alignment horizontal="center" wrapText="1"/>
    </xf>
    <xf numFmtId="0" fontId="7" fillId="16" borderId="1" xfId="0" applyFont="1" applyFill="1" applyBorder="1" applyAlignment="1">
      <alignment horizontal="center" wrapText="1"/>
    </xf>
    <xf numFmtId="0" fontId="7" fillId="21" borderId="1" xfId="0" applyFont="1" applyFill="1" applyBorder="1" applyAlignment="1">
      <alignment horizontal="center" wrapText="1"/>
    </xf>
    <xf numFmtId="165" fontId="0" fillId="0" borderId="1" xfId="0" applyNumberFormat="1" applyBorder="1"/>
    <xf numFmtId="0" fontId="7" fillId="23" borderId="1" xfId="0" applyFont="1" applyFill="1" applyBorder="1" applyAlignment="1">
      <alignment horizontal="center" wrapText="1"/>
    </xf>
    <xf numFmtId="172" fontId="0" fillId="0" borderId="1" xfId="0" applyNumberFormat="1" applyBorder="1" applyAlignment="1">
      <alignment horizontal="center"/>
    </xf>
    <xf numFmtId="172" fontId="7" fillId="0" borderId="0" xfId="0" applyNumberFormat="1" applyFont="1" applyAlignment="1">
      <alignment horizontal="center"/>
    </xf>
    <xf numFmtId="17" fontId="0" fillId="15" borderId="0" xfId="0" applyNumberFormat="1" applyFill="1" applyAlignment="1">
      <alignment horizontal="center"/>
    </xf>
    <xf numFmtId="17" fontId="0" fillId="21" borderId="0" xfId="0" applyNumberFormat="1" applyFill="1" applyAlignment="1">
      <alignment horizontal="center"/>
    </xf>
    <xf numFmtId="0" fontId="0" fillId="24" borderId="0" xfId="0" applyFill="1"/>
    <xf numFmtId="2" fontId="0" fillId="24" borderId="0" xfId="0" applyNumberFormat="1" applyFill="1" applyAlignment="1">
      <alignment horizontal="center"/>
    </xf>
    <xf numFmtId="0" fontId="0" fillId="24" borderId="0" xfId="0" applyFill="1" applyAlignment="1">
      <alignment horizontal="center"/>
    </xf>
    <xf numFmtId="0" fontId="0" fillId="25" borderId="0" xfId="0" applyFill="1"/>
    <xf numFmtId="2" fontId="0" fillId="25" borderId="0" xfId="0" applyNumberFormat="1" applyFill="1" applyAlignment="1">
      <alignment horizontal="center"/>
    </xf>
    <xf numFmtId="0" fontId="0" fillId="25" borderId="0" xfId="0" applyFill="1" applyAlignment="1">
      <alignment horizontal="center"/>
    </xf>
    <xf numFmtId="1" fontId="22" fillId="0" borderId="0" xfId="28" applyNumberFormat="1" applyFont="1" applyAlignment="1">
      <alignment horizontal="center"/>
    </xf>
    <xf numFmtId="0" fontId="22" fillId="0" borderId="0" xfId="28" applyFont="1"/>
    <xf numFmtId="0" fontId="42" fillId="0" borderId="0" xfId="0" applyFont="1" applyAlignment="1">
      <alignment horizontal="center"/>
    </xf>
    <xf numFmtId="0" fontId="39" fillId="0" borderId="1" xfId="0" applyFont="1" applyBorder="1"/>
    <xf numFmtId="0" fontId="0" fillId="26" borderId="0" xfId="0" applyFill="1"/>
    <xf numFmtId="165" fontId="0" fillId="0" borderId="0" xfId="1" applyFont="1" applyAlignment="1">
      <alignment horizontal="center"/>
    </xf>
    <xf numFmtId="0" fontId="0" fillId="26" borderId="0" xfId="0" applyFill="1" applyAlignment="1">
      <alignment horizontal="center"/>
    </xf>
    <xf numFmtId="171" fontId="0" fillId="0" borderId="1" xfId="0" applyNumberFormat="1" applyBorder="1" applyAlignment="1">
      <alignment horizontal="center"/>
    </xf>
    <xf numFmtId="171" fontId="7" fillId="0" borderId="0" xfId="0" applyNumberFormat="1" applyFont="1" applyAlignment="1">
      <alignment horizontal="center"/>
    </xf>
    <xf numFmtId="173" fontId="0" fillId="0" borderId="0" xfId="1" applyNumberFormat="1" applyFont="1"/>
    <xf numFmtId="0" fontId="7" fillId="27" borderId="1" xfId="0" applyFont="1" applyFill="1" applyBorder="1" applyAlignment="1">
      <alignment horizontal="center" wrapText="1"/>
    </xf>
    <xf numFmtId="9" fontId="0" fillId="0" borderId="0" xfId="29" applyFont="1" applyAlignment="1">
      <alignment horizontal="center"/>
    </xf>
    <xf numFmtId="1" fontId="0" fillId="0" borderId="0" xfId="29" applyNumberFormat="1" applyFont="1" applyAlignment="1">
      <alignment horizontal="center"/>
    </xf>
    <xf numFmtId="1" fontId="39" fillId="0" borderId="1" xfId="28" applyNumberFormat="1" applyFont="1" applyBorder="1"/>
    <xf numFmtId="0" fontId="0" fillId="9" borderId="0" xfId="0" applyFill="1"/>
    <xf numFmtId="0" fontId="0" fillId="9" borderId="0" xfId="0" applyFill="1" applyAlignment="1">
      <alignment horizontal="center"/>
    </xf>
    <xf numFmtId="1" fontId="0" fillId="9" borderId="0" xfId="0" applyNumberFormat="1" applyFill="1" applyAlignment="1">
      <alignment horizontal="center"/>
    </xf>
    <xf numFmtId="0" fontId="18" fillId="0" borderId="0" xfId="0" applyFont="1" applyAlignment="1">
      <alignment horizontal="left" vertical="center" indent="4"/>
    </xf>
    <xf numFmtId="0" fontId="43" fillId="0" borderId="0" xfId="0" applyFont="1"/>
    <xf numFmtId="1" fontId="6" fillId="0" borderId="1" xfId="28" applyNumberFormat="1" applyBorder="1"/>
    <xf numFmtId="0" fontId="0" fillId="29" borderId="0" xfId="0" applyFill="1" applyAlignment="1">
      <alignment horizontal="center" vertical="center" wrapText="1"/>
    </xf>
    <xf numFmtId="1" fontId="0" fillId="29" borderId="0" xfId="0" applyNumberFormat="1" applyFill="1" applyAlignment="1">
      <alignment horizontal="center"/>
    </xf>
    <xf numFmtId="0" fontId="44" fillId="0" borderId="0" xfId="0" applyFont="1"/>
    <xf numFmtId="0" fontId="10" fillId="21" borderId="37" xfId="0" applyFont="1" applyFill="1" applyBorder="1"/>
    <xf numFmtId="0" fontId="0" fillId="21" borderId="13" xfId="0" applyFill="1" applyBorder="1"/>
    <xf numFmtId="0" fontId="0" fillId="21" borderId="41" xfId="0" applyFill="1" applyBorder="1"/>
    <xf numFmtId="0" fontId="10" fillId="17" borderId="37" xfId="0" applyFont="1" applyFill="1" applyBorder="1" applyAlignment="1">
      <alignment horizontal="center" wrapText="1"/>
    </xf>
    <xf numFmtId="0" fontId="9" fillId="17" borderId="13" xfId="0" applyFont="1" applyFill="1" applyBorder="1" applyAlignment="1">
      <alignment horizontal="center"/>
    </xf>
    <xf numFmtId="1" fontId="9" fillId="17" borderId="13" xfId="0" applyNumberFormat="1" applyFont="1" applyFill="1" applyBorder="1" applyAlignment="1">
      <alignment horizontal="center"/>
    </xf>
    <xf numFmtId="1" fontId="9" fillId="17" borderId="41" xfId="0" applyNumberFormat="1" applyFont="1" applyFill="1" applyBorder="1" applyAlignment="1">
      <alignment horizontal="center"/>
    </xf>
    <xf numFmtId="0" fontId="10" fillId="17" borderId="38" xfId="0" applyFont="1" applyFill="1" applyBorder="1" applyAlignment="1">
      <alignment horizontal="center"/>
    </xf>
    <xf numFmtId="0" fontId="10" fillId="17" borderId="0" xfId="0" applyFont="1" applyFill="1" applyAlignment="1">
      <alignment horizontal="center"/>
    </xf>
    <xf numFmtId="1" fontId="10" fillId="17" borderId="0" xfId="0" applyNumberFormat="1" applyFont="1" applyFill="1" applyAlignment="1">
      <alignment horizontal="center"/>
    </xf>
    <xf numFmtId="1" fontId="10" fillId="17" borderId="39" xfId="0" applyNumberFormat="1" applyFont="1" applyFill="1" applyBorder="1" applyAlignment="1">
      <alignment horizontal="center"/>
    </xf>
    <xf numFmtId="1" fontId="9" fillId="17" borderId="39" xfId="0" applyNumberFormat="1" applyFont="1" applyFill="1" applyBorder="1" applyAlignment="1">
      <alignment horizontal="center"/>
    </xf>
    <xf numFmtId="0" fontId="10" fillId="17" borderId="40" xfId="0" applyFont="1" applyFill="1" applyBorder="1" applyAlignment="1">
      <alignment horizontal="center"/>
    </xf>
    <xf numFmtId="1" fontId="9" fillId="17" borderId="14" xfId="0" applyNumberFormat="1" applyFont="1" applyFill="1" applyBorder="1" applyAlignment="1">
      <alignment horizontal="center"/>
    </xf>
    <xf numFmtId="1" fontId="9" fillId="17" borderId="17" xfId="0" applyNumberFormat="1" applyFont="1" applyFill="1" applyBorder="1" applyAlignment="1">
      <alignment horizontal="center"/>
    </xf>
    <xf numFmtId="0" fontId="10" fillId="17" borderId="13" xfId="0" applyFont="1" applyFill="1" applyBorder="1"/>
    <xf numFmtId="0" fontId="10" fillId="17" borderId="13" xfId="0" applyFont="1" applyFill="1" applyBorder="1" applyAlignment="1">
      <alignment horizontal="center"/>
    </xf>
    <xf numFmtId="0" fontId="10" fillId="30" borderId="37" xfId="0" applyFont="1" applyFill="1" applyBorder="1"/>
    <xf numFmtId="0" fontId="10" fillId="30" borderId="13" xfId="0" applyFont="1" applyFill="1" applyBorder="1"/>
    <xf numFmtId="0" fontId="10" fillId="30" borderId="13" xfId="0" applyFont="1" applyFill="1" applyBorder="1" applyAlignment="1">
      <alignment horizontal="center"/>
    </xf>
    <xf numFmtId="0" fontId="10" fillId="30" borderId="41" xfId="0" applyFont="1" applyFill="1" applyBorder="1"/>
    <xf numFmtId="0" fontId="10" fillId="30" borderId="38" xfId="0" applyFont="1" applyFill="1" applyBorder="1" applyAlignment="1">
      <alignment horizontal="center"/>
    </xf>
    <xf numFmtId="1" fontId="9" fillId="30" borderId="0" xfId="0" applyNumberFormat="1" applyFont="1" applyFill="1" applyAlignment="1">
      <alignment horizontal="center"/>
    </xf>
    <xf numFmtId="166" fontId="9" fillId="30" borderId="0" xfId="0" applyNumberFormat="1" applyFont="1" applyFill="1" applyAlignment="1">
      <alignment horizontal="center"/>
    </xf>
    <xf numFmtId="166" fontId="9" fillId="30" borderId="39" xfId="0" applyNumberFormat="1" applyFont="1" applyFill="1" applyBorder="1" applyAlignment="1">
      <alignment horizontal="center"/>
    </xf>
    <xf numFmtId="0" fontId="10" fillId="30" borderId="38" xfId="0" applyFont="1" applyFill="1" applyBorder="1" applyAlignment="1">
      <alignment horizontal="center" wrapText="1"/>
    </xf>
    <xf numFmtId="0" fontId="10" fillId="31" borderId="37" xfId="0" applyFont="1" applyFill="1" applyBorder="1"/>
    <xf numFmtId="0" fontId="0" fillId="31" borderId="13" xfId="0" applyFill="1" applyBorder="1"/>
    <xf numFmtId="0" fontId="0" fillId="31" borderId="41" xfId="0" applyFill="1" applyBorder="1"/>
    <xf numFmtId="0" fontId="10" fillId="31" borderId="38" xfId="0" applyFont="1" applyFill="1" applyBorder="1"/>
    <xf numFmtId="0" fontId="10" fillId="31" borderId="0" xfId="0" applyFont="1" applyFill="1"/>
    <xf numFmtId="0" fontId="10" fillId="31" borderId="0" xfId="0" applyFont="1" applyFill="1" applyAlignment="1">
      <alignment horizontal="center"/>
    </xf>
    <xf numFmtId="0" fontId="10" fillId="31" borderId="39" xfId="0" applyFont="1" applyFill="1" applyBorder="1" applyAlignment="1">
      <alignment horizontal="center"/>
    </xf>
    <xf numFmtId="0" fontId="10" fillId="31" borderId="38" xfId="0" applyFont="1" applyFill="1" applyBorder="1" applyAlignment="1">
      <alignment horizontal="center"/>
    </xf>
    <xf numFmtId="1" fontId="9" fillId="31" borderId="0" xfId="0" applyNumberFormat="1" applyFont="1" applyFill="1" applyAlignment="1">
      <alignment horizontal="center"/>
    </xf>
    <xf numFmtId="1" fontId="9" fillId="31" borderId="39" xfId="0" applyNumberFormat="1" applyFont="1" applyFill="1" applyBorder="1" applyAlignment="1">
      <alignment horizontal="center"/>
    </xf>
    <xf numFmtId="2" fontId="9" fillId="31" borderId="0" xfId="0" applyNumberFormat="1" applyFont="1" applyFill="1" applyAlignment="1">
      <alignment horizontal="center"/>
    </xf>
    <xf numFmtId="0" fontId="10" fillId="17" borderId="37" xfId="0" applyFont="1" applyFill="1" applyBorder="1" applyAlignment="1">
      <alignment horizontal="center"/>
    </xf>
    <xf numFmtId="0" fontId="10" fillId="17" borderId="41" xfId="0" applyFont="1" applyFill="1" applyBorder="1" applyAlignment="1">
      <alignment horizontal="center"/>
    </xf>
    <xf numFmtId="1" fontId="7" fillId="0" borderId="0" xfId="28" applyNumberFormat="1" applyFont="1" applyAlignment="1">
      <alignment horizontal="right"/>
    </xf>
    <xf numFmtId="0" fontId="7" fillId="0" borderId="1" xfId="0" applyFont="1" applyBorder="1" applyAlignment="1">
      <alignment horizontal="center" wrapText="1"/>
    </xf>
    <xf numFmtId="0" fontId="37" fillId="0" borderId="0" xfId="0" applyFont="1" applyAlignment="1">
      <alignment horizontal="left" vertical="center"/>
    </xf>
    <xf numFmtId="0" fontId="35" fillId="0" borderId="0" xfId="0" applyFont="1" applyAlignment="1">
      <alignment horizontal="left" wrapText="1"/>
    </xf>
    <xf numFmtId="1" fontId="8" fillId="29" borderId="0" xfId="0" applyNumberFormat="1" applyFont="1" applyFill="1" applyAlignment="1">
      <alignment horizontal="center"/>
    </xf>
    <xf numFmtId="0" fontId="11" fillId="31" borderId="37" xfId="0" applyFont="1" applyFill="1" applyBorder="1" applyAlignment="1">
      <alignment horizontal="left"/>
    </xf>
    <xf numFmtId="0" fontId="0" fillId="31" borderId="38" xfId="0" applyFill="1" applyBorder="1"/>
    <xf numFmtId="0" fontId="12" fillId="31" borderId="0" xfId="0" applyFont="1" applyFill="1" applyAlignment="1">
      <alignment horizontal="center"/>
    </xf>
    <xf numFmtId="0" fontId="12" fillId="31" borderId="39" xfId="0" applyFont="1" applyFill="1" applyBorder="1" applyAlignment="1">
      <alignment horizontal="center"/>
    </xf>
    <xf numFmtId="0" fontId="0" fillId="31" borderId="38" xfId="0" applyFill="1" applyBorder="1" applyAlignment="1">
      <alignment horizontal="right"/>
    </xf>
    <xf numFmtId="166" fontId="0" fillId="31" borderId="0" xfId="0" applyNumberFormat="1" applyFill="1" applyAlignment="1">
      <alignment horizontal="center"/>
    </xf>
    <xf numFmtId="0" fontId="0" fillId="31" borderId="0" xfId="0" applyFill="1" applyAlignment="1">
      <alignment horizontal="center"/>
    </xf>
    <xf numFmtId="166" fontId="0" fillId="31" borderId="39" xfId="0" applyNumberFormat="1" applyFill="1" applyBorder="1" applyAlignment="1">
      <alignment horizontal="center"/>
    </xf>
    <xf numFmtId="166" fontId="0" fillId="31" borderId="14" xfId="0" applyNumberFormat="1" applyFill="1" applyBorder="1" applyAlignment="1">
      <alignment horizontal="center"/>
    </xf>
    <xf numFmtId="0" fontId="0" fillId="31" borderId="14" xfId="0" applyFill="1" applyBorder="1" applyAlignment="1">
      <alignment horizontal="center"/>
    </xf>
    <xf numFmtId="166" fontId="0" fillId="31" borderId="17" xfId="0" applyNumberFormat="1" applyFill="1" applyBorder="1" applyAlignment="1">
      <alignment horizontal="center"/>
    </xf>
    <xf numFmtId="0" fontId="11" fillId="32" borderId="37" xfId="0" applyFont="1" applyFill="1" applyBorder="1"/>
    <xf numFmtId="0" fontId="0" fillId="32" borderId="13" xfId="0" applyFill="1" applyBorder="1"/>
    <xf numFmtId="0" fontId="12" fillId="32" borderId="13" xfId="0" applyFont="1" applyFill="1" applyBorder="1" applyAlignment="1">
      <alignment horizontal="center"/>
    </xf>
    <xf numFmtId="0" fontId="0" fillId="32" borderId="41" xfId="0" applyFill="1" applyBorder="1"/>
    <xf numFmtId="0" fontId="0" fillId="32" borderId="38" xfId="0" applyFill="1" applyBorder="1"/>
    <xf numFmtId="0" fontId="12" fillId="32" borderId="0" xfId="0" applyFont="1" applyFill="1" applyAlignment="1">
      <alignment horizontal="center"/>
    </xf>
    <xf numFmtId="0" fontId="12" fillId="32" borderId="39" xfId="0" applyFont="1" applyFill="1" applyBorder="1" applyAlignment="1">
      <alignment horizontal="center"/>
    </xf>
    <xf numFmtId="0" fontId="0" fillId="32" borderId="38" xfId="0" applyFill="1" applyBorder="1" applyAlignment="1">
      <alignment horizontal="center"/>
    </xf>
    <xf numFmtId="166" fontId="0" fillId="32" borderId="0" xfId="0" applyNumberFormat="1" applyFill="1" applyAlignment="1">
      <alignment horizontal="center"/>
    </xf>
    <xf numFmtId="0" fontId="0" fillId="32" borderId="0" xfId="0" applyFill="1" applyAlignment="1">
      <alignment horizontal="center"/>
    </xf>
    <xf numFmtId="166" fontId="0" fillId="32" borderId="39" xfId="0" applyNumberFormat="1" applyFill="1" applyBorder="1" applyAlignment="1">
      <alignment horizontal="center"/>
    </xf>
    <xf numFmtId="0" fontId="0" fillId="32" borderId="40" xfId="0" applyFill="1" applyBorder="1" applyAlignment="1">
      <alignment horizontal="center"/>
    </xf>
    <xf numFmtId="166" fontId="0" fillId="32" borderId="14" xfId="0" applyNumberFormat="1" applyFill="1" applyBorder="1" applyAlignment="1">
      <alignment horizontal="center"/>
    </xf>
    <xf numFmtId="0" fontId="0" fillId="32" borderId="14" xfId="0" applyFill="1" applyBorder="1" applyAlignment="1">
      <alignment horizontal="center"/>
    </xf>
    <xf numFmtId="166" fontId="0" fillId="32" borderId="17" xfId="0" applyNumberFormat="1" applyFill="1" applyBorder="1" applyAlignment="1">
      <alignment horizontal="center"/>
    </xf>
    <xf numFmtId="0" fontId="22" fillId="0" borderId="0" xfId="0" applyFont="1" applyAlignment="1">
      <alignment horizontal="center"/>
    </xf>
    <xf numFmtId="0" fontId="7" fillId="0" borderId="38" xfId="0" applyFont="1" applyBorder="1" applyAlignment="1">
      <alignment horizontal="center" wrapText="1"/>
    </xf>
    <xf numFmtId="0" fontId="7" fillId="0" borderId="39" xfId="0" applyFont="1" applyBorder="1" applyAlignment="1">
      <alignment horizontal="center" wrapText="1"/>
    </xf>
    <xf numFmtId="0" fontId="0" fillId="0" borderId="38" xfId="0" applyBorder="1" applyAlignment="1">
      <alignment horizontal="center"/>
    </xf>
    <xf numFmtId="0" fontId="0" fillId="24" borderId="39" xfId="0" applyFill="1" applyBorder="1"/>
    <xf numFmtId="0" fontId="0" fillId="25" borderId="39" xfId="0" applyFill="1" applyBorder="1"/>
    <xf numFmtId="0" fontId="45" fillId="0" borderId="0" xfId="0" applyFont="1" applyAlignment="1">
      <alignment horizontal="center"/>
    </xf>
    <xf numFmtId="0" fontId="45" fillId="0" borderId="0" xfId="0" applyFont="1"/>
    <xf numFmtId="0" fontId="45" fillId="12" borderId="1" xfId="0" applyFont="1" applyFill="1" applyBorder="1"/>
    <xf numFmtId="0" fontId="45" fillId="12" borderId="1" xfId="0" applyFont="1" applyFill="1" applyBorder="1" applyAlignment="1">
      <alignment horizontal="center" wrapText="1"/>
    </xf>
    <xf numFmtId="0" fontId="45" fillId="10" borderId="1" xfId="0" applyFont="1" applyFill="1" applyBorder="1" applyAlignment="1">
      <alignment horizontal="center" wrapText="1"/>
    </xf>
    <xf numFmtId="1" fontId="45" fillId="11" borderId="1" xfId="0" applyNumberFormat="1" applyFont="1" applyFill="1" applyBorder="1" applyAlignment="1">
      <alignment horizontal="center" wrapText="1"/>
    </xf>
    <xf numFmtId="0" fontId="46" fillId="12" borderId="1" xfId="0" applyFont="1" applyFill="1" applyBorder="1" applyAlignment="1">
      <alignment horizontal="center" wrapText="1"/>
    </xf>
    <xf numFmtId="0" fontId="45" fillId="12" borderId="0" xfId="0" applyFont="1" applyFill="1" applyAlignment="1">
      <alignment horizontal="center" wrapText="1"/>
    </xf>
    <xf numFmtId="0" fontId="45" fillId="18" borderId="21" xfId="0" applyFont="1" applyFill="1" applyBorder="1" applyAlignment="1">
      <alignment horizontal="center" vertical="center" textRotation="90" wrapText="1"/>
    </xf>
    <xf numFmtId="0" fontId="45" fillId="17" borderId="21" xfId="0" applyFont="1" applyFill="1" applyBorder="1" applyAlignment="1">
      <alignment wrapText="1"/>
    </xf>
    <xf numFmtId="0" fontId="45" fillId="18" borderId="46" xfId="0" applyFont="1" applyFill="1" applyBorder="1" applyAlignment="1">
      <alignment horizontal="center" vertical="center" textRotation="90" wrapText="1"/>
    </xf>
    <xf numFmtId="0" fontId="45" fillId="0" borderId="2" xfId="0" applyFont="1" applyBorder="1"/>
    <xf numFmtId="0" fontId="45" fillId="0" borderId="2" xfId="0" applyFont="1" applyBorder="1" applyAlignment="1">
      <alignment horizontal="center" wrapText="1"/>
    </xf>
    <xf numFmtId="1" fontId="45" fillId="0" borderId="2" xfId="0" applyNumberFormat="1" applyFont="1" applyBorder="1" applyAlignment="1">
      <alignment horizontal="center"/>
    </xf>
    <xf numFmtId="0" fontId="45" fillId="0" borderId="2" xfId="0" applyFont="1" applyBorder="1" applyAlignment="1">
      <alignment horizontal="center"/>
    </xf>
    <xf numFmtId="0" fontId="45" fillId="0" borderId="1" xfId="0" applyFont="1" applyBorder="1"/>
    <xf numFmtId="9" fontId="45" fillId="0" borderId="0" xfId="0" applyNumberFormat="1" applyFont="1"/>
    <xf numFmtId="10" fontId="45" fillId="0" borderId="0" xfId="0" applyNumberFormat="1" applyFont="1"/>
    <xf numFmtId="0" fontId="45" fillId="0" borderId="5" xfId="0" applyFont="1" applyBorder="1" applyAlignment="1">
      <alignment horizontal="center"/>
    </xf>
    <xf numFmtId="0" fontId="45" fillId="3" borderId="5" xfId="0" applyFont="1" applyFill="1" applyBorder="1" applyAlignment="1">
      <alignment horizontal="center"/>
    </xf>
    <xf numFmtId="1" fontId="48" fillId="0" borderId="5" xfId="0" applyNumberFormat="1" applyFont="1" applyBorder="1" applyAlignment="1">
      <alignment horizontal="center"/>
    </xf>
    <xf numFmtId="166" fontId="48" fillId="0" borderId="5" xfId="0" applyNumberFormat="1" applyFont="1" applyBorder="1" applyAlignment="1">
      <alignment horizontal="center"/>
    </xf>
    <xf numFmtId="1" fontId="45" fillId="0" borderId="5" xfId="0" applyNumberFormat="1" applyFont="1" applyBorder="1" applyAlignment="1">
      <alignment horizontal="center"/>
    </xf>
    <xf numFmtId="9" fontId="48" fillId="0" borderId="28" xfId="0" applyNumberFormat="1" applyFont="1" applyBorder="1" applyAlignment="1">
      <alignment horizontal="center"/>
    </xf>
    <xf numFmtId="0" fontId="45" fillId="18" borderId="13" xfId="0" applyFont="1" applyFill="1" applyBorder="1" applyAlignment="1">
      <alignment horizontal="center" wrapText="1"/>
    </xf>
    <xf numFmtId="0" fontId="45" fillId="17" borderId="13" xfId="0" applyFont="1" applyFill="1" applyBorder="1" applyAlignment="1">
      <alignment wrapText="1"/>
    </xf>
    <xf numFmtId="0" fontId="45" fillId="18" borderId="41" xfId="0" applyFont="1" applyFill="1" applyBorder="1" applyAlignment="1">
      <alignment horizontal="center" wrapText="1"/>
    </xf>
    <xf numFmtId="2" fontId="45" fillId="0" borderId="0" xfId="0" applyNumberFormat="1" applyFont="1"/>
    <xf numFmtId="0" fontId="45" fillId="0" borderId="16" xfId="0" applyFont="1" applyBorder="1"/>
    <xf numFmtId="0" fontId="45" fillId="0" borderId="1" xfId="0" applyFont="1" applyBorder="1" applyAlignment="1">
      <alignment horizontal="center"/>
    </xf>
    <xf numFmtId="0" fontId="45" fillId="3" borderId="1" xfId="0" applyFont="1" applyFill="1" applyBorder="1" applyAlignment="1">
      <alignment horizontal="center"/>
    </xf>
    <xf numFmtId="1" fontId="48" fillId="0" borderId="1" xfId="0" applyNumberFormat="1" applyFont="1" applyBorder="1" applyAlignment="1">
      <alignment horizontal="center"/>
    </xf>
    <xf numFmtId="166" fontId="48" fillId="0" borderId="1" xfId="0" applyNumberFormat="1" applyFont="1" applyBorder="1" applyAlignment="1">
      <alignment horizontal="center"/>
    </xf>
    <xf numFmtId="1" fontId="45" fillId="0" borderId="1" xfId="0" applyNumberFormat="1" applyFont="1" applyBorder="1" applyAlignment="1">
      <alignment horizontal="center"/>
    </xf>
    <xf numFmtId="9" fontId="48" fillId="0" borderId="29" xfId="0" applyNumberFormat="1" applyFont="1" applyBorder="1" applyAlignment="1">
      <alignment horizontal="center"/>
    </xf>
    <xf numFmtId="0" fontId="45" fillId="18" borderId="0" xfId="0" applyFont="1" applyFill="1" applyAlignment="1">
      <alignment horizontal="center" wrapText="1"/>
    </xf>
    <xf numFmtId="0" fontId="45" fillId="17" borderId="0" xfId="0" applyFont="1" applyFill="1" applyAlignment="1">
      <alignment wrapText="1"/>
    </xf>
    <xf numFmtId="0" fontId="45" fillId="18" borderId="39" xfId="0" applyFont="1" applyFill="1" applyBorder="1" applyAlignment="1">
      <alignment horizontal="center" wrapText="1"/>
    </xf>
    <xf numFmtId="0" fontId="45" fillId="0" borderId="15" xfId="0" applyFont="1" applyBorder="1"/>
    <xf numFmtId="0" fontId="45" fillId="17" borderId="0" xfId="0" applyFont="1" applyFill="1"/>
    <xf numFmtId="0" fontId="45" fillId="3" borderId="2" xfId="0" applyFont="1" applyFill="1" applyBorder="1" applyAlignment="1">
      <alignment horizontal="center"/>
    </xf>
    <xf numFmtId="1" fontId="48" fillId="0" borderId="2" xfId="0" applyNumberFormat="1" applyFont="1" applyBorder="1" applyAlignment="1">
      <alignment horizontal="center"/>
    </xf>
    <xf numFmtId="166" fontId="48" fillId="0" borderId="2" xfId="0" applyNumberFormat="1" applyFont="1" applyBorder="1" applyAlignment="1">
      <alignment horizontal="center"/>
    </xf>
    <xf numFmtId="9" fontId="48" fillId="0" borderId="32" xfId="0" applyNumberFormat="1" applyFont="1" applyBorder="1" applyAlignment="1">
      <alignment horizontal="center"/>
    </xf>
    <xf numFmtId="0" fontId="45" fillId="18" borderId="14" xfId="0" applyFont="1" applyFill="1" applyBorder="1" applyAlignment="1">
      <alignment horizontal="center" wrapText="1"/>
    </xf>
    <xf numFmtId="0" fontId="45" fillId="17" borderId="14" xfId="0" applyFont="1" applyFill="1" applyBorder="1" applyAlignment="1">
      <alignment wrapText="1"/>
    </xf>
    <xf numFmtId="0" fontId="45" fillId="18" borderId="17" xfId="0" applyFont="1" applyFill="1" applyBorder="1" applyAlignment="1">
      <alignment horizontal="center" wrapText="1"/>
    </xf>
    <xf numFmtId="0" fontId="45" fillId="0" borderId="4" xfId="0" applyFont="1" applyBorder="1"/>
    <xf numFmtId="0" fontId="45" fillId="0" borderId="13" xfId="0" applyFont="1" applyBorder="1"/>
    <xf numFmtId="0" fontId="45" fillId="0" borderId="6" xfId="0" applyFont="1" applyBorder="1"/>
    <xf numFmtId="0" fontId="45" fillId="0" borderId="33" xfId="0" applyFont="1" applyBorder="1"/>
    <xf numFmtId="0" fontId="45" fillId="9" borderId="1" xfId="0" applyFont="1" applyFill="1" applyBorder="1" applyAlignment="1">
      <alignment horizontal="center"/>
    </xf>
    <xf numFmtId="0" fontId="45" fillId="0" borderId="7" xfId="0" applyFont="1" applyBorder="1"/>
    <xf numFmtId="0" fontId="45" fillId="3" borderId="8" xfId="0" applyFont="1" applyFill="1" applyBorder="1" applyAlignment="1">
      <alignment horizontal="center"/>
    </xf>
    <xf numFmtId="1" fontId="48" fillId="0" borderId="8" xfId="0" applyNumberFormat="1" applyFont="1" applyBorder="1" applyAlignment="1">
      <alignment horizontal="center"/>
    </xf>
    <xf numFmtId="166" fontId="48" fillId="0" borderId="8" xfId="0" applyNumberFormat="1" applyFont="1" applyBorder="1" applyAlignment="1">
      <alignment horizontal="center"/>
    </xf>
    <xf numFmtId="0" fontId="45" fillId="0" borderId="8" xfId="0" applyFont="1" applyBorder="1" applyAlignment="1">
      <alignment horizontal="center"/>
    </xf>
    <xf numFmtId="1" fontId="45" fillId="0" borderId="8" xfId="0" applyNumberFormat="1" applyFont="1" applyBorder="1" applyAlignment="1">
      <alignment horizontal="center"/>
    </xf>
    <xf numFmtId="9" fontId="48" fillId="0" borderId="30" xfId="0" applyNumberFormat="1" applyFont="1" applyBorder="1" applyAlignment="1">
      <alignment horizontal="center"/>
    </xf>
    <xf numFmtId="0" fontId="45" fillId="0" borderId="14" xfId="0" applyFont="1" applyBorder="1"/>
    <xf numFmtId="0" fontId="45" fillId="0" borderId="12" xfId="0" applyFont="1" applyBorder="1"/>
    <xf numFmtId="0" fontId="45" fillId="5" borderId="0" xfId="0" applyFont="1" applyFill="1"/>
    <xf numFmtId="0" fontId="45" fillId="6" borderId="7" xfId="0" applyFont="1" applyFill="1" applyBorder="1"/>
    <xf numFmtId="9" fontId="45" fillId="0" borderId="30" xfId="0" applyNumberFormat="1" applyFont="1" applyBorder="1" applyAlignment="1">
      <alignment horizontal="center"/>
    </xf>
    <xf numFmtId="0" fontId="45" fillId="9" borderId="2" xfId="0" applyFont="1" applyFill="1" applyBorder="1" applyAlignment="1">
      <alignment horizontal="center"/>
    </xf>
    <xf numFmtId="0" fontId="45" fillId="9" borderId="8" xfId="0" applyFont="1" applyFill="1" applyBorder="1" applyAlignment="1">
      <alignment horizontal="center"/>
    </xf>
    <xf numFmtId="0" fontId="45" fillId="0" borderId="24" xfId="0" applyFont="1" applyBorder="1" applyAlignment="1">
      <alignment horizontal="center"/>
    </xf>
    <xf numFmtId="0" fontId="45" fillId="0" borderId="45" xfId="0" applyFont="1" applyBorder="1" applyAlignment="1">
      <alignment horizontal="center"/>
    </xf>
    <xf numFmtId="0" fontId="45" fillId="0" borderId="47" xfId="0" applyFont="1" applyBorder="1" applyAlignment="1">
      <alignment horizontal="center"/>
    </xf>
    <xf numFmtId="0" fontId="45" fillId="0" borderId="9" xfId="0" applyFont="1" applyBorder="1" applyAlignment="1">
      <alignment horizontal="center"/>
    </xf>
    <xf numFmtId="0" fontId="45" fillId="3" borderId="9" xfId="0" applyFont="1" applyFill="1" applyBorder="1" applyAlignment="1">
      <alignment horizontal="center"/>
    </xf>
    <xf numFmtId="1" fontId="48" fillId="0" borderId="9" xfId="0" applyNumberFormat="1" applyFont="1" applyBorder="1" applyAlignment="1">
      <alignment horizontal="center"/>
    </xf>
    <xf numFmtId="166" fontId="48" fillId="0" borderId="9" xfId="0" applyNumberFormat="1" applyFont="1" applyBorder="1" applyAlignment="1">
      <alignment horizontal="center"/>
    </xf>
    <xf numFmtId="9" fontId="48" fillId="0" borderId="31" xfId="0" applyNumberFormat="1" applyFont="1" applyBorder="1" applyAlignment="1">
      <alignment horizontal="center"/>
    </xf>
    <xf numFmtId="0" fontId="45" fillId="0" borderId="11" xfId="0" applyFont="1" applyBorder="1"/>
    <xf numFmtId="0" fontId="47" fillId="0" borderId="0" xfId="0" applyFont="1"/>
    <xf numFmtId="0" fontId="47" fillId="0" borderId="14" xfId="0" applyFont="1" applyBorder="1"/>
    <xf numFmtId="0" fontId="45" fillId="0" borderId="43" xfId="0" applyFont="1" applyBorder="1"/>
    <xf numFmtId="0" fontId="45" fillId="0" borderId="21" xfId="0" applyFont="1" applyBorder="1"/>
    <xf numFmtId="0" fontId="45" fillId="0" borderId="22" xfId="0" applyFont="1" applyBorder="1"/>
    <xf numFmtId="0" fontId="47" fillId="0" borderId="43" xfId="0" applyFont="1" applyBorder="1"/>
    <xf numFmtId="0" fontId="47" fillId="0" borderId="21" xfId="0" applyFont="1" applyBorder="1"/>
    <xf numFmtId="1" fontId="45" fillId="0" borderId="9" xfId="0" applyNumberFormat="1" applyFont="1" applyBorder="1" applyAlignment="1">
      <alignment horizontal="center"/>
    </xf>
    <xf numFmtId="0" fontId="47" fillId="0" borderId="19" xfId="0" applyFont="1" applyBorder="1"/>
    <xf numFmtId="0" fontId="47" fillId="0" borderId="22" xfId="0" applyFont="1" applyBorder="1"/>
    <xf numFmtId="0" fontId="47" fillId="0" borderId="18" xfId="0" applyFont="1" applyBorder="1"/>
    <xf numFmtId="0" fontId="47" fillId="0" borderId="11" xfId="0" applyFont="1" applyBorder="1"/>
    <xf numFmtId="9" fontId="48" fillId="5" borderId="31" xfId="0" applyNumberFormat="1" applyFont="1" applyFill="1" applyBorder="1" applyAlignment="1">
      <alignment horizontal="center"/>
    </xf>
    <xf numFmtId="0" fontId="47" fillId="0" borderId="23" xfId="0" applyFont="1" applyBorder="1"/>
    <xf numFmtId="1" fontId="45" fillId="0" borderId="0" xfId="0" applyNumberFormat="1" applyFont="1" applyAlignment="1">
      <alignment horizontal="center"/>
    </xf>
    <xf numFmtId="0" fontId="45" fillId="0" borderId="34" xfId="0" applyFont="1" applyBorder="1" applyAlignment="1">
      <alignment horizontal="center" wrapText="1"/>
    </xf>
    <xf numFmtId="0" fontId="45" fillId="0" borderId="10" xfId="0" applyFont="1" applyBorder="1" applyAlignment="1">
      <alignment horizontal="center"/>
    </xf>
    <xf numFmtId="0" fontId="45" fillId="13" borderId="1" xfId="0" applyFont="1" applyFill="1" applyBorder="1" applyAlignment="1">
      <alignment horizontal="center" vertical="center" wrapText="1"/>
    </xf>
    <xf numFmtId="0" fontId="45" fillId="13" borderId="1" xfId="0" applyFont="1" applyFill="1" applyBorder="1" applyAlignment="1">
      <alignment horizontal="center" vertical="center"/>
    </xf>
    <xf numFmtId="0" fontId="45" fillId="13" borderId="1" xfId="0" applyFont="1" applyFill="1" applyBorder="1" applyAlignment="1">
      <alignment vertical="center" wrapText="1"/>
    </xf>
    <xf numFmtId="9" fontId="45" fillId="13" borderId="1" xfId="29" applyFont="1" applyFill="1" applyBorder="1" applyAlignment="1">
      <alignment horizontal="center" vertical="center"/>
    </xf>
    <xf numFmtId="0" fontId="45" fillId="13" borderId="1" xfId="0" applyFont="1" applyFill="1" applyBorder="1" applyAlignment="1">
      <alignment vertical="center"/>
    </xf>
    <xf numFmtId="0" fontId="45" fillId="13" borderId="1" xfId="0" applyFont="1" applyFill="1" applyBorder="1" applyAlignment="1">
      <alignment horizontal="center"/>
    </xf>
    <xf numFmtId="0" fontId="46" fillId="0" borderId="0" xfId="0" applyFont="1"/>
    <xf numFmtId="0" fontId="45" fillId="2" borderId="1" xfId="0" applyFont="1" applyFill="1" applyBorder="1"/>
    <xf numFmtId="0" fontId="45" fillId="2" borderId="1" xfId="0" applyFont="1" applyFill="1" applyBorder="1" applyAlignment="1">
      <alignment horizontal="center" wrapText="1"/>
    </xf>
    <xf numFmtId="0" fontId="45" fillId="4" borderId="1" xfId="0" applyFont="1" applyFill="1" applyBorder="1" applyAlignment="1">
      <alignment horizontal="center" wrapText="1"/>
    </xf>
    <xf numFmtId="2" fontId="45" fillId="0" borderId="0" xfId="0" applyNumberFormat="1" applyFont="1" applyAlignment="1">
      <alignment horizontal="center"/>
    </xf>
    <xf numFmtId="0" fontId="45" fillId="2" borderId="1" xfId="0" applyFont="1" applyFill="1" applyBorder="1" applyAlignment="1">
      <alignment horizontal="center"/>
    </xf>
    <xf numFmtId="0" fontId="46" fillId="0" borderId="2" xfId="0" applyFont="1" applyBorder="1"/>
    <xf numFmtId="0" fontId="46" fillId="0" borderId="1" xfId="0" applyFont="1" applyBorder="1"/>
    <xf numFmtId="0" fontId="51" fillId="0" borderId="1" xfId="0" applyFont="1" applyBorder="1" applyAlignment="1">
      <alignment horizontal="center"/>
    </xf>
    <xf numFmtId="2" fontId="46" fillId="0" borderId="1" xfId="0" applyNumberFormat="1" applyFont="1" applyBorder="1" applyAlignment="1">
      <alignment horizontal="center"/>
    </xf>
    <xf numFmtId="1" fontId="45" fillId="0" borderId="46" xfId="0" applyNumberFormat="1" applyFont="1" applyBorder="1" applyAlignment="1">
      <alignment horizontal="center"/>
    </xf>
    <xf numFmtId="2" fontId="52" fillId="0" borderId="1" xfId="0" applyNumberFormat="1" applyFont="1" applyBorder="1" applyAlignment="1">
      <alignment horizontal="center"/>
    </xf>
    <xf numFmtId="2" fontId="45" fillId="0" borderId="1" xfId="0" applyNumberFormat="1" applyFont="1" applyBorder="1" applyAlignment="1">
      <alignment horizontal="center"/>
    </xf>
    <xf numFmtId="2" fontId="45" fillId="0" borderId="45" xfId="0" applyNumberFormat="1" applyFont="1" applyBorder="1" applyAlignment="1">
      <alignment horizontal="center"/>
    </xf>
    <xf numFmtId="0" fontId="53" fillId="0" borderId="49" xfId="0" applyFont="1" applyBorder="1" applyAlignment="1">
      <alignment horizontal="center" wrapText="1"/>
    </xf>
    <xf numFmtId="0" fontId="53" fillId="9" borderId="49" xfId="0" applyFont="1" applyFill="1" applyBorder="1" applyAlignment="1">
      <alignment horizontal="center"/>
    </xf>
    <xf numFmtId="0" fontId="50" fillId="0" borderId="1" xfId="0" applyFont="1" applyBorder="1" applyAlignment="1">
      <alignment horizontal="center"/>
    </xf>
    <xf numFmtId="17" fontId="45" fillId="9" borderId="0" xfId="0" applyNumberFormat="1" applyFont="1" applyFill="1"/>
    <xf numFmtId="0" fontId="45" fillId="9" borderId="0" xfId="0" applyFont="1" applyFill="1"/>
    <xf numFmtId="0" fontId="45" fillId="0" borderId="1" xfId="0" applyFont="1" applyBorder="1" applyAlignment="1">
      <alignment horizontal="right"/>
    </xf>
    <xf numFmtId="0" fontId="46" fillId="0" borderId="1" xfId="0" applyFont="1" applyBorder="1" applyAlignment="1">
      <alignment horizontal="center" wrapText="1"/>
    </xf>
    <xf numFmtId="17" fontId="45" fillId="0" borderId="0" xfId="0" applyNumberFormat="1" applyFont="1" applyAlignment="1">
      <alignment horizontal="center"/>
    </xf>
    <xf numFmtId="0" fontId="5" fillId="0" borderId="1" xfId="0" applyFont="1" applyBorder="1"/>
    <xf numFmtId="1" fontId="5" fillId="0" borderId="0" xfId="0" applyNumberFormat="1" applyFont="1" applyAlignment="1">
      <alignment wrapText="1"/>
    </xf>
    <xf numFmtId="0" fontId="5" fillId="0" borderId="0" xfId="0" applyFont="1" applyAlignment="1">
      <alignment wrapText="1"/>
    </xf>
    <xf numFmtId="1" fontId="7" fillId="0" borderId="1" xfId="0" applyNumberFormat="1" applyFont="1" applyBorder="1"/>
    <xf numFmtId="0" fontId="53" fillId="9" borderId="50" xfId="0" applyFont="1" applyFill="1" applyBorder="1" applyAlignment="1">
      <alignment horizontal="center"/>
    </xf>
    <xf numFmtId="0" fontId="53" fillId="9" borderId="48" xfId="0" applyFont="1" applyFill="1" applyBorder="1" applyAlignment="1">
      <alignment horizontal="center"/>
    </xf>
    <xf numFmtId="0" fontId="5" fillId="0" borderId="1" xfId="0" applyFont="1" applyBorder="1" applyAlignment="1">
      <alignment horizontal="center"/>
    </xf>
    <xf numFmtId="0" fontId="45" fillId="18" borderId="0" xfId="0" applyFont="1" applyFill="1" applyAlignment="1">
      <alignment horizontal="center"/>
    </xf>
    <xf numFmtId="0" fontId="47" fillId="0" borderId="33" xfId="0" applyFont="1" applyBorder="1"/>
    <xf numFmtId="0" fontId="53" fillId="9" borderId="29" xfId="0" applyFont="1" applyFill="1" applyBorder="1" applyAlignment="1">
      <alignment horizontal="center"/>
    </xf>
    <xf numFmtId="0" fontId="46" fillId="9" borderId="29" xfId="0" applyFont="1" applyFill="1" applyBorder="1" applyAlignment="1">
      <alignment horizontal="center"/>
    </xf>
    <xf numFmtId="0" fontId="53" fillId="0" borderId="1" xfId="0" applyFont="1" applyBorder="1" applyAlignment="1">
      <alignment horizontal="center"/>
    </xf>
    <xf numFmtId="0" fontId="46" fillId="9" borderId="1" xfId="0" applyFont="1" applyFill="1" applyBorder="1" applyAlignment="1">
      <alignment horizontal="center"/>
    </xf>
    <xf numFmtId="0" fontId="45" fillId="0" borderId="27" xfId="0" applyFont="1" applyBorder="1" applyAlignment="1">
      <alignment horizontal="center"/>
    </xf>
    <xf numFmtId="2" fontId="45" fillId="0" borderId="2" xfId="0" applyNumberFormat="1" applyFont="1" applyBorder="1" applyAlignment="1">
      <alignment horizontal="center"/>
    </xf>
    <xf numFmtId="0" fontId="49" fillId="17" borderId="14" xfId="0" applyFont="1" applyFill="1" applyBorder="1" applyAlignment="1">
      <alignment wrapText="1"/>
    </xf>
    <xf numFmtId="0" fontId="49" fillId="18" borderId="14" xfId="0" applyFont="1" applyFill="1" applyBorder="1" applyAlignment="1">
      <alignment horizontal="center" wrapText="1"/>
    </xf>
    <xf numFmtId="0" fontId="49" fillId="17" borderId="14" xfId="0" applyFont="1" applyFill="1" applyBorder="1"/>
    <xf numFmtId="0" fontId="45" fillId="18" borderId="0" xfId="0" applyFont="1" applyFill="1" applyAlignment="1">
      <alignment horizontal="center" vertical="center"/>
    </xf>
    <xf numFmtId="2" fontId="45" fillId="0" borderId="27" xfId="0" applyNumberFormat="1" applyFont="1" applyBorder="1" applyAlignment="1">
      <alignment horizontal="center"/>
    </xf>
    <xf numFmtId="2" fontId="45" fillId="0" borderId="9" xfId="0" applyNumberFormat="1" applyFont="1" applyBorder="1" applyAlignment="1">
      <alignment horizontal="center"/>
    </xf>
    <xf numFmtId="0" fontId="5" fillId="0" borderId="0" xfId="0" applyFont="1"/>
    <xf numFmtId="9" fontId="0" fillId="0" borderId="0" xfId="29" applyFont="1"/>
    <xf numFmtId="1" fontId="5" fillId="0" borderId="0" xfId="0" applyNumberFormat="1" applyFont="1" applyAlignment="1">
      <alignment horizontal="center"/>
    </xf>
    <xf numFmtId="0" fontId="11" fillId="0" borderId="0" xfId="0" applyFont="1" applyAlignment="1">
      <alignment horizontal="center" wrapText="1"/>
    </xf>
    <xf numFmtId="17" fontId="0" fillId="0" borderId="0" xfId="0" applyNumberFormat="1" applyAlignment="1">
      <alignment horizontal="center"/>
    </xf>
    <xf numFmtId="17" fontId="0" fillId="34" borderId="0" xfId="0" applyNumberFormat="1" applyFill="1" applyAlignment="1">
      <alignment horizontal="center"/>
    </xf>
    <xf numFmtId="0" fontId="61" fillId="0" borderId="0" xfId="0" applyFont="1"/>
    <xf numFmtId="1" fontId="0" fillId="0" borderId="0" xfId="0" applyNumberFormat="1"/>
    <xf numFmtId="0" fontId="45" fillId="6" borderId="5" xfId="0" applyFont="1" applyFill="1" applyBorder="1" applyAlignment="1">
      <alignment horizontal="center"/>
    </xf>
    <xf numFmtId="0" fontId="45" fillId="6" borderId="1" xfId="0" applyFont="1" applyFill="1" applyBorder="1" applyAlignment="1">
      <alignment horizontal="center"/>
    </xf>
    <xf numFmtId="0" fontId="45" fillId="6" borderId="8" xfId="0" applyFont="1" applyFill="1" applyBorder="1" applyAlignment="1">
      <alignment horizontal="center"/>
    </xf>
    <xf numFmtId="0" fontId="0" fillId="0" borderId="37" xfId="0" applyBorder="1"/>
    <xf numFmtId="0" fontId="45" fillId="0" borderId="13" xfId="0" applyFont="1" applyBorder="1" applyAlignment="1">
      <alignment horizontal="center"/>
    </xf>
    <xf numFmtId="0" fontId="5" fillId="0" borderId="38" xfId="0" applyFont="1" applyBorder="1"/>
    <xf numFmtId="0" fontId="0" fillId="0" borderId="39" xfId="0" applyBorder="1"/>
    <xf numFmtId="0" fontId="5" fillId="0" borderId="40" xfId="0" applyFont="1" applyBorder="1"/>
    <xf numFmtId="0" fontId="0" fillId="0" borderId="14" xfId="0" applyBorder="1"/>
    <xf numFmtId="0" fontId="0" fillId="0" borderId="17" xfId="0" applyBorder="1"/>
    <xf numFmtId="0" fontId="45" fillId="0" borderId="41" xfId="0" applyFont="1" applyBorder="1" applyAlignment="1">
      <alignment horizontal="center"/>
    </xf>
    <xf numFmtId="1" fontId="0" fillId="0" borderId="33" xfId="0" applyNumberFormat="1" applyBorder="1" applyAlignment="1">
      <alignment horizontal="center"/>
    </xf>
    <xf numFmtId="1" fontId="0" fillId="0" borderId="52" xfId="0" applyNumberFormat="1" applyBorder="1" applyAlignment="1">
      <alignment horizontal="center"/>
    </xf>
    <xf numFmtId="0" fontId="0" fillId="0" borderId="33" xfId="0" applyBorder="1" applyAlignment="1">
      <alignment horizontal="center"/>
    </xf>
    <xf numFmtId="0" fontId="0" fillId="0" borderId="52" xfId="0" applyBorder="1" applyAlignment="1">
      <alignment horizontal="center"/>
    </xf>
    <xf numFmtId="174" fontId="0" fillId="0" borderId="33" xfId="0" applyNumberFormat="1" applyBorder="1" applyAlignment="1">
      <alignment horizontal="center"/>
    </xf>
    <xf numFmtId="174" fontId="0" fillId="0" borderId="52" xfId="0" applyNumberFormat="1" applyBorder="1" applyAlignment="1">
      <alignment horizontal="center"/>
    </xf>
    <xf numFmtId="0" fontId="0" fillId="0" borderId="39"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41" xfId="0" applyBorder="1" applyAlignment="1">
      <alignment horizontal="center"/>
    </xf>
    <xf numFmtId="0" fontId="63" fillId="0" borderId="0" xfId="0" applyFont="1"/>
    <xf numFmtId="0" fontId="64" fillId="0" borderId="0" xfId="0" applyFont="1"/>
    <xf numFmtId="0" fontId="64" fillId="0" borderId="4" xfId="0" applyFont="1" applyBorder="1"/>
    <xf numFmtId="0" fontId="64" fillId="0" borderId="5" xfId="0" applyFont="1" applyBorder="1" applyAlignment="1">
      <alignment horizontal="center"/>
    </xf>
    <xf numFmtId="0" fontId="64" fillId="6" borderId="5" xfId="0" applyFont="1" applyFill="1" applyBorder="1" applyAlignment="1">
      <alignment horizontal="center"/>
    </xf>
    <xf numFmtId="0" fontId="64" fillId="0" borderId="36" xfId="0" applyFont="1" applyBorder="1" applyAlignment="1">
      <alignment horizontal="center"/>
    </xf>
    <xf numFmtId="1" fontId="64" fillId="0" borderId="5" xfId="0" applyNumberFormat="1" applyFont="1" applyBorder="1" applyAlignment="1">
      <alignment horizontal="center"/>
    </xf>
    <xf numFmtId="9" fontId="65" fillId="0" borderId="28" xfId="0" applyNumberFormat="1" applyFont="1" applyBorder="1" applyAlignment="1">
      <alignment horizontal="center"/>
    </xf>
    <xf numFmtId="0" fontId="64" fillId="0" borderId="6" xfId="0" applyFont="1" applyBorder="1"/>
    <xf numFmtId="0" fontId="64" fillId="0" borderId="1" xfId="0" applyFont="1" applyBorder="1" applyAlignment="1">
      <alignment horizontal="center"/>
    </xf>
    <xf numFmtId="0" fontId="64" fillId="6" borderId="1" xfId="0" applyFont="1" applyFill="1" applyBorder="1" applyAlignment="1">
      <alignment horizontal="center"/>
    </xf>
    <xf numFmtId="1" fontId="64" fillId="0" borderId="1" xfId="0" applyNumberFormat="1" applyFont="1" applyBorder="1" applyAlignment="1">
      <alignment horizontal="center"/>
    </xf>
    <xf numFmtId="9" fontId="65" fillId="0" borderId="29" xfId="0" applyNumberFormat="1" applyFont="1" applyBorder="1" applyAlignment="1">
      <alignment horizontal="center"/>
    </xf>
    <xf numFmtId="0" fontId="64" fillId="0" borderId="7" xfId="0" applyFont="1" applyBorder="1"/>
    <xf numFmtId="0" fontId="64" fillId="0" borderId="8" xfId="0" applyFont="1" applyBorder="1" applyAlignment="1">
      <alignment horizontal="center"/>
    </xf>
    <xf numFmtId="0" fontId="64" fillId="6" borderId="8" xfId="0" applyFont="1" applyFill="1" applyBorder="1" applyAlignment="1">
      <alignment horizontal="center"/>
    </xf>
    <xf numFmtId="1" fontId="64" fillId="0" borderId="8" xfId="0" applyNumberFormat="1" applyFont="1" applyBorder="1" applyAlignment="1">
      <alignment horizontal="center"/>
    </xf>
    <xf numFmtId="9" fontId="65" fillId="0" borderId="30" xfId="0" applyNumberFormat="1" applyFont="1" applyBorder="1" applyAlignment="1">
      <alignment horizontal="center"/>
    </xf>
    <xf numFmtId="0" fontId="64" fillId="2" borderId="1" xfId="0" applyFont="1" applyFill="1" applyBorder="1" applyAlignment="1">
      <alignment horizontal="center"/>
    </xf>
    <xf numFmtId="0" fontId="64" fillId="2" borderId="1" xfId="0" applyFont="1" applyFill="1" applyBorder="1" applyAlignment="1">
      <alignment horizontal="center" wrapText="1"/>
    </xf>
    <xf numFmtId="0" fontId="64" fillId="4" borderId="1" xfId="0" applyFont="1" applyFill="1" applyBorder="1" applyAlignment="1">
      <alignment horizontal="center" wrapText="1"/>
    </xf>
    <xf numFmtId="0" fontId="64" fillId="0" borderId="0" xfId="0" applyFont="1" applyAlignment="1">
      <alignment horizontal="center"/>
    </xf>
    <xf numFmtId="0" fontId="64" fillId="0" borderId="37" xfId="0" applyFont="1" applyBorder="1"/>
    <xf numFmtId="0" fontId="64" fillId="0" borderId="13" xfId="0" applyFont="1" applyBorder="1" applyAlignment="1">
      <alignment horizontal="center"/>
    </xf>
    <xf numFmtId="0" fontId="64" fillId="0" borderId="41" xfId="0" applyFont="1" applyBorder="1" applyAlignment="1">
      <alignment horizontal="center"/>
    </xf>
    <xf numFmtId="0" fontId="64" fillId="0" borderId="51" xfId="0" applyFont="1" applyBorder="1" applyAlignment="1">
      <alignment horizontal="center"/>
    </xf>
    <xf numFmtId="0" fontId="64" fillId="0" borderId="38" xfId="0" applyFont="1" applyBorder="1"/>
    <xf numFmtId="0" fontId="64" fillId="0" borderId="39" xfId="0" applyFont="1" applyBorder="1"/>
    <xf numFmtId="1" fontId="64" fillId="0" borderId="33" xfId="0" applyNumberFormat="1" applyFont="1" applyBorder="1" applyAlignment="1">
      <alignment horizontal="center"/>
    </xf>
    <xf numFmtId="0" fontId="64" fillId="0" borderId="33" xfId="0" applyFont="1" applyBorder="1" applyAlignment="1">
      <alignment horizontal="center"/>
    </xf>
    <xf numFmtId="174" fontId="64" fillId="0" borderId="33" xfId="0" applyNumberFormat="1" applyFont="1" applyBorder="1" applyAlignment="1">
      <alignment horizontal="center"/>
    </xf>
    <xf numFmtId="0" fontId="64" fillId="0" borderId="40" xfId="0" applyFont="1" applyBorder="1"/>
    <xf numFmtId="0" fontId="64" fillId="0" borderId="14" xfId="0" applyFont="1" applyBorder="1"/>
    <xf numFmtId="0" fontId="64" fillId="0" borderId="17" xfId="0" applyFont="1" applyBorder="1"/>
    <xf numFmtId="1" fontId="64" fillId="0" borderId="52" xfId="0" applyNumberFormat="1" applyFont="1" applyBorder="1" applyAlignment="1">
      <alignment horizontal="center"/>
    </xf>
    <xf numFmtId="0" fontId="64" fillId="0" borderId="52" xfId="0" applyFont="1" applyBorder="1" applyAlignment="1">
      <alignment horizontal="center"/>
    </xf>
    <xf numFmtId="174" fontId="64" fillId="0" borderId="52" xfId="0" applyNumberFormat="1" applyFont="1" applyBorder="1" applyAlignment="1">
      <alignment horizontal="center"/>
    </xf>
    <xf numFmtId="0" fontId="64" fillId="0" borderId="39" xfId="0" applyFont="1" applyBorder="1" applyAlignment="1">
      <alignment horizontal="center"/>
    </xf>
    <xf numFmtId="0" fontId="64" fillId="0" borderId="14" xfId="0" applyFont="1" applyBorder="1" applyAlignment="1">
      <alignment horizontal="center"/>
    </xf>
    <xf numFmtId="0" fontId="64" fillId="0" borderId="17" xfId="0" applyFont="1" applyBorder="1" applyAlignment="1">
      <alignment horizontal="center"/>
    </xf>
    <xf numFmtId="0" fontId="64" fillId="0" borderId="37" xfId="0" applyFont="1" applyBorder="1" applyAlignment="1">
      <alignment horizontal="center"/>
    </xf>
    <xf numFmtId="1" fontId="64" fillId="0" borderId="38" xfId="0" applyNumberFormat="1" applyFont="1" applyBorder="1" applyAlignment="1">
      <alignment horizontal="center"/>
    </xf>
    <xf numFmtId="1" fontId="64" fillId="0" borderId="40" xfId="0" applyNumberFormat="1" applyFont="1" applyBorder="1" applyAlignment="1">
      <alignment horizontal="center"/>
    </xf>
    <xf numFmtId="0" fontId="64" fillId="0" borderId="38" xfId="0" applyFont="1" applyBorder="1" applyAlignment="1">
      <alignment horizontal="center"/>
    </xf>
    <xf numFmtId="0" fontId="64" fillId="0" borderId="40" xfId="0" applyFont="1" applyBorder="1" applyAlignment="1">
      <alignment horizontal="center"/>
    </xf>
    <xf numFmtId="0" fontId="50" fillId="0" borderId="0" xfId="0" applyFont="1"/>
    <xf numFmtId="0" fontId="50" fillId="0" borderId="0" xfId="0" applyFont="1" applyAlignment="1">
      <alignment horizontal="center"/>
    </xf>
    <xf numFmtId="0" fontId="45" fillId="35" borderId="38" xfId="0" applyFont="1" applyFill="1" applyBorder="1" applyAlignment="1">
      <alignment wrapText="1"/>
    </xf>
    <xf numFmtId="0" fontId="45" fillId="35" borderId="40" xfId="0" applyFont="1" applyFill="1" applyBorder="1" applyAlignment="1">
      <alignment wrapText="1"/>
    </xf>
    <xf numFmtId="0" fontId="45" fillId="35" borderId="37" xfId="0" applyFont="1" applyFill="1" applyBorder="1" applyAlignment="1">
      <alignment wrapText="1"/>
    </xf>
    <xf numFmtId="0" fontId="45" fillId="35" borderId="0" xfId="0" applyFont="1" applyFill="1" applyAlignment="1">
      <alignment wrapText="1"/>
    </xf>
    <xf numFmtId="0" fontId="45" fillId="35" borderId="13" xfId="0" applyFont="1" applyFill="1" applyBorder="1" applyAlignment="1">
      <alignment wrapText="1"/>
    </xf>
    <xf numFmtId="0" fontId="45" fillId="35" borderId="14" xfId="0" applyFont="1" applyFill="1" applyBorder="1" applyAlignment="1">
      <alignment wrapText="1"/>
    </xf>
    <xf numFmtId="0" fontId="45" fillId="36" borderId="21" xfId="0" applyFont="1" applyFill="1" applyBorder="1" applyAlignment="1">
      <alignment horizontal="center" vertical="center" textRotation="90" wrapText="1"/>
    </xf>
    <xf numFmtId="0" fontId="45" fillId="36" borderId="0" xfId="0" applyFont="1" applyFill="1" applyAlignment="1">
      <alignment horizontal="center" wrapText="1"/>
    </xf>
    <xf numFmtId="0" fontId="45" fillId="36" borderId="14" xfId="0" applyFont="1" applyFill="1" applyBorder="1" applyAlignment="1">
      <alignment horizontal="center" wrapText="1"/>
    </xf>
    <xf numFmtId="0" fontId="45" fillId="36" borderId="13" xfId="0" applyFont="1" applyFill="1" applyBorder="1" applyAlignment="1">
      <alignment horizontal="center" wrapText="1"/>
    </xf>
    <xf numFmtId="1" fontId="45" fillId="36" borderId="13" xfId="0" applyNumberFormat="1" applyFont="1" applyFill="1" applyBorder="1" applyAlignment="1">
      <alignment horizontal="center" wrapText="1"/>
    </xf>
    <xf numFmtId="0" fontId="5" fillId="29" borderId="0" xfId="0" applyFont="1" applyFill="1" applyAlignment="1">
      <alignment horizontal="center" vertical="center" wrapText="1"/>
    </xf>
    <xf numFmtId="0" fontId="0" fillId="0" borderId="1" xfId="0" applyBorder="1" applyAlignment="1">
      <alignment horizontal="center"/>
    </xf>
    <xf numFmtId="0" fontId="0" fillId="0" borderId="42" xfId="0" applyBorder="1"/>
    <xf numFmtId="1" fontId="39" fillId="0" borderId="0" xfId="0" applyNumberFormat="1" applyFont="1" applyAlignment="1">
      <alignment horizontal="center"/>
    </xf>
    <xf numFmtId="1" fontId="38" fillId="0" borderId="0" xfId="28" applyNumberFormat="1" applyFont="1" applyAlignment="1">
      <alignment horizontal="right"/>
    </xf>
    <xf numFmtId="175" fontId="39" fillId="0" borderId="1" xfId="0" applyNumberFormat="1" applyFont="1" applyBorder="1"/>
    <xf numFmtId="175" fontId="5" fillId="0" borderId="1" xfId="0" applyNumberFormat="1" applyFont="1" applyBorder="1"/>
    <xf numFmtId="1" fontId="5" fillId="0" borderId="1" xfId="0" applyNumberFormat="1" applyFont="1" applyBorder="1"/>
    <xf numFmtId="49" fontId="45" fillId="0" borderId="1" xfId="0" applyNumberFormat="1" applyFont="1" applyBorder="1" applyAlignment="1">
      <alignment horizontal="center"/>
    </xf>
    <xf numFmtId="0" fontId="45" fillId="12" borderId="1" xfId="0" applyFont="1" applyFill="1" applyBorder="1" applyAlignment="1">
      <alignment horizontal="center"/>
    </xf>
    <xf numFmtId="0" fontId="5" fillId="0" borderId="1" xfId="0" applyFont="1" applyBorder="1" applyAlignment="1">
      <alignment horizontal="right"/>
    </xf>
    <xf numFmtId="1" fontId="0" fillId="0" borderId="1" xfId="0" applyNumberFormat="1" applyBorder="1"/>
    <xf numFmtId="1" fontId="39" fillId="0" borderId="1" xfId="0" applyNumberFormat="1" applyFont="1" applyBorder="1"/>
    <xf numFmtId="0" fontId="46" fillId="0" borderId="1" xfId="0" applyFont="1" applyBorder="1" applyAlignment="1">
      <alignment horizontal="center" vertical="center"/>
    </xf>
    <xf numFmtId="0" fontId="45" fillId="0" borderId="1" xfId="0" applyFont="1" applyBorder="1" applyAlignment="1">
      <alignment horizontal="center" vertical="center"/>
    </xf>
    <xf numFmtId="1" fontId="5" fillId="0" borderId="0" xfId="0" applyNumberFormat="1" applyFont="1"/>
    <xf numFmtId="0" fontId="0" fillId="0" borderId="0" xfId="0" applyAlignment="1">
      <alignment vertical="center"/>
    </xf>
    <xf numFmtId="0" fontId="0" fillId="0" borderId="13" xfId="0" applyBorder="1"/>
    <xf numFmtId="0" fontId="5" fillId="0" borderId="13" xfId="0" applyFont="1" applyBorder="1"/>
    <xf numFmtId="0" fontId="5" fillId="0" borderId="41" xfId="0" applyFont="1" applyBorder="1"/>
    <xf numFmtId="17" fontId="0" fillId="0" borderId="14" xfId="0" applyNumberFormat="1" applyBorder="1"/>
    <xf numFmtId="1" fontId="0" fillId="0" borderId="39" xfId="0" applyNumberFormat="1" applyBorder="1"/>
    <xf numFmtId="1" fontId="0" fillId="0" borderId="17" xfId="0" applyNumberFormat="1" applyBorder="1"/>
    <xf numFmtId="1" fontId="0" fillId="0" borderId="14" xfId="0" applyNumberFormat="1" applyBorder="1"/>
    <xf numFmtId="1" fontId="5" fillId="0" borderId="39" xfId="0" applyNumberFormat="1" applyFont="1" applyBorder="1"/>
    <xf numFmtId="2" fontId="45" fillId="9" borderId="1" xfId="0" applyNumberFormat="1" applyFont="1" applyFill="1" applyBorder="1" applyAlignment="1">
      <alignment horizontal="center"/>
    </xf>
    <xf numFmtId="0" fontId="49" fillId="17" borderId="0" xfId="0" applyFont="1" applyFill="1" applyAlignment="1">
      <alignment wrapText="1"/>
    </xf>
    <xf numFmtId="0" fontId="46" fillId="2" borderId="1" xfId="0" applyFont="1" applyFill="1" applyBorder="1" applyAlignment="1">
      <alignment horizontal="center" vertical="center" wrapText="1"/>
    </xf>
    <xf numFmtId="9" fontId="45" fillId="0" borderId="1" xfId="29" applyFont="1" applyBorder="1" applyAlignment="1">
      <alignment horizontal="center"/>
    </xf>
    <xf numFmtId="0" fontId="50" fillId="0" borderId="1" xfId="0" applyFont="1" applyBorder="1"/>
    <xf numFmtId="0" fontId="49" fillId="18" borderId="0" xfId="0" applyFont="1" applyFill="1" applyAlignment="1">
      <alignment horizontal="center" wrapText="1"/>
    </xf>
    <xf numFmtId="0" fontId="67" fillId="17" borderId="0" xfId="0" applyFont="1" applyFill="1" applyAlignment="1">
      <alignment wrapText="1"/>
    </xf>
    <xf numFmtId="0" fontId="67" fillId="18" borderId="0" xfId="0" applyFont="1" applyFill="1" applyAlignment="1">
      <alignment horizontal="center" wrapText="1"/>
    </xf>
    <xf numFmtId="0" fontId="5" fillId="0" borderId="0" xfId="64"/>
    <xf numFmtId="0" fontId="5" fillId="0" borderId="0" xfId="64" applyAlignment="1">
      <alignment horizontal="center"/>
    </xf>
    <xf numFmtId="0" fontId="7" fillId="0" borderId="0" xfId="64" applyFont="1" applyAlignment="1">
      <alignment horizontal="center"/>
    </xf>
    <xf numFmtId="0" fontId="7" fillId="38" borderId="0" xfId="64" applyFont="1" applyFill="1" applyAlignment="1">
      <alignment horizontal="center"/>
    </xf>
    <xf numFmtId="9" fontId="5" fillId="0" borderId="0" xfId="64" applyNumberFormat="1" applyAlignment="1">
      <alignment horizontal="center"/>
    </xf>
    <xf numFmtId="0" fontId="7" fillId="38" borderId="0" xfId="64" applyFont="1" applyFill="1" applyAlignment="1">
      <alignment horizontal="center" wrapText="1"/>
    </xf>
    <xf numFmtId="0" fontId="5" fillId="0" borderId="0" xfId="64" applyAlignment="1">
      <alignment horizontal="center" wrapText="1"/>
    </xf>
    <xf numFmtId="9" fontId="5" fillId="0" borderId="0" xfId="29" applyFont="1" applyAlignment="1">
      <alignment horizontal="center"/>
    </xf>
    <xf numFmtId="1" fontId="7" fillId="0" borderId="0" xfId="64" applyNumberFormat="1" applyFont="1" applyAlignment="1">
      <alignment horizontal="center"/>
    </xf>
    <xf numFmtId="0" fontId="7" fillId="0" borderId="0" xfId="64" applyFont="1" applyAlignment="1">
      <alignment horizontal="center" wrapText="1"/>
    </xf>
    <xf numFmtId="9" fontId="7" fillId="0" borderId="0" xfId="64" applyNumberFormat="1" applyFont="1" applyAlignment="1">
      <alignment horizontal="center"/>
    </xf>
    <xf numFmtId="0" fontId="7" fillId="0" borderId="0" xfId="64" applyFont="1" applyAlignment="1">
      <alignment horizontal="right"/>
    </xf>
    <xf numFmtId="1" fontId="5" fillId="0" borderId="0" xfId="64" applyNumberFormat="1" applyAlignment="1">
      <alignment horizontal="center"/>
    </xf>
    <xf numFmtId="0" fontId="5" fillId="0" borderId="1" xfId="0" applyFont="1" applyBorder="1" applyAlignment="1">
      <alignment horizontal="center" vertical="center"/>
    </xf>
    <xf numFmtId="0" fontId="45" fillId="9" borderId="27" xfId="0" applyFont="1" applyFill="1" applyBorder="1" applyAlignment="1">
      <alignment horizontal="center"/>
    </xf>
    <xf numFmtId="1" fontId="48" fillId="0" borderId="55" xfId="0" applyNumberFormat="1" applyFont="1" applyBorder="1" applyAlignment="1">
      <alignment horizontal="center"/>
    </xf>
    <xf numFmtId="1" fontId="48" fillId="0" borderId="46" xfId="0" applyNumberFormat="1" applyFont="1" applyBorder="1" applyAlignment="1">
      <alignment horizontal="center"/>
    </xf>
    <xf numFmtId="1" fontId="48" fillId="0" borderId="10" xfId="0" applyNumberFormat="1" applyFont="1" applyBorder="1" applyAlignment="1">
      <alignment horizontal="center"/>
    </xf>
    <xf numFmtId="0" fontId="45" fillId="0" borderId="0" xfId="0" applyFont="1" applyAlignment="1">
      <alignment horizontal="center" wrapText="1"/>
    </xf>
    <xf numFmtId="0" fontId="67" fillId="17" borderId="13" xfId="0" applyFont="1" applyFill="1" applyBorder="1" applyAlignment="1">
      <alignment wrapText="1"/>
    </xf>
    <xf numFmtId="0" fontId="67" fillId="18" borderId="13" xfId="0" applyFont="1" applyFill="1" applyBorder="1" applyAlignment="1">
      <alignment horizontal="center" wrapText="1"/>
    </xf>
    <xf numFmtId="0" fontId="67" fillId="17" borderId="14" xfId="0" applyFont="1" applyFill="1" applyBorder="1" applyAlignment="1">
      <alignment wrapText="1"/>
    </xf>
    <xf numFmtId="0" fontId="67" fillId="18" borderId="14" xfId="0" applyFont="1" applyFill="1" applyBorder="1" applyAlignment="1">
      <alignment horizontal="center" wrapText="1"/>
    </xf>
    <xf numFmtId="166" fontId="45" fillId="0" borderId="0" xfId="0" applyNumberFormat="1" applyFont="1" applyAlignment="1">
      <alignment horizontal="center"/>
    </xf>
    <xf numFmtId="9" fontId="45" fillId="0" borderId="0" xfId="0" applyNumberFormat="1" applyFont="1" applyAlignment="1">
      <alignment horizontal="center"/>
    </xf>
    <xf numFmtId="9" fontId="48" fillId="34" borderId="29" xfId="0" applyNumberFormat="1" applyFont="1" applyFill="1" applyBorder="1" applyAlignment="1">
      <alignment horizontal="center"/>
    </xf>
    <xf numFmtId="1" fontId="8" fillId="0" borderId="0" xfId="0" applyNumberFormat="1" applyFont="1" applyAlignment="1">
      <alignment horizontal="center"/>
    </xf>
    <xf numFmtId="1" fontId="0" fillId="29" borderId="0" xfId="0" applyNumberFormat="1" applyFill="1" applyAlignment="1">
      <alignment horizontal="center" wrapText="1"/>
    </xf>
    <xf numFmtId="0" fontId="68" fillId="17" borderId="0" xfId="0" applyFont="1" applyFill="1" applyAlignment="1">
      <alignment wrapText="1"/>
    </xf>
    <xf numFmtId="0" fontId="68" fillId="17" borderId="13" xfId="0" applyFont="1" applyFill="1" applyBorder="1" applyAlignment="1">
      <alignment wrapText="1"/>
    </xf>
    <xf numFmtId="0" fontId="68" fillId="18" borderId="0" xfId="0" applyFont="1" applyFill="1" applyAlignment="1">
      <alignment horizontal="center" wrapText="1"/>
    </xf>
    <xf numFmtId="0" fontId="68" fillId="18" borderId="13" xfId="0" applyFont="1" applyFill="1" applyBorder="1" applyAlignment="1">
      <alignment horizontal="center" wrapText="1"/>
    </xf>
    <xf numFmtId="0" fontId="70" fillId="9" borderId="0" xfId="130" applyFont="1" applyFill="1"/>
    <xf numFmtId="1" fontId="45" fillId="6" borderId="1" xfId="0" applyNumberFormat="1" applyFont="1" applyFill="1" applyBorder="1" applyAlignment="1">
      <alignment horizontal="center"/>
    </xf>
    <xf numFmtId="2" fontId="45" fillId="0" borderId="1" xfId="0" applyNumberFormat="1" applyFont="1" applyBorder="1"/>
    <xf numFmtId="2" fontId="45" fillId="34" borderId="1" xfId="0" applyNumberFormat="1" applyFont="1" applyFill="1" applyBorder="1"/>
    <xf numFmtId="49" fontId="45" fillId="0" borderId="1" xfId="0" applyNumberFormat="1" applyFont="1" applyBorder="1"/>
    <xf numFmtId="2" fontId="45" fillId="20" borderId="1" xfId="0" applyNumberFormat="1" applyFont="1" applyFill="1" applyBorder="1"/>
    <xf numFmtId="2" fontId="45" fillId="39" borderId="1" xfId="0" applyNumberFormat="1" applyFont="1" applyFill="1" applyBorder="1"/>
    <xf numFmtId="2" fontId="45" fillId="40" borderId="9" xfId="0" applyNumberFormat="1" applyFont="1" applyFill="1" applyBorder="1"/>
    <xf numFmtId="0" fontId="68" fillId="17" borderId="14" xfId="0" applyFont="1" applyFill="1" applyBorder="1" applyAlignment="1">
      <alignment wrapText="1"/>
    </xf>
    <xf numFmtId="0" fontId="68" fillId="18" borderId="14" xfId="0" applyFont="1" applyFill="1" applyBorder="1" applyAlignment="1">
      <alignment horizontal="center" wrapText="1"/>
    </xf>
    <xf numFmtId="0" fontId="5" fillId="31" borderId="40" xfId="0" applyFont="1" applyFill="1" applyBorder="1" applyAlignment="1">
      <alignment horizontal="right"/>
    </xf>
    <xf numFmtId="9" fontId="5" fillId="29" borderId="0" xfId="29" applyFont="1" applyFill="1" applyAlignment="1">
      <alignment horizontal="center"/>
    </xf>
    <xf numFmtId="1" fontId="5" fillId="29" borderId="0" xfId="0" applyNumberFormat="1" applyFont="1" applyFill="1" applyAlignment="1">
      <alignment horizontal="center"/>
    </xf>
    <xf numFmtId="9" fontId="5" fillId="29" borderId="0" xfId="0" applyNumberFormat="1" applyFont="1" applyFill="1" applyAlignment="1">
      <alignment horizontal="center"/>
    </xf>
    <xf numFmtId="9" fontId="5" fillId="0" borderId="0" xfId="29" applyFont="1" applyFill="1" applyAlignment="1">
      <alignment horizontal="center"/>
    </xf>
    <xf numFmtId="0" fontId="5" fillId="0" borderId="0" xfId="0" applyFont="1" applyAlignment="1">
      <alignment horizontal="right"/>
    </xf>
    <xf numFmtId="0" fontId="5" fillId="0" borderId="0" xfId="0" applyFont="1" applyAlignment="1">
      <alignment horizontal="left" vertical="center"/>
    </xf>
    <xf numFmtId="1" fontId="5" fillId="0" borderId="1" xfId="28" applyNumberFormat="1" applyFont="1" applyBorder="1" applyAlignment="1">
      <alignment horizontal="right"/>
    </xf>
    <xf numFmtId="9" fontId="5" fillId="9" borderId="0" xfId="29" applyFont="1" applyFill="1" applyAlignment="1">
      <alignment horizontal="center"/>
    </xf>
    <xf numFmtId="1" fontId="5" fillId="9" borderId="0" xfId="29" applyNumberFormat="1" applyFont="1" applyFill="1" applyAlignment="1">
      <alignment horizontal="center"/>
    </xf>
    <xf numFmtId="165" fontId="5" fillId="22" borderId="0" xfId="1" applyFont="1" applyFill="1"/>
    <xf numFmtId="165" fontId="5" fillId="16" borderId="0" xfId="1" applyFont="1" applyFill="1"/>
    <xf numFmtId="165" fontId="5" fillId="21" borderId="0" xfId="1" applyFont="1" applyFill="1"/>
    <xf numFmtId="0" fontId="5" fillId="0" borderId="0" xfId="0" applyFont="1" applyAlignment="1">
      <alignment vertical="top"/>
    </xf>
    <xf numFmtId="0" fontId="75" fillId="0" borderId="0" xfId="0" applyFont="1"/>
    <xf numFmtId="0" fontId="68" fillId="0" borderId="0" xfId="0" applyFont="1" applyAlignment="1">
      <alignment horizontal="center"/>
    </xf>
    <xf numFmtId="0" fontId="45" fillId="35" borderId="21" xfId="0" applyFont="1" applyFill="1" applyBorder="1" applyAlignment="1">
      <alignment wrapText="1"/>
    </xf>
    <xf numFmtId="17" fontId="5" fillId="0" borderId="0" xfId="0" applyNumberFormat="1" applyFont="1" applyAlignment="1">
      <alignment horizontal="center"/>
    </xf>
    <xf numFmtId="0" fontId="45" fillId="0" borderId="0" xfId="0" applyFont="1" applyAlignment="1">
      <alignment wrapText="1"/>
    </xf>
    <xf numFmtId="0" fontId="79" fillId="0" borderId="0" xfId="0" applyFont="1" applyAlignment="1">
      <alignment horizontal="center"/>
    </xf>
    <xf numFmtId="0" fontId="78" fillId="17" borderId="13" xfId="0" applyFont="1" applyFill="1" applyBorder="1" applyAlignment="1">
      <alignment wrapText="1"/>
    </xf>
    <xf numFmtId="0" fontId="78" fillId="18" borderId="13" xfId="0" applyFont="1" applyFill="1" applyBorder="1" applyAlignment="1">
      <alignment horizontal="center" wrapText="1"/>
    </xf>
    <xf numFmtId="0" fontId="78" fillId="17" borderId="0" xfId="0" applyFont="1" applyFill="1" applyAlignment="1">
      <alignment wrapText="1"/>
    </xf>
    <xf numFmtId="0" fontId="78" fillId="18" borderId="0" xfId="0" applyFont="1" applyFill="1" applyAlignment="1">
      <alignment horizontal="center" wrapText="1"/>
    </xf>
    <xf numFmtId="0" fontId="78" fillId="17" borderId="14" xfId="0" applyFont="1" applyFill="1" applyBorder="1" applyAlignment="1">
      <alignment wrapText="1"/>
    </xf>
    <xf numFmtId="0" fontId="78" fillId="18" borderId="14" xfId="0" applyFont="1" applyFill="1" applyBorder="1" applyAlignment="1">
      <alignment horizontal="center" wrapText="1"/>
    </xf>
    <xf numFmtId="17" fontId="0" fillId="41" borderId="0" xfId="0" applyNumberFormat="1" applyFill="1" applyAlignment="1">
      <alignment horizontal="center"/>
    </xf>
    <xf numFmtId="0" fontId="79" fillId="17" borderId="0" xfId="0" applyFont="1" applyFill="1" applyAlignment="1">
      <alignment wrapText="1"/>
    </xf>
    <xf numFmtId="0" fontId="79" fillId="18" borderId="0" xfId="0" applyFont="1" applyFill="1" applyAlignment="1">
      <alignment horizontal="center" wrapText="1"/>
    </xf>
    <xf numFmtId="0" fontId="79" fillId="17" borderId="13" xfId="0" applyFont="1" applyFill="1" applyBorder="1" applyAlignment="1">
      <alignment wrapText="1"/>
    </xf>
    <xf numFmtId="0" fontId="79" fillId="18" borderId="13" xfId="0" applyFont="1" applyFill="1" applyBorder="1" applyAlignment="1">
      <alignment horizontal="center" wrapText="1"/>
    </xf>
    <xf numFmtId="9" fontId="45" fillId="0" borderId="5" xfId="29" applyFont="1" applyFill="1" applyBorder="1" applyAlignment="1">
      <alignment horizontal="center"/>
    </xf>
    <xf numFmtId="9" fontId="45" fillId="0" borderId="1" xfId="29" applyFont="1" applyFill="1" applyBorder="1" applyAlignment="1">
      <alignment horizontal="center"/>
    </xf>
    <xf numFmtId="9" fontId="45" fillId="0" borderId="2" xfId="29" applyFont="1" applyFill="1" applyBorder="1" applyAlignment="1">
      <alignment horizontal="center"/>
    </xf>
    <xf numFmtId="9" fontId="45" fillId="6" borderId="1" xfId="0" applyNumberFormat="1" applyFont="1" applyFill="1" applyBorder="1" applyAlignment="1">
      <alignment horizontal="center"/>
    </xf>
    <xf numFmtId="9" fontId="45" fillId="0" borderId="1" xfId="0" applyNumberFormat="1" applyFont="1" applyBorder="1" applyAlignment="1">
      <alignment horizontal="center"/>
    </xf>
    <xf numFmtId="9" fontId="45" fillId="0" borderId="8" xfId="0" applyNumberFormat="1" applyFont="1" applyBorder="1" applyAlignment="1">
      <alignment horizontal="center"/>
    </xf>
    <xf numFmtId="9" fontId="45" fillId="0" borderId="5" xfId="0" applyNumberFormat="1" applyFont="1" applyBorder="1" applyAlignment="1">
      <alignment horizontal="center"/>
    </xf>
    <xf numFmtId="9" fontId="45" fillId="6" borderId="5" xfId="29" applyFont="1" applyFill="1" applyBorder="1" applyAlignment="1">
      <alignment horizontal="center"/>
    </xf>
    <xf numFmtId="9" fontId="45" fillId="6" borderId="1" xfId="29" applyFont="1" applyFill="1" applyBorder="1" applyAlignment="1">
      <alignment horizontal="center"/>
    </xf>
    <xf numFmtId="9" fontId="45" fillId="6" borderId="2" xfId="29" applyFont="1" applyFill="1" applyBorder="1" applyAlignment="1">
      <alignment horizontal="center"/>
    </xf>
    <xf numFmtId="9" fontId="45" fillId="28" borderId="1" xfId="29" applyFont="1" applyFill="1" applyBorder="1" applyAlignment="1">
      <alignment horizontal="center"/>
    </xf>
    <xf numFmtId="9" fontId="45" fillId="0" borderId="27" xfId="29" applyFont="1" applyFill="1" applyBorder="1" applyAlignment="1">
      <alignment horizontal="center"/>
    </xf>
    <xf numFmtId="9" fontId="45" fillId="0" borderId="8" xfId="29" applyFont="1" applyFill="1" applyBorder="1" applyAlignment="1">
      <alignment horizontal="center"/>
    </xf>
    <xf numFmtId="9" fontId="45" fillId="0" borderId="9" xfId="29" applyFont="1" applyFill="1" applyBorder="1" applyAlignment="1">
      <alignment horizontal="center"/>
    </xf>
    <xf numFmtId="9" fontId="45" fillId="6" borderId="8" xfId="29" applyFont="1" applyFill="1" applyBorder="1" applyAlignment="1">
      <alignment horizontal="center"/>
    </xf>
    <xf numFmtId="9" fontId="45" fillId="28" borderId="5" xfId="29" applyFont="1" applyFill="1" applyBorder="1" applyAlignment="1">
      <alignment horizontal="center"/>
    </xf>
    <xf numFmtId="9" fontId="45" fillId="28" borderId="8" xfId="29" applyFont="1" applyFill="1" applyBorder="1" applyAlignment="1">
      <alignment horizontal="center"/>
    </xf>
    <xf numFmtId="9" fontId="67" fillId="6" borderId="5" xfId="29" applyFont="1" applyFill="1" applyBorder="1" applyAlignment="1">
      <alignment horizontal="center"/>
    </xf>
    <xf numFmtId="9" fontId="67" fillId="6" borderId="1" xfId="29" applyFont="1" applyFill="1" applyBorder="1" applyAlignment="1">
      <alignment horizontal="center"/>
    </xf>
    <xf numFmtId="9" fontId="45" fillId="6" borderId="9" xfId="29" applyFont="1" applyFill="1" applyBorder="1" applyAlignment="1">
      <alignment horizontal="center"/>
    </xf>
    <xf numFmtId="9" fontId="45" fillId="6" borderId="9" xfId="0" applyNumberFormat="1" applyFont="1" applyFill="1" applyBorder="1" applyAlignment="1">
      <alignment horizontal="center"/>
    </xf>
    <xf numFmtId="9" fontId="45" fillId="0" borderId="9" xfId="29" applyFont="1" applyBorder="1" applyAlignment="1">
      <alignment horizontal="center"/>
    </xf>
    <xf numFmtId="9" fontId="45" fillId="0" borderId="31" xfId="0" applyNumberFormat="1" applyFont="1" applyBorder="1" applyAlignment="1">
      <alignment horizont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36" xfId="0" applyFont="1" applyBorder="1" applyAlignment="1">
      <alignment horizontal="center" vertical="center"/>
    </xf>
    <xf numFmtId="9" fontId="45" fillId="0" borderId="9" xfId="0" applyNumberFormat="1" applyFont="1" applyBorder="1" applyAlignment="1">
      <alignment horizontal="center"/>
    </xf>
    <xf numFmtId="9" fontId="45" fillId="0" borderId="2" xfId="0" applyNumberFormat="1" applyFont="1" applyBorder="1" applyAlignment="1">
      <alignment horizontal="center"/>
    </xf>
    <xf numFmtId="0" fontId="45" fillId="0" borderId="9" xfId="0" applyFont="1" applyBorder="1" applyAlignment="1">
      <alignment horizontal="center" vertical="center"/>
    </xf>
    <xf numFmtId="0" fontId="45" fillId="0" borderId="2" xfId="0" applyFont="1" applyBorder="1" applyAlignment="1">
      <alignment horizontal="center" vertical="center"/>
    </xf>
    <xf numFmtId="1" fontId="45" fillId="0" borderId="48" xfId="0" applyNumberFormat="1" applyFont="1" applyBorder="1" applyAlignment="1">
      <alignment horizontal="center"/>
    </xf>
    <xf numFmtId="1" fontId="45" fillId="0" borderId="49" xfId="0" applyNumberFormat="1" applyFont="1" applyBorder="1" applyAlignment="1">
      <alignment horizontal="center"/>
    </xf>
    <xf numFmtId="1" fontId="45" fillId="0" borderId="50" xfId="0" applyNumberFormat="1" applyFont="1" applyBorder="1" applyAlignment="1">
      <alignment horizontal="center"/>
    </xf>
    <xf numFmtId="0" fontId="82" fillId="0" borderId="0" xfId="0" applyFont="1"/>
    <xf numFmtId="0" fontId="82" fillId="0" borderId="0" xfId="0" applyFont="1" applyAlignment="1">
      <alignment horizontal="center"/>
    </xf>
    <xf numFmtId="9" fontId="82" fillId="0" borderId="0" xfId="29" applyFont="1"/>
    <xf numFmtId="167" fontId="45" fillId="12" borderId="1" xfId="0" applyNumberFormat="1" applyFont="1" applyFill="1" applyBorder="1" applyAlignment="1">
      <alignment horizontal="center" wrapText="1"/>
    </xf>
    <xf numFmtId="17" fontId="0" fillId="0" borderId="1" xfId="0" applyNumberFormat="1" applyBorder="1"/>
    <xf numFmtId="9" fontId="48" fillId="0" borderId="0" xfId="0" applyNumberFormat="1" applyFont="1" applyAlignment="1">
      <alignment horizontal="center"/>
    </xf>
    <xf numFmtId="9" fontId="48" fillId="0" borderId="14" xfId="0" applyNumberFormat="1" applyFont="1" applyBorder="1" applyAlignment="1">
      <alignment horizontal="center"/>
    </xf>
    <xf numFmtId="167" fontId="45" fillId="12" borderId="45" xfId="0" applyNumberFormat="1" applyFont="1" applyFill="1" applyBorder="1" applyAlignment="1">
      <alignment horizontal="center" wrapText="1"/>
    </xf>
    <xf numFmtId="0" fontId="10" fillId="21" borderId="1" xfId="0" applyFont="1" applyFill="1" applyBorder="1"/>
    <xf numFmtId="0" fontId="10" fillId="21" borderId="1" xfId="0" applyFont="1" applyFill="1" applyBorder="1" applyAlignment="1">
      <alignment horizontal="center"/>
    </xf>
    <xf numFmtId="1" fontId="9" fillId="21" borderId="1" xfId="0" applyNumberFormat="1" applyFont="1" applyFill="1" applyBorder="1" applyAlignment="1">
      <alignment horizontal="center"/>
    </xf>
    <xf numFmtId="0" fontId="10" fillId="21" borderId="1" xfId="0" applyFont="1" applyFill="1" applyBorder="1" applyAlignment="1">
      <alignment horizontal="center" vertical="center" wrapText="1"/>
    </xf>
    <xf numFmtId="1" fontId="9" fillId="21" borderId="1" xfId="0" applyNumberFormat="1" applyFont="1" applyFill="1" applyBorder="1" applyAlignment="1">
      <alignment horizontal="center" vertical="center"/>
    </xf>
    <xf numFmtId="1" fontId="9" fillId="0" borderId="14" xfId="0" applyNumberFormat="1" applyFont="1" applyBorder="1" applyAlignment="1">
      <alignment horizontal="center"/>
    </xf>
    <xf numFmtId="0" fontId="46" fillId="0" borderId="0" xfId="0" applyFont="1" applyAlignment="1">
      <alignment wrapText="1"/>
    </xf>
    <xf numFmtId="1" fontId="9" fillId="13" borderId="1" xfId="0" applyNumberFormat="1" applyFont="1" applyFill="1" applyBorder="1" applyAlignment="1">
      <alignment horizontal="center"/>
    </xf>
    <xf numFmtId="0" fontId="9" fillId="13" borderId="1" xfId="0" applyFont="1" applyFill="1" applyBorder="1" applyAlignment="1">
      <alignment horizontal="center"/>
    </xf>
    <xf numFmtId="0" fontId="0" fillId="13" borderId="1" xfId="0" applyFill="1" applyBorder="1"/>
    <xf numFmtId="0" fontId="9" fillId="13" borderId="1" xfId="0" quotePrefix="1" applyFont="1" applyFill="1" applyBorder="1" applyAlignment="1">
      <alignment horizontal="center"/>
    </xf>
    <xf numFmtId="0" fontId="10" fillId="13" borderId="4" xfId="0" applyFont="1" applyFill="1" applyBorder="1"/>
    <xf numFmtId="0" fontId="10" fillId="13" borderId="5" xfId="0" applyFont="1" applyFill="1" applyBorder="1" applyAlignment="1">
      <alignment horizontal="center"/>
    </xf>
    <xf numFmtId="0" fontId="10" fillId="13" borderId="5" xfId="0" applyFont="1" applyFill="1" applyBorder="1"/>
    <xf numFmtId="0" fontId="10" fillId="13" borderId="28" xfId="0" applyFont="1" applyFill="1" applyBorder="1" applyAlignment="1">
      <alignment horizontal="center"/>
    </xf>
    <xf numFmtId="0" fontId="10" fillId="13" borderId="6" xfId="0" applyFont="1" applyFill="1" applyBorder="1" applyAlignment="1">
      <alignment horizontal="center"/>
    </xf>
    <xf numFmtId="0" fontId="0" fillId="13" borderId="29" xfId="0" applyFill="1" applyBorder="1"/>
    <xf numFmtId="0" fontId="10" fillId="13" borderId="6" xfId="0" applyFont="1" applyFill="1" applyBorder="1" applyAlignment="1">
      <alignment horizontal="center" wrapText="1"/>
    </xf>
    <xf numFmtId="0" fontId="9" fillId="13" borderId="29" xfId="0" applyFont="1" applyFill="1" applyBorder="1" applyAlignment="1">
      <alignment horizontal="center"/>
    </xf>
    <xf numFmtId="0" fontId="10" fillId="13" borderId="7" xfId="0" applyFont="1" applyFill="1" applyBorder="1" applyAlignment="1">
      <alignment horizontal="center"/>
    </xf>
    <xf numFmtId="1" fontId="10" fillId="13" borderId="8" xfId="0" applyNumberFormat="1" applyFont="1" applyFill="1" applyBorder="1" applyAlignment="1">
      <alignment horizontal="center"/>
    </xf>
    <xf numFmtId="0" fontId="10" fillId="13" borderId="8" xfId="0" applyFont="1" applyFill="1" applyBorder="1" applyAlignment="1">
      <alignment horizontal="center"/>
    </xf>
    <xf numFmtId="0" fontId="7" fillId="13" borderId="8" xfId="0" applyFont="1" applyFill="1" applyBorder="1"/>
    <xf numFmtId="0" fontId="7" fillId="13" borderId="30" xfId="0" applyFont="1" applyFill="1" applyBorder="1"/>
    <xf numFmtId="0" fontId="45" fillId="42" borderId="0" xfId="0" applyFont="1" applyFill="1" applyAlignment="1">
      <alignment wrapText="1"/>
    </xf>
    <xf numFmtId="0" fontId="45" fillId="43" borderId="0" xfId="0" applyFont="1" applyFill="1" applyAlignment="1">
      <alignment wrapText="1"/>
    </xf>
    <xf numFmtId="0" fontId="45" fillId="42" borderId="13" xfId="0" applyFont="1" applyFill="1" applyBorder="1" applyAlignment="1">
      <alignment wrapText="1"/>
    </xf>
    <xf numFmtId="0" fontId="45" fillId="43" borderId="13" xfId="0" applyFont="1" applyFill="1" applyBorder="1" applyAlignment="1">
      <alignment wrapText="1"/>
    </xf>
    <xf numFmtId="0" fontId="45" fillId="42" borderId="14" xfId="0" applyFont="1" applyFill="1" applyBorder="1" applyAlignment="1">
      <alignment wrapText="1"/>
    </xf>
    <xf numFmtId="0" fontId="45" fillId="43" borderId="14" xfId="0" applyFont="1" applyFill="1" applyBorder="1" applyAlignment="1">
      <alignment wrapText="1"/>
    </xf>
    <xf numFmtId="0" fontId="45" fillId="0" borderId="69" xfId="0" applyFont="1" applyBorder="1" applyAlignment="1">
      <alignment horizontal="center"/>
    </xf>
    <xf numFmtId="0" fontId="45" fillId="3" borderId="69" xfId="0" applyFont="1" applyFill="1" applyBorder="1" applyAlignment="1">
      <alignment horizontal="center"/>
    </xf>
    <xf numFmtId="1" fontId="48" fillId="0" borderId="69" xfId="0" applyNumberFormat="1" applyFont="1" applyBorder="1" applyAlignment="1">
      <alignment horizontal="center"/>
    </xf>
    <xf numFmtId="166" fontId="48" fillId="0" borderId="69" xfId="0" applyNumberFormat="1" applyFont="1" applyBorder="1" applyAlignment="1">
      <alignment horizontal="center"/>
    </xf>
    <xf numFmtId="1" fontId="45" fillId="0" borderId="69" xfId="0" applyNumberFormat="1" applyFont="1" applyBorder="1" applyAlignment="1">
      <alignment horizontal="center"/>
    </xf>
    <xf numFmtId="9" fontId="45" fillId="0" borderId="69" xfId="29" applyFont="1" applyFill="1" applyBorder="1" applyAlignment="1">
      <alignment horizontal="center"/>
    </xf>
    <xf numFmtId="0" fontId="45" fillId="0" borderId="70" xfId="0" applyFont="1" applyBorder="1"/>
    <xf numFmtId="0" fontId="45" fillId="0" borderId="71" xfId="0" applyFont="1" applyBorder="1" applyAlignment="1">
      <alignment horizontal="center"/>
    </xf>
    <xf numFmtId="0" fontId="45" fillId="3" borderId="71" xfId="0" applyFont="1" applyFill="1" applyBorder="1" applyAlignment="1">
      <alignment horizontal="center"/>
    </xf>
    <xf numFmtId="9" fontId="45" fillId="28" borderId="71" xfId="29" applyFont="1" applyFill="1" applyBorder="1" applyAlignment="1">
      <alignment horizontal="center"/>
    </xf>
    <xf numFmtId="1" fontId="48" fillId="0" borderId="71" xfId="0" applyNumberFormat="1" applyFont="1" applyBorder="1" applyAlignment="1">
      <alignment horizontal="center"/>
    </xf>
    <xf numFmtId="166" fontId="48" fillId="0" borderId="71" xfId="0" applyNumberFormat="1" applyFont="1" applyBorder="1" applyAlignment="1">
      <alignment horizontal="center"/>
    </xf>
    <xf numFmtId="1" fontId="45" fillId="0" borderId="71" xfId="0" applyNumberFormat="1" applyFont="1" applyBorder="1" applyAlignment="1">
      <alignment horizontal="center"/>
    </xf>
    <xf numFmtId="9" fontId="48" fillId="0" borderId="72" xfId="0" applyNumberFormat="1" applyFont="1" applyBorder="1" applyAlignment="1">
      <alignment horizontal="center"/>
    </xf>
    <xf numFmtId="0" fontId="45" fillId="0" borderId="73" xfId="0" applyFont="1" applyBorder="1"/>
    <xf numFmtId="0" fontId="45" fillId="0" borderId="74" xfId="0" applyFont="1" applyBorder="1" applyAlignment="1">
      <alignment horizontal="center"/>
    </xf>
    <xf numFmtId="0" fontId="45" fillId="3" borderId="74" xfId="0" applyFont="1" applyFill="1" applyBorder="1" applyAlignment="1">
      <alignment horizontal="center"/>
    </xf>
    <xf numFmtId="9" fontId="45" fillId="0" borderId="74" xfId="29" applyFont="1" applyFill="1" applyBorder="1" applyAlignment="1">
      <alignment horizontal="center"/>
    </xf>
    <xf numFmtId="1" fontId="48" fillId="0" borderId="74" xfId="0" applyNumberFormat="1" applyFont="1" applyBorder="1" applyAlignment="1">
      <alignment horizontal="center"/>
    </xf>
    <xf numFmtId="166" fontId="48" fillId="0" borderId="74" xfId="0" applyNumberFormat="1" applyFont="1" applyBorder="1" applyAlignment="1">
      <alignment horizontal="center"/>
    </xf>
    <xf numFmtId="1" fontId="45" fillId="0" borderId="74" xfId="0" applyNumberFormat="1" applyFont="1" applyBorder="1" applyAlignment="1">
      <alignment horizontal="center"/>
    </xf>
    <xf numFmtId="0" fontId="45" fillId="0" borderId="74" xfId="0" applyFont="1" applyBorder="1" applyAlignment="1">
      <alignment horizontal="center" vertical="center"/>
    </xf>
    <xf numFmtId="9" fontId="48" fillId="0" borderId="75" xfId="0" applyNumberFormat="1" applyFont="1" applyBorder="1" applyAlignment="1">
      <alignment horizontal="center"/>
    </xf>
    <xf numFmtId="0" fontId="45" fillId="0" borderId="76" xfId="0" applyFont="1" applyBorder="1"/>
    <xf numFmtId="0" fontId="45" fillId="0" borderId="77" xfId="0" applyFont="1" applyBorder="1" applyAlignment="1">
      <alignment horizontal="center"/>
    </xf>
    <xf numFmtId="0" fontId="45" fillId="3" borderId="77" xfId="0" applyFont="1" applyFill="1" applyBorder="1" applyAlignment="1">
      <alignment horizontal="center"/>
    </xf>
    <xf numFmtId="9" fontId="45" fillId="0" borderId="77" xfId="29" applyFont="1" applyFill="1" applyBorder="1" applyAlignment="1">
      <alignment horizontal="center"/>
    </xf>
    <xf numFmtId="1" fontId="48" fillId="0" borderId="77" xfId="0" applyNumberFormat="1" applyFont="1" applyBorder="1" applyAlignment="1">
      <alignment horizontal="center"/>
    </xf>
    <xf numFmtId="166" fontId="48" fillId="0" borderId="77" xfId="0" applyNumberFormat="1" applyFont="1" applyBorder="1" applyAlignment="1">
      <alignment horizontal="center"/>
    </xf>
    <xf numFmtId="1" fontId="45" fillId="0" borderId="77" xfId="0" applyNumberFormat="1" applyFont="1" applyBorder="1" applyAlignment="1">
      <alignment horizontal="center"/>
    </xf>
    <xf numFmtId="9" fontId="45" fillId="0" borderId="71" xfId="29" applyFont="1" applyFill="1" applyBorder="1" applyAlignment="1">
      <alignment horizontal="center"/>
    </xf>
    <xf numFmtId="0" fontId="45" fillId="0" borderId="78" xfId="0" applyFont="1" applyBorder="1"/>
    <xf numFmtId="9" fontId="48" fillId="0" borderId="79" xfId="0" applyNumberFormat="1" applyFont="1" applyBorder="1" applyAlignment="1">
      <alignment horizontal="center"/>
    </xf>
    <xf numFmtId="9" fontId="48" fillId="0" borderId="80" xfId="0" applyNumberFormat="1" applyFont="1" applyBorder="1" applyAlignment="1">
      <alignment horizontal="center"/>
    </xf>
    <xf numFmtId="9" fontId="48" fillId="0" borderId="81" xfId="0" applyNumberFormat="1" applyFont="1" applyBorder="1" applyAlignment="1">
      <alignment horizontal="center"/>
    </xf>
    <xf numFmtId="9" fontId="48" fillId="0" borderId="39" xfId="0" applyNumberFormat="1" applyFont="1" applyBorder="1" applyAlignment="1">
      <alignment horizontal="center"/>
    </xf>
    <xf numFmtId="9" fontId="48" fillId="0" borderId="82" xfId="0" applyNumberFormat="1" applyFont="1" applyBorder="1" applyAlignment="1">
      <alignment horizontal="center"/>
    </xf>
    <xf numFmtId="9" fontId="45" fillId="6" borderId="69" xfId="29" applyFont="1" applyFill="1" applyBorder="1" applyAlignment="1">
      <alignment horizontal="center"/>
    </xf>
    <xf numFmtId="9" fontId="67" fillId="6" borderId="71" xfId="29" applyFont="1" applyFill="1" applyBorder="1" applyAlignment="1">
      <alignment horizontal="center"/>
    </xf>
    <xf numFmtId="9" fontId="45" fillId="6" borderId="77" xfId="29" applyFont="1" applyFill="1" applyBorder="1" applyAlignment="1">
      <alignment horizontal="center"/>
    </xf>
    <xf numFmtId="0" fontId="45" fillId="9" borderId="71" xfId="0" applyFont="1" applyFill="1" applyBorder="1" applyAlignment="1">
      <alignment horizontal="center"/>
    </xf>
    <xf numFmtId="9" fontId="67" fillId="0" borderId="71" xfId="29" applyFont="1" applyFill="1" applyBorder="1" applyAlignment="1">
      <alignment horizontal="center"/>
    </xf>
    <xf numFmtId="9" fontId="67" fillId="0" borderId="77" xfId="29" applyFont="1" applyFill="1" applyBorder="1" applyAlignment="1">
      <alignment horizontal="center"/>
    </xf>
    <xf numFmtId="9" fontId="45" fillId="6" borderId="71" xfId="29" applyFont="1" applyFill="1" applyBorder="1" applyAlignment="1">
      <alignment horizontal="center"/>
    </xf>
    <xf numFmtId="0" fontId="46" fillId="0" borderId="0" xfId="0" applyFont="1" applyAlignment="1">
      <alignment horizontal="center" wrapText="1"/>
    </xf>
    <xf numFmtId="0" fontId="45" fillId="0" borderId="73" xfId="0" applyFont="1" applyBorder="1" applyAlignment="1">
      <alignment wrapText="1"/>
    </xf>
    <xf numFmtId="1" fontId="0" fillId="0" borderId="0" xfId="0" applyNumberFormat="1" applyAlignment="1">
      <alignment horizontal="right"/>
    </xf>
    <xf numFmtId="0" fontId="79" fillId="0" borderId="74" xfId="0" applyFont="1" applyBorder="1" applyAlignment="1">
      <alignment horizontal="center" wrapText="1"/>
    </xf>
    <xf numFmtId="0" fontId="45" fillId="0" borderId="84" xfId="0" applyFont="1" applyBorder="1"/>
    <xf numFmtId="0" fontId="45" fillId="0" borderId="85" xfId="0" applyFont="1" applyBorder="1" applyAlignment="1">
      <alignment horizontal="center"/>
    </xf>
    <xf numFmtId="0" fontId="45" fillId="3" borderId="85" xfId="0" applyFont="1" applyFill="1" applyBorder="1" applyAlignment="1">
      <alignment horizontal="center"/>
    </xf>
    <xf numFmtId="9" fontId="45" fillId="0" borderId="85" xfId="29" applyFont="1" applyFill="1" applyBorder="1" applyAlignment="1">
      <alignment horizontal="center"/>
    </xf>
    <xf numFmtId="1" fontId="48" fillId="0" borderId="85" xfId="0" applyNumberFormat="1" applyFont="1" applyBorder="1" applyAlignment="1">
      <alignment horizontal="center"/>
    </xf>
    <xf numFmtId="166" fontId="48" fillId="0" borderId="85" xfId="0" applyNumberFormat="1" applyFont="1" applyBorder="1" applyAlignment="1">
      <alignment horizontal="center"/>
    </xf>
    <xf numFmtId="1" fontId="45" fillId="0" borderId="85" xfId="0" applyNumberFormat="1" applyFont="1" applyBorder="1" applyAlignment="1">
      <alignment horizontal="center"/>
    </xf>
    <xf numFmtId="9" fontId="48" fillId="0" borderId="86" xfId="0" applyNumberFormat="1" applyFont="1" applyBorder="1" applyAlignment="1">
      <alignment horizontal="center"/>
    </xf>
    <xf numFmtId="9" fontId="67" fillId="0" borderId="74" xfId="29" applyFont="1" applyFill="1" applyBorder="1" applyAlignment="1">
      <alignment horizontal="center"/>
    </xf>
    <xf numFmtId="9" fontId="67" fillId="6" borderId="85" xfId="29" applyFont="1" applyFill="1" applyBorder="1" applyAlignment="1">
      <alignment horizontal="center"/>
    </xf>
    <xf numFmtId="9" fontId="48" fillId="0" borderId="87" xfId="0" applyNumberFormat="1" applyFont="1" applyBorder="1" applyAlignment="1">
      <alignment horizontal="center"/>
    </xf>
    <xf numFmtId="176" fontId="45" fillId="0" borderId="77" xfId="0" applyNumberFormat="1" applyFont="1" applyBorder="1" applyAlignment="1">
      <alignment horizontal="center" vertical="center"/>
    </xf>
    <xf numFmtId="176" fontId="45" fillId="0" borderId="74" xfId="0" applyNumberFormat="1" applyFont="1" applyBorder="1" applyAlignment="1">
      <alignment horizontal="center" vertical="center"/>
    </xf>
    <xf numFmtId="176" fontId="45" fillId="0" borderId="85" xfId="0" applyNumberFormat="1" applyFont="1" applyBorder="1" applyAlignment="1">
      <alignment horizontal="center" vertical="center"/>
    </xf>
    <xf numFmtId="0" fontId="46" fillId="49" borderId="42" xfId="0" applyFont="1" applyFill="1" applyBorder="1" applyAlignment="1">
      <alignment wrapText="1"/>
    </xf>
    <xf numFmtId="0" fontId="83" fillId="50" borderId="42" xfId="0" applyFont="1" applyFill="1" applyBorder="1" applyAlignment="1">
      <alignment wrapText="1"/>
    </xf>
    <xf numFmtId="0" fontId="1" fillId="0" borderId="0" xfId="138"/>
    <xf numFmtId="0" fontId="1" fillId="9" borderId="0" xfId="138" applyFill="1"/>
    <xf numFmtId="0" fontId="71" fillId="0" borderId="0" xfId="138" applyFont="1"/>
    <xf numFmtId="0" fontId="1" fillId="0" borderId="0" xfId="138" applyAlignment="1">
      <alignment horizontal="right"/>
    </xf>
    <xf numFmtId="0" fontId="45" fillId="45" borderId="38" xfId="0" applyFont="1" applyFill="1" applyBorder="1" applyAlignment="1">
      <alignment wrapText="1"/>
    </xf>
    <xf numFmtId="0" fontId="45" fillId="43" borderId="39" xfId="0" applyFont="1" applyFill="1" applyBorder="1" applyAlignment="1">
      <alignment wrapText="1"/>
    </xf>
    <xf numFmtId="0" fontId="45" fillId="45" borderId="40" xfId="0" applyFont="1" applyFill="1" applyBorder="1" applyAlignment="1">
      <alignment wrapText="1"/>
    </xf>
    <xf numFmtId="0" fontId="45" fillId="43" borderId="17" xfId="0" applyFont="1" applyFill="1" applyBorder="1" applyAlignment="1">
      <alignment wrapText="1"/>
    </xf>
    <xf numFmtId="0" fontId="7" fillId="0" borderId="4" xfId="0" applyFont="1" applyBorder="1"/>
    <xf numFmtId="0" fontId="7" fillId="0" borderId="5" xfId="0" applyFont="1" applyBorder="1"/>
    <xf numFmtId="0" fontId="7" fillId="0" borderId="28" xfId="0" applyFont="1" applyBorder="1"/>
    <xf numFmtId="0" fontId="0" fillId="0" borderId="6" xfId="0" applyBorder="1"/>
    <xf numFmtId="0" fontId="5" fillId="0" borderId="29" xfId="0" quotePrefix="1" applyFont="1" applyBorder="1" applyAlignment="1">
      <alignment horizontal="center"/>
    </xf>
    <xf numFmtId="0" fontId="5" fillId="0" borderId="0" xfId="0" quotePrefix="1" applyFont="1" applyAlignment="1">
      <alignment horizontal="center"/>
    </xf>
    <xf numFmtId="1" fontId="0" fillId="0" borderId="1" xfId="0" quotePrefix="1" applyNumberFormat="1" applyBorder="1" applyAlignment="1">
      <alignment horizontal="center"/>
    </xf>
    <xf numFmtId="1" fontId="0" fillId="0" borderId="29" xfId="0" quotePrefix="1" applyNumberFormat="1" applyBorder="1" applyAlignment="1">
      <alignment horizontal="center"/>
    </xf>
    <xf numFmtId="0" fontId="0" fillId="0" borderId="7" xfId="0" applyBorder="1"/>
    <xf numFmtId="1" fontId="0" fillId="0" borderId="8" xfId="0" quotePrefix="1" applyNumberFormat="1" applyBorder="1" applyAlignment="1">
      <alignment horizontal="center"/>
    </xf>
    <xf numFmtId="1" fontId="0" fillId="0" borderId="8" xfId="0" applyNumberFormat="1" applyBorder="1" applyAlignment="1">
      <alignment horizontal="center"/>
    </xf>
    <xf numFmtId="0" fontId="5" fillId="0" borderId="29" xfId="0" applyFont="1" applyBorder="1" applyAlignment="1">
      <alignment horizontal="center"/>
    </xf>
    <xf numFmtId="0" fontId="7" fillId="13" borderId="89" xfId="0" applyFont="1" applyFill="1" applyBorder="1" applyAlignment="1">
      <alignment horizontal="center"/>
    </xf>
    <xf numFmtId="0" fontId="7" fillId="13" borderId="42" xfId="0" applyFont="1" applyFill="1" applyBorder="1" applyAlignment="1">
      <alignment horizontal="center"/>
    </xf>
    <xf numFmtId="0" fontId="7" fillId="15" borderId="42" xfId="0" applyFont="1" applyFill="1" applyBorder="1" applyAlignment="1">
      <alignment horizontal="center"/>
    </xf>
    <xf numFmtId="1" fontId="7" fillId="14" borderId="42" xfId="0" applyNumberFormat="1" applyFont="1" applyFill="1" applyBorder="1" applyAlignment="1">
      <alignment horizontal="center"/>
    </xf>
    <xf numFmtId="1" fontId="7" fillId="14" borderId="18" xfId="0" applyNumberFormat="1" applyFont="1" applyFill="1" applyBorder="1" applyAlignment="1">
      <alignment horizontal="center"/>
    </xf>
    <xf numFmtId="0" fontId="0" fillId="13" borderId="37" xfId="0" applyFill="1" applyBorder="1" applyAlignment="1">
      <alignment horizontal="center"/>
    </xf>
    <xf numFmtId="0" fontId="0" fillId="13" borderId="13" xfId="0" applyFill="1" applyBorder="1" applyAlignment="1">
      <alignment horizontal="center"/>
    </xf>
    <xf numFmtId="2" fontId="0" fillId="15" borderId="13" xfId="0" applyNumberFormat="1" applyFill="1" applyBorder="1" applyAlignment="1">
      <alignment horizontal="center"/>
    </xf>
    <xf numFmtId="166" fontId="0" fillId="15" borderId="13" xfId="0" applyNumberFormat="1" applyFill="1" applyBorder="1" applyAlignment="1">
      <alignment horizontal="center"/>
    </xf>
    <xf numFmtId="1" fontId="0" fillId="14" borderId="13" xfId="0" applyNumberFormat="1" applyFill="1" applyBorder="1" applyAlignment="1">
      <alignment horizontal="center"/>
    </xf>
    <xf numFmtId="166" fontId="0" fillId="14" borderId="13" xfId="0" applyNumberFormat="1" applyFill="1" applyBorder="1" applyAlignment="1">
      <alignment horizontal="center"/>
    </xf>
    <xf numFmtId="166" fontId="0" fillId="14" borderId="41" xfId="0" applyNumberFormat="1" applyFill="1" applyBorder="1" applyAlignment="1">
      <alignment horizontal="center"/>
    </xf>
    <xf numFmtId="0" fontId="0" fillId="13" borderId="38" xfId="0" applyFill="1" applyBorder="1" applyAlignment="1">
      <alignment horizontal="center"/>
    </xf>
    <xf numFmtId="166" fontId="0" fillId="14" borderId="39" xfId="0" applyNumberFormat="1" applyFill="1" applyBorder="1" applyAlignment="1">
      <alignment horizontal="center"/>
    </xf>
    <xf numFmtId="0" fontId="0" fillId="13" borderId="40" xfId="0" applyFill="1" applyBorder="1" applyAlignment="1">
      <alignment horizontal="center"/>
    </xf>
    <xf numFmtId="0" fontId="0" fillId="13" borderId="14" xfId="0" applyFill="1" applyBorder="1" applyAlignment="1">
      <alignment horizontal="center"/>
    </xf>
    <xf numFmtId="2" fontId="0" fillId="15" borderId="14" xfId="0" applyNumberFormat="1" applyFill="1" applyBorder="1" applyAlignment="1">
      <alignment horizontal="center"/>
    </xf>
    <xf numFmtId="166" fontId="0" fillId="15" borderId="14" xfId="0" applyNumberFormat="1" applyFill="1" applyBorder="1" applyAlignment="1">
      <alignment horizontal="center"/>
    </xf>
    <xf numFmtId="1" fontId="0" fillId="14" borderId="14" xfId="0" applyNumberFormat="1" applyFill="1" applyBorder="1" applyAlignment="1">
      <alignment horizontal="center"/>
    </xf>
    <xf numFmtId="166" fontId="0" fillId="14" borderId="14" xfId="0" applyNumberFormat="1" applyFill="1" applyBorder="1" applyAlignment="1">
      <alignment horizontal="center"/>
    </xf>
    <xf numFmtId="166" fontId="0" fillId="14" borderId="17" xfId="0" applyNumberFormat="1" applyFill="1" applyBorder="1" applyAlignment="1">
      <alignment horizontal="center"/>
    </xf>
    <xf numFmtId="0" fontId="45" fillId="17" borderId="13" xfId="0" applyFont="1" applyFill="1" applyBorder="1" applyAlignment="1">
      <alignment horizontal="left" wrapText="1"/>
    </xf>
    <xf numFmtId="0" fontId="45" fillId="0" borderId="27" xfId="0" applyFont="1" applyBorder="1" applyAlignment="1">
      <alignment horizontal="center" vertical="center"/>
    </xf>
    <xf numFmtId="1" fontId="0" fillId="0" borderId="30" xfId="0" quotePrefix="1" applyNumberFormat="1" applyBorder="1" applyAlignment="1">
      <alignment horizontal="center"/>
    </xf>
    <xf numFmtId="1" fontId="9" fillId="17" borderId="0" xfId="0" applyNumberFormat="1" applyFont="1" applyFill="1" applyAlignment="1">
      <alignment horizontal="center"/>
    </xf>
    <xf numFmtId="0" fontId="10" fillId="37" borderId="40" xfId="0" applyFont="1" applyFill="1" applyBorder="1" applyAlignment="1">
      <alignment horizontal="center"/>
    </xf>
    <xf numFmtId="1" fontId="9" fillId="37" borderId="14" xfId="0" applyNumberFormat="1" applyFont="1" applyFill="1" applyBorder="1" applyAlignment="1">
      <alignment horizontal="center"/>
    </xf>
    <xf numFmtId="1" fontId="9" fillId="37" borderId="17" xfId="0" applyNumberFormat="1" applyFont="1" applyFill="1" applyBorder="1" applyAlignment="1">
      <alignment horizontal="center"/>
    </xf>
    <xf numFmtId="2" fontId="0" fillId="15" borderId="0" xfId="0" applyNumberFormat="1" applyFill="1" applyAlignment="1">
      <alignment horizontal="center"/>
    </xf>
    <xf numFmtId="0" fontId="5" fillId="0" borderId="30" xfId="0" quotePrefix="1" applyFont="1" applyBorder="1" applyAlignment="1">
      <alignment horizontal="center"/>
    </xf>
    <xf numFmtId="0" fontId="5" fillId="0" borderId="30" xfId="0" applyFont="1" applyBorder="1" applyAlignment="1">
      <alignment horizontal="center"/>
    </xf>
    <xf numFmtId="0" fontId="0" fillId="13" borderId="0" xfId="0" applyFill="1" applyAlignment="1">
      <alignment horizontal="center"/>
    </xf>
    <xf numFmtId="166" fontId="0" fillId="15" borderId="0" xfId="0" applyNumberFormat="1" applyFill="1" applyAlignment="1">
      <alignment horizontal="center"/>
    </xf>
    <xf numFmtId="1" fontId="0" fillId="14" borderId="0" xfId="0" applyNumberFormat="1" applyFill="1" applyAlignment="1">
      <alignment horizontal="center"/>
    </xf>
    <xf numFmtId="166" fontId="0" fillId="14" borderId="0" xfId="0" applyNumberFormat="1" applyFill="1" applyAlignment="1">
      <alignment horizontal="center"/>
    </xf>
    <xf numFmtId="0" fontId="45" fillId="43" borderId="0" xfId="0" applyFont="1" applyFill="1" applyAlignment="1">
      <alignment horizontal="center" wrapText="1"/>
    </xf>
    <xf numFmtId="0" fontId="45" fillId="43" borderId="13" xfId="0" applyFont="1" applyFill="1" applyBorder="1" applyAlignment="1">
      <alignment horizontal="center" vertical="center" wrapText="1"/>
    </xf>
    <xf numFmtId="0" fontId="45" fillId="43" borderId="0" xfId="0" applyFont="1" applyFill="1" applyAlignment="1">
      <alignment horizontal="center" vertical="center" wrapText="1"/>
    </xf>
    <xf numFmtId="0" fontId="45" fillId="43" borderId="13" xfId="0" applyFont="1" applyFill="1" applyBorder="1" applyAlignment="1">
      <alignment horizontal="center" wrapText="1"/>
    </xf>
    <xf numFmtId="9" fontId="45" fillId="6" borderId="25" xfId="29" applyFont="1" applyFill="1" applyBorder="1" applyAlignment="1">
      <alignment horizontal="center"/>
    </xf>
    <xf numFmtId="1" fontId="45" fillId="6" borderId="9" xfId="0" applyNumberFormat="1" applyFont="1" applyFill="1" applyBorder="1" applyAlignment="1">
      <alignment horizontal="center"/>
    </xf>
    <xf numFmtId="9" fontId="45" fillId="0" borderId="25" xfId="0" applyNumberFormat="1" applyFont="1" applyBorder="1" applyAlignment="1">
      <alignment horizontal="center"/>
    </xf>
    <xf numFmtId="0" fontId="45" fillId="0" borderId="25" xfId="0" applyFont="1" applyBorder="1" applyAlignment="1">
      <alignment horizontal="center" vertical="center"/>
    </xf>
    <xf numFmtId="0" fontId="45" fillId="0" borderId="25" xfId="0" applyFont="1" applyBorder="1" applyAlignment="1">
      <alignment horizontal="center"/>
    </xf>
    <xf numFmtId="1" fontId="45" fillId="0" borderId="25" xfId="0" applyNumberFormat="1" applyFont="1" applyBorder="1" applyAlignment="1">
      <alignment horizontal="center"/>
    </xf>
    <xf numFmtId="0" fontId="45" fillId="17" borderId="0" xfId="0" applyFont="1" applyFill="1" applyAlignment="1">
      <alignment horizontal="left" wrapText="1"/>
    </xf>
    <xf numFmtId="0" fontId="45" fillId="3" borderId="25" xfId="0" applyFont="1" applyFill="1" applyBorder="1" applyAlignment="1">
      <alignment horizontal="center"/>
    </xf>
    <xf numFmtId="1" fontId="48" fillId="0" borderId="25" xfId="0" applyNumberFormat="1" applyFont="1" applyBorder="1" applyAlignment="1">
      <alignment horizontal="center"/>
    </xf>
    <xf numFmtId="166" fontId="48" fillId="0" borderId="25" xfId="0" applyNumberFormat="1" applyFont="1" applyBorder="1" applyAlignment="1">
      <alignment horizontal="center"/>
    </xf>
    <xf numFmtId="0" fontId="45" fillId="0" borderId="61" xfId="0" applyFont="1" applyBorder="1" applyAlignment="1">
      <alignment horizontal="center"/>
    </xf>
    <xf numFmtId="0" fontId="50" fillId="42" borderId="0" xfId="0" applyFont="1" applyFill="1" applyAlignment="1">
      <alignment wrapText="1"/>
    </xf>
    <xf numFmtId="0" fontId="5" fillId="0" borderId="39" xfId="0" applyFont="1" applyBorder="1"/>
    <xf numFmtId="0" fontId="86" fillId="0" borderId="0" xfId="138" applyFont="1"/>
    <xf numFmtId="0" fontId="0" fillId="25" borderId="20" xfId="0" applyFill="1" applyBorder="1"/>
    <xf numFmtId="2" fontId="0" fillId="25" borderId="20" xfId="0" applyNumberFormat="1" applyFill="1" applyBorder="1" applyAlignment="1">
      <alignment horizontal="center"/>
    </xf>
    <xf numFmtId="0" fontId="0" fillId="25" borderId="20" xfId="0" applyFill="1" applyBorder="1" applyAlignment="1">
      <alignment horizontal="center"/>
    </xf>
    <xf numFmtId="17" fontId="0" fillId="0" borderId="20" xfId="0" applyNumberFormat="1" applyBorder="1" applyAlignment="1">
      <alignment horizontal="center"/>
    </xf>
    <xf numFmtId="0" fontId="0" fillId="25" borderId="19" xfId="0" applyFill="1" applyBorder="1"/>
    <xf numFmtId="2" fontId="0" fillId="25" borderId="19" xfId="0" applyNumberFormat="1" applyFill="1" applyBorder="1" applyAlignment="1">
      <alignment horizontal="center"/>
    </xf>
    <xf numFmtId="0" fontId="0" fillId="25" borderId="19" xfId="0" applyFill="1" applyBorder="1" applyAlignment="1">
      <alignment horizontal="center"/>
    </xf>
    <xf numFmtId="17" fontId="0" fillId="0" borderId="19" xfId="0" applyNumberFormat="1" applyBorder="1" applyAlignment="1">
      <alignment horizontal="center"/>
    </xf>
    <xf numFmtId="0" fontId="0" fillId="24" borderId="20" xfId="0" applyFill="1" applyBorder="1"/>
    <xf numFmtId="2" fontId="0" fillId="24" borderId="20" xfId="0" applyNumberFormat="1" applyFill="1" applyBorder="1" applyAlignment="1">
      <alignment horizontal="center"/>
    </xf>
    <xf numFmtId="0" fontId="0" fillId="24" borderId="20" xfId="0" applyFill="1" applyBorder="1" applyAlignment="1">
      <alignment horizontal="center"/>
    </xf>
    <xf numFmtId="17" fontId="5" fillId="0" borderId="20" xfId="0" applyNumberFormat="1" applyFont="1" applyBorder="1" applyAlignment="1">
      <alignment horizontal="center"/>
    </xf>
    <xf numFmtId="17" fontId="0" fillId="41" borderId="20" xfId="0" applyNumberFormat="1" applyFill="1" applyBorder="1" applyAlignment="1">
      <alignment horizontal="center"/>
    </xf>
    <xf numFmtId="0" fontId="0" fillId="24" borderId="19" xfId="0" applyFill="1" applyBorder="1"/>
    <xf numFmtId="2" fontId="0" fillId="24" borderId="19" xfId="0" applyNumberFormat="1" applyFill="1" applyBorder="1" applyAlignment="1">
      <alignment horizontal="center"/>
    </xf>
    <xf numFmtId="0" fontId="0" fillId="24" borderId="19" xfId="0" applyFill="1" applyBorder="1" applyAlignment="1">
      <alignment horizontal="center"/>
    </xf>
    <xf numFmtId="0" fontId="50" fillId="0" borderId="0" xfId="0" applyFont="1" applyAlignment="1">
      <alignment horizontal="left"/>
    </xf>
    <xf numFmtId="9" fontId="45" fillId="0" borderId="0" xfId="29" applyFont="1" applyFill="1" applyBorder="1" applyAlignment="1">
      <alignment horizontal="center"/>
    </xf>
    <xf numFmtId="9" fontId="45" fillId="0" borderId="0" xfId="29" applyFont="1" applyFill="1" applyBorder="1" applyAlignment="1">
      <alignment horizontal="center" vertical="center"/>
    </xf>
    <xf numFmtId="9" fontId="45" fillId="0" borderId="0" xfId="29" applyFont="1" applyBorder="1" applyAlignment="1">
      <alignment horizontal="center" vertical="center"/>
    </xf>
    <xf numFmtId="0" fontId="45" fillId="0" borderId="0" xfId="0" applyFont="1" applyAlignment="1">
      <alignment horizontal="center" vertical="center" wrapText="1"/>
    </xf>
    <xf numFmtId="9" fontId="48" fillId="0" borderId="24" xfId="0" applyNumberFormat="1" applyFont="1" applyBorder="1" applyAlignment="1">
      <alignment horizontal="center"/>
    </xf>
    <xf numFmtId="9" fontId="48" fillId="0" borderId="45" xfId="0" applyNumberFormat="1" applyFont="1" applyBorder="1" applyAlignment="1">
      <alignment horizontal="center"/>
    </xf>
    <xf numFmtId="9" fontId="48" fillId="0" borderId="44" xfId="0" applyNumberFormat="1" applyFont="1" applyBorder="1" applyAlignment="1">
      <alignment horizontal="center"/>
    </xf>
    <xf numFmtId="0" fontId="45" fillId="43" borderId="14" xfId="0" applyFont="1" applyFill="1" applyBorder="1" applyAlignment="1">
      <alignment horizontal="center" vertical="center" wrapText="1"/>
    </xf>
    <xf numFmtId="0" fontId="68" fillId="17" borderId="0" xfId="0" applyFont="1" applyFill="1" applyAlignment="1">
      <alignment horizontal="left" wrapText="1"/>
    </xf>
    <xf numFmtId="9" fontId="45" fillId="8" borderId="14" xfId="0" applyNumberFormat="1" applyFont="1" applyFill="1" applyBorder="1" applyAlignment="1">
      <alignment horizontal="center" vertical="center"/>
    </xf>
    <xf numFmtId="0" fontId="5" fillId="0" borderId="0" xfId="0" applyFont="1" applyAlignment="1">
      <alignment horizontal="center" vertical="center"/>
    </xf>
    <xf numFmtId="166" fontId="79" fillId="0" borderId="0" xfId="0" applyNumberFormat="1" applyFont="1" applyAlignment="1">
      <alignment horizontal="center"/>
    </xf>
    <xf numFmtId="0" fontId="0" fillId="0" borderId="56" xfId="0" applyBorder="1"/>
    <xf numFmtId="0" fontId="5" fillId="0" borderId="56" xfId="0" applyFont="1" applyBorder="1"/>
    <xf numFmtId="0" fontId="5" fillId="0" borderId="57" xfId="0" applyFont="1" applyBorder="1"/>
    <xf numFmtId="1" fontId="0" fillId="0" borderId="58" xfId="0" applyNumberFormat="1" applyBorder="1"/>
    <xf numFmtId="17" fontId="0" fillId="0" borderId="59" xfId="0" applyNumberFormat="1" applyBorder="1"/>
    <xf numFmtId="1" fontId="0" fillId="0" borderId="59" xfId="0" applyNumberFormat="1" applyBorder="1"/>
    <xf numFmtId="1" fontId="0" fillId="0" borderId="60" xfId="0" applyNumberFormat="1" applyBorder="1"/>
    <xf numFmtId="0" fontId="45" fillId="0" borderId="91" xfId="0" applyFont="1" applyBorder="1" applyAlignment="1">
      <alignment horizontal="center" vertical="center"/>
    </xf>
    <xf numFmtId="0" fontId="45" fillId="0" borderId="92" xfId="0" applyFont="1" applyBorder="1" applyAlignment="1">
      <alignment horizontal="center" vertical="center"/>
    </xf>
    <xf numFmtId="0" fontId="45" fillId="0" borderId="93" xfId="0" applyFont="1" applyBorder="1" applyAlignment="1">
      <alignment horizontal="center" vertical="center"/>
    </xf>
    <xf numFmtId="0" fontId="45" fillId="0" borderId="94" xfId="0" applyFont="1" applyBorder="1" applyAlignment="1">
      <alignment horizontal="center" vertical="center"/>
    </xf>
    <xf numFmtId="0" fontId="45" fillId="0" borderId="95" xfId="0" applyFont="1" applyBorder="1" applyAlignment="1">
      <alignment horizontal="center" vertical="center"/>
    </xf>
    <xf numFmtId="9" fontId="67" fillId="6" borderId="74" xfId="29" applyFont="1" applyFill="1" applyBorder="1" applyAlignment="1">
      <alignment horizontal="center"/>
    </xf>
    <xf numFmtId="0" fontId="45" fillId="0" borderId="59" xfId="0" applyFont="1" applyBorder="1"/>
    <xf numFmtId="0" fontId="79" fillId="18" borderId="14" xfId="0" applyFont="1" applyFill="1" applyBorder="1" applyAlignment="1">
      <alignment horizontal="center" wrapText="1"/>
    </xf>
    <xf numFmtId="0" fontId="45" fillId="17" borderId="59" xfId="0" applyFont="1" applyFill="1" applyBorder="1" applyAlignment="1">
      <alignment wrapText="1"/>
    </xf>
    <xf numFmtId="0" fontId="79" fillId="17" borderId="14" xfId="0" applyFont="1" applyFill="1" applyBorder="1" applyAlignment="1">
      <alignment wrapText="1"/>
    </xf>
    <xf numFmtId="166" fontId="45" fillId="0" borderId="77" xfId="0" applyNumberFormat="1" applyFont="1" applyBorder="1" applyAlignment="1">
      <alignment horizontal="center" vertical="center"/>
    </xf>
    <xf numFmtId="0" fontId="45" fillId="0" borderId="35" xfId="0" applyFont="1" applyBorder="1" applyAlignment="1">
      <alignment horizontal="center" vertical="center" wrapText="1"/>
    </xf>
    <xf numFmtId="0" fontId="46" fillId="0" borderId="1" xfId="0" applyFont="1" applyBorder="1" applyAlignment="1">
      <alignment horizontal="center"/>
    </xf>
    <xf numFmtId="9" fontId="45" fillId="8" borderId="33" xfId="0" applyNumberFormat="1" applyFont="1" applyFill="1" applyBorder="1" applyAlignment="1">
      <alignment horizontal="center" vertical="center"/>
    </xf>
    <xf numFmtId="9" fontId="45" fillId="8" borderId="52" xfId="0" applyNumberFormat="1" applyFont="1" applyFill="1" applyBorder="1" applyAlignment="1">
      <alignment horizontal="center" vertical="center"/>
    </xf>
    <xf numFmtId="9" fontId="45" fillId="8" borderId="0" xfId="0" applyNumberFormat="1" applyFont="1" applyFill="1" applyAlignment="1">
      <alignment horizontal="center" vertical="center"/>
    </xf>
    <xf numFmtId="0" fontId="45" fillId="0" borderId="51" xfId="0" applyFont="1" applyBorder="1" applyAlignment="1">
      <alignment horizontal="center"/>
    </xf>
    <xf numFmtId="176" fontId="45" fillId="0" borderId="71" xfId="0" applyNumberFormat="1" applyFont="1" applyBorder="1" applyAlignment="1">
      <alignment horizontal="center" vertical="center"/>
    </xf>
    <xf numFmtId="176" fontId="45" fillId="0" borderId="69" xfId="0" applyNumberFormat="1" applyFont="1" applyBorder="1" applyAlignment="1">
      <alignment horizontal="center" vertical="center"/>
    </xf>
    <xf numFmtId="0" fontId="7" fillId="0" borderId="0" xfId="0" applyFont="1" applyAlignment="1">
      <alignment horizontal="center"/>
    </xf>
    <xf numFmtId="0" fontId="10" fillId="0" borderId="0" xfId="0" applyFont="1" applyAlignment="1">
      <alignment horizontal="center" wrapText="1"/>
    </xf>
    <xf numFmtId="0" fontId="0" fillId="25" borderId="0" xfId="0" applyFill="1" applyAlignment="1">
      <alignment horizontal="center" vertical="center"/>
    </xf>
    <xf numFmtId="0" fontId="33" fillId="0" borderId="20" xfId="0" applyFont="1" applyBorder="1" applyAlignment="1">
      <alignment horizontal="center"/>
    </xf>
    <xf numFmtId="0" fontId="5" fillId="0" borderId="0" xfId="0" applyFont="1" applyAlignment="1">
      <alignment horizontal="center"/>
    </xf>
    <xf numFmtId="0" fontId="0" fillId="0" borderId="0" xfId="0" applyAlignment="1">
      <alignment horizontal="center" vertical="center"/>
    </xf>
    <xf numFmtId="0" fontId="11" fillId="0" borderId="0" xfId="0" applyFont="1" applyAlignment="1">
      <alignment horizontal="center"/>
    </xf>
    <xf numFmtId="1" fontId="45" fillId="6" borderId="5" xfId="0" applyNumberFormat="1" applyFont="1" applyFill="1" applyBorder="1" applyAlignment="1">
      <alignment horizontal="center"/>
    </xf>
    <xf numFmtId="1" fontId="45" fillId="28" borderId="1" xfId="0" applyNumberFormat="1" applyFont="1" applyFill="1" applyBorder="1" applyAlignment="1">
      <alignment horizontal="center"/>
    </xf>
    <xf numFmtId="1" fontId="45" fillId="0" borderId="27" xfId="0" applyNumberFormat="1" applyFont="1" applyBorder="1" applyAlignment="1">
      <alignment horizontal="center"/>
    </xf>
    <xf numFmtId="1" fontId="45" fillId="6" borderId="8" xfId="0" applyNumberFormat="1" applyFont="1" applyFill="1" applyBorder="1" applyAlignment="1">
      <alignment horizontal="center"/>
    </xf>
    <xf numFmtId="1" fontId="67" fillId="6" borderId="1" xfId="0" applyNumberFormat="1" applyFont="1" applyFill="1" applyBorder="1" applyAlignment="1">
      <alignment horizontal="center"/>
    </xf>
    <xf numFmtId="1" fontId="45" fillId="6" borderId="2" xfId="0" applyNumberFormat="1" applyFont="1" applyFill="1" applyBorder="1" applyAlignment="1">
      <alignment horizontal="center"/>
    </xf>
    <xf numFmtId="1" fontId="45" fillId="6" borderId="71" xfId="0" applyNumberFormat="1" applyFont="1" applyFill="1" applyBorder="1" applyAlignment="1">
      <alignment horizontal="center"/>
    </xf>
    <xf numFmtId="1" fontId="45" fillId="6" borderId="69" xfId="0" applyNumberFormat="1" applyFont="1" applyFill="1" applyBorder="1" applyAlignment="1">
      <alignment horizontal="center"/>
    </xf>
    <xf numFmtId="1" fontId="45" fillId="6" borderId="77" xfId="0" applyNumberFormat="1" applyFont="1" applyFill="1" applyBorder="1" applyAlignment="1">
      <alignment horizontal="center"/>
    </xf>
    <xf numFmtId="1" fontId="67" fillId="0" borderId="77" xfId="0" applyNumberFormat="1" applyFont="1" applyBorder="1" applyAlignment="1">
      <alignment horizontal="center"/>
    </xf>
    <xf numFmtId="167" fontId="46" fillId="12" borderId="96" xfId="0" applyNumberFormat="1" applyFont="1" applyFill="1" applyBorder="1" applyAlignment="1">
      <alignment horizontal="center" wrapText="1"/>
    </xf>
    <xf numFmtId="9" fontId="0" fillId="0" borderId="0" xfId="0" applyNumberFormat="1"/>
    <xf numFmtId="10" fontId="0" fillId="0" borderId="0" xfId="0" applyNumberFormat="1"/>
    <xf numFmtId="17" fontId="5" fillId="0" borderId="97" xfId="0" applyNumberFormat="1" applyFont="1" applyBorder="1" applyAlignment="1">
      <alignment horizontal="center"/>
    </xf>
    <xf numFmtId="1" fontId="45" fillId="36" borderId="0" xfId="0" applyNumberFormat="1" applyFont="1" applyFill="1" applyAlignment="1">
      <alignment horizontal="center" wrapText="1"/>
    </xf>
    <xf numFmtId="0" fontId="45" fillId="0" borderId="84" xfId="0" applyFont="1" applyBorder="1" applyAlignment="1">
      <alignment wrapText="1"/>
    </xf>
    <xf numFmtId="0" fontId="79" fillId="0" borderId="85" xfId="0" applyFont="1" applyBorder="1" applyAlignment="1">
      <alignment horizontal="center" wrapText="1"/>
    </xf>
    <xf numFmtId="9" fontId="45" fillId="28" borderId="85" xfId="29" applyFont="1" applyFill="1" applyBorder="1" applyAlignment="1">
      <alignment horizontal="center"/>
    </xf>
    <xf numFmtId="9" fontId="45" fillId="0" borderId="85" xfId="0" applyNumberFormat="1" applyFont="1" applyBorder="1" applyAlignment="1">
      <alignment horizontal="center"/>
    </xf>
    <xf numFmtId="0" fontId="45" fillId="0" borderId="98" xfId="0" applyFont="1" applyBorder="1" applyAlignment="1">
      <alignment horizontal="center" vertical="center"/>
    </xf>
    <xf numFmtId="9" fontId="45" fillId="0" borderId="0" xfId="0" applyNumberFormat="1" applyFont="1" applyAlignment="1">
      <alignment horizontal="center" vertical="center"/>
    </xf>
    <xf numFmtId="0" fontId="45" fillId="0" borderId="85" xfId="0" applyFont="1" applyBorder="1" applyAlignment="1">
      <alignment horizontal="center" wrapText="1"/>
    </xf>
    <xf numFmtId="0" fontId="68" fillId="42" borderId="0" xfId="0" applyFont="1" applyFill="1" applyAlignment="1">
      <alignment wrapText="1"/>
    </xf>
    <xf numFmtId="0" fontId="68" fillId="43" borderId="0" xfId="0" applyFont="1" applyFill="1" applyAlignment="1">
      <alignment horizontal="center" wrapText="1"/>
    </xf>
    <xf numFmtId="0" fontId="45" fillId="0" borderId="105" xfId="0" applyFont="1" applyBorder="1" applyAlignment="1">
      <alignment wrapText="1"/>
    </xf>
    <xf numFmtId="0" fontId="45" fillId="0" borderId="107" xfId="0" applyFont="1" applyBorder="1" applyAlignment="1">
      <alignment wrapText="1"/>
    </xf>
    <xf numFmtId="0" fontId="79" fillId="0" borderId="108" xfId="0" applyFont="1" applyBorder="1" applyAlignment="1">
      <alignment horizontal="center" wrapText="1"/>
    </xf>
    <xf numFmtId="0" fontId="45" fillId="0" borderId="108" xfId="0" applyFont="1" applyBorder="1" applyAlignment="1">
      <alignment horizontal="center"/>
    </xf>
    <xf numFmtId="9" fontId="45" fillId="28" borderId="108" xfId="29" applyFont="1" applyFill="1" applyBorder="1" applyAlignment="1">
      <alignment horizontal="center"/>
    </xf>
    <xf numFmtId="0" fontId="45" fillId="0" borderId="108" xfId="0" applyFont="1" applyBorder="1" applyAlignment="1">
      <alignment horizontal="center" wrapText="1"/>
    </xf>
    <xf numFmtId="9" fontId="45" fillId="0" borderId="108" xfId="0" applyNumberFormat="1" applyFont="1" applyBorder="1" applyAlignment="1">
      <alignment horizontal="center"/>
    </xf>
    <xf numFmtId="0" fontId="45" fillId="0" borderId="108" xfId="0" applyFont="1" applyBorder="1" applyAlignment="1">
      <alignment horizontal="center" vertical="center"/>
    </xf>
    <xf numFmtId="0" fontId="45" fillId="0" borderId="85" xfId="0" applyFont="1" applyBorder="1" applyAlignment="1">
      <alignment horizontal="center" vertical="center"/>
    </xf>
    <xf numFmtId="9" fontId="48" fillId="0" borderId="103" xfId="0" applyNumberFormat="1" applyFont="1" applyBorder="1" applyAlignment="1">
      <alignment horizontal="center"/>
    </xf>
    <xf numFmtId="9" fontId="48" fillId="0" borderId="104" xfId="0" applyNumberFormat="1" applyFont="1" applyBorder="1" applyAlignment="1">
      <alignment horizontal="center"/>
    </xf>
    <xf numFmtId="0" fontId="45" fillId="0" borderId="110" xfId="0" applyFont="1" applyBorder="1" applyAlignment="1">
      <alignment horizontal="center"/>
    </xf>
    <xf numFmtId="166" fontId="45" fillId="0" borderId="85" xfId="0" applyNumberFormat="1" applyFont="1" applyBorder="1" applyAlignment="1">
      <alignment horizontal="center" wrapText="1"/>
    </xf>
    <xf numFmtId="166" fontId="45" fillId="0" borderId="108" xfId="0" applyNumberFormat="1" applyFont="1" applyBorder="1" applyAlignment="1">
      <alignment horizontal="center" wrapText="1"/>
    </xf>
    <xf numFmtId="9" fontId="45" fillId="0" borderId="111" xfId="0" applyNumberFormat="1" applyFont="1" applyBorder="1" applyAlignment="1">
      <alignment horizontal="center"/>
    </xf>
    <xf numFmtId="9" fontId="48" fillId="0" borderId="61" xfId="0" applyNumberFormat="1" applyFont="1" applyBorder="1" applyAlignment="1">
      <alignment horizontal="center"/>
    </xf>
    <xf numFmtId="1" fontId="45" fillId="0" borderId="80" xfId="0" applyNumberFormat="1" applyFont="1" applyBorder="1" applyAlignment="1">
      <alignment horizontal="center"/>
    </xf>
    <xf numFmtId="1" fontId="45" fillId="0" borderId="81" xfId="0" applyNumberFormat="1" applyFont="1" applyBorder="1" applyAlignment="1">
      <alignment horizontal="center"/>
    </xf>
    <xf numFmtId="1" fontId="45" fillId="0" borderId="82" xfId="0" applyNumberFormat="1" applyFont="1" applyBorder="1" applyAlignment="1">
      <alignment horizontal="center"/>
    </xf>
    <xf numFmtId="1" fontId="45" fillId="0" borderId="112" xfId="0" applyNumberFormat="1" applyFont="1" applyBorder="1" applyAlignment="1">
      <alignment horizontal="center"/>
    </xf>
    <xf numFmtId="1" fontId="45" fillId="0" borderId="86" xfId="0" applyNumberFormat="1" applyFont="1" applyBorder="1" applyAlignment="1">
      <alignment horizontal="center"/>
    </xf>
    <xf numFmtId="1" fontId="45" fillId="0" borderId="95" xfId="0" applyNumberFormat="1" applyFont="1" applyBorder="1" applyAlignment="1">
      <alignment horizontal="center"/>
    </xf>
    <xf numFmtId="1" fontId="45" fillId="0" borderId="94" xfId="0" applyNumberFormat="1" applyFont="1" applyBorder="1" applyAlignment="1">
      <alignment horizontal="center"/>
    </xf>
    <xf numFmtId="0" fontId="67" fillId="12" borderId="1" xfId="0" applyFont="1" applyFill="1" applyBorder="1" applyAlignment="1">
      <alignment horizontal="center" wrapText="1"/>
    </xf>
    <xf numFmtId="0" fontId="37" fillId="0" borderId="0" xfId="0" applyFont="1" applyAlignment="1">
      <alignment horizontal="center" vertical="center"/>
    </xf>
    <xf numFmtId="0" fontId="35" fillId="0" borderId="0" xfId="0" applyFont="1" applyAlignment="1">
      <alignment horizontal="center" wrapText="1"/>
    </xf>
    <xf numFmtId="0" fontId="9" fillId="0" borderId="0" xfId="0" applyFont="1"/>
    <xf numFmtId="0" fontId="45" fillId="0" borderId="117" xfId="0" applyFont="1" applyBorder="1"/>
    <xf numFmtId="0" fontId="45" fillId="0" borderId="114" xfId="0" applyFont="1" applyBorder="1" applyAlignment="1">
      <alignment horizontal="center"/>
    </xf>
    <xf numFmtId="9" fontId="45" fillId="0" borderId="114" xfId="29" applyFont="1" applyFill="1" applyBorder="1" applyAlignment="1">
      <alignment horizontal="center"/>
    </xf>
    <xf numFmtId="9" fontId="45" fillId="0" borderId="118" xfId="0" applyNumberFormat="1" applyFont="1" applyBorder="1" applyAlignment="1">
      <alignment horizontal="center"/>
    </xf>
    <xf numFmtId="9" fontId="48" fillId="0" borderId="112" xfId="0" applyNumberFormat="1" applyFont="1" applyBorder="1" applyAlignment="1">
      <alignment horizontal="center"/>
    </xf>
    <xf numFmtId="9" fontId="45" fillId="0" borderId="27" xfId="0" applyNumberFormat="1" applyFont="1" applyBorder="1" applyAlignment="1">
      <alignment horizontal="center"/>
    </xf>
    <xf numFmtId="9" fontId="45" fillId="7" borderId="38" xfId="0" applyNumberFormat="1" applyFont="1" applyFill="1" applyBorder="1" applyAlignment="1">
      <alignment horizontal="center" vertical="center"/>
    </xf>
    <xf numFmtId="0" fontId="45" fillId="0" borderId="121" xfId="0" applyFont="1" applyBorder="1"/>
    <xf numFmtId="0" fontId="45" fillId="0" borderId="122" xfId="0" applyFont="1" applyBorder="1"/>
    <xf numFmtId="0" fontId="45" fillId="0" borderId="91" xfId="0" applyFont="1" applyBorder="1" applyAlignment="1">
      <alignment horizontal="center"/>
    </xf>
    <xf numFmtId="0" fontId="45" fillId="3" borderId="91" xfId="0" applyFont="1" applyFill="1" applyBorder="1" applyAlignment="1">
      <alignment horizontal="center"/>
    </xf>
    <xf numFmtId="1" fontId="45" fillId="0" borderId="91" xfId="0" applyNumberFormat="1" applyFont="1" applyBorder="1" applyAlignment="1">
      <alignment horizontal="center"/>
    </xf>
    <xf numFmtId="9" fontId="45" fillId="0" borderId="91" xfId="29" applyFont="1" applyFill="1" applyBorder="1" applyAlignment="1">
      <alignment horizontal="center"/>
    </xf>
    <xf numFmtId="1" fontId="48" fillId="0" borderId="91" xfId="0" applyNumberFormat="1" applyFont="1" applyBorder="1" applyAlignment="1">
      <alignment horizontal="center"/>
    </xf>
    <xf numFmtId="166" fontId="48" fillId="0" borderId="91" xfId="0" applyNumberFormat="1" applyFont="1" applyBorder="1" applyAlignment="1">
      <alignment horizontal="center"/>
    </xf>
    <xf numFmtId="9" fontId="45" fillId="0" borderId="91" xfId="0" applyNumberFormat="1" applyFont="1" applyBorder="1" applyAlignment="1">
      <alignment horizontal="center"/>
    </xf>
    <xf numFmtId="9" fontId="48" fillId="0" borderId="47" xfId="0" applyNumberFormat="1" applyFont="1" applyBorder="1" applyAlignment="1">
      <alignment horizontal="center"/>
    </xf>
    <xf numFmtId="9" fontId="48" fillId="0" borderId="123" xfId="0" applyNumberFormat="1" applyFont="1" applyBorder="1" applyAlignment="1">
      <alignment horizontal="center"/>
    </xf>
    <xf numFmtId="9" fontId="48" fillId="0" borderId="127" xfId="0" applyNumberFormat="1" applyFont="1" applyBorder="1" applyAlignment="1">
      <alignment horizontal="center"/>
    </xf>
    <xf numFmtId="9" fontId="79" fillId="0" borderId="0" xfId="0" applyNumberFormat="1" applyFont="1" applyAlignment="1">
      <alignment horizontal="center"/>
    </xf>
    <xf numFmtId="0" fontId="79" fillId="0" borderId="0" xfId="0" applyFont="1"/>
    <xf numFmtId="0" fontId="0" fillId="13" borderId="63" xfId="0" applyFill="1" applyBorder="1" applyAlignment="1">
      <alignment horizontal="center"/>
    </xf>
    <xf numFmtId="0" fontId="0" fillId="13" borderId="56" xfId="0" applyFill="1" applyBorder="1" applyAlignment="1">
      <alignment horizontal="center"/>
    </xf>
    <xf numFmtId="2" fontId="0" fillId="15" borderId="56" xfId="0" applyNumberFormat="1" applyFill="1" applyBorder="1" applyAlignment="1">
      <alignment horizontal="center"/>
    </xf>
    <xf numFmtId="166" fontId="0" fillId="15" borderId="56" xfId="0" applyNumberFormat="1" applyFill="1" applyBorder="1" applyAlignment="1">
      <alignment horizontal="center"/>
    </xf>
    <xf numFmtId="1" fontId="0" fillId="14" borderId="56" xfId="0" applyNumberFormat="1" applyFill="1" applyBorder="1" applyAlignment="1">
      <alignment horizontal="center"/>
    </xf>
    <xf numFmtId="166" fontId="0" fillId="14" borderId="56" xfId="0" applyNumberFormat="1" applyFill="1" applyBorder="1" applyAlignment="1">
      <alignment horizontal="center"/>
    </xf>
    <xf numFmtId="166" fontId="0" fillId="14" borderId="57" xfId="0" applyNumberFormat="1" applyFill="1" applyBorder="1" applyAlignment="1">
      <alignment horizontal="center"/>
    </xf>
    <xf numFmtId="0" fontId="0" fillId="13" borderId="64" xfId="0" applyFill="1" applyBorder="1" applyAlignment="1">
      <alignment horizontal="center"/>
    </xf>
    <xf numFmtId="166" fontId="0" fillId="14" borderId="58" xfId="0" applyNumberFormat="1" applyFill="1" applyBorder="1" applyAlignment="1">
      <alignment horizontal="center"/>
    </xf>
    <xf numFmtId="0" fontId="0" fillId="13" borderId="65" xfId="0" applyFill="1" applyBorder="1" applyAlignment="1">
      <alignment horizontal="center"/>
    </xf>
    <xf numFmtId="0" fontId="0" fillId="13" borderId="59" xfId="0" applyFill="1" applyBorder="1" applyAlignment="1">
      <alignment horizontal="center"/>
    </xf>
    <xf numFmtId="2" fontId="0" fillId="15" borderId="59" xfId="0" applyNumberFormat="1" applyFill="1" applyBorder="1" applyAlignment="1">
      <alignment horizontal="center"/>
    </xf>
    <xf numFmtId="166" fontId="0" fillId="15" borderId="59" xfId="0" applyNumberFormat="1" applyFill="1" applyBorder="1" applyAlignment="1">
      <alignment horizontal="center"/>
    </xf>
    <xf numFmtId="1" fontId="0" fillId="14" borderId="59" xfId="0" applyNumberFormat="1" applyFill="1" applyBorder="1" applyAlignment="1">
      <alignment horizontal="center"/>
    </xf>
    <xf numFmtId="166" fontId="0" fillId="14" borderId="59" xfId="0" applyNumberFormat="1" applyFill="1" applyBorder="1" applyAlignment="1">
      <alignment horizontal="center"/>
    </xf>
    <xf numFmtId="166" fontId="0" fillId="14" borderId="60" xfId="0" applyNumberFormat="1" applyFill="1" applyBorder="1" applyAlignment="1">
      <alignment horizontal="center"/>
    </xf>
    <xf numFmtId="0" fontId="0" fillId="24" borderId="0" xfId="0" applyFill="1" applyAlignment="1">
      <alignment horizontal="center" vertical="center"/>
    </xf>
    <xf numFmtId="0" fontId="90" fillId="18" borderId="13" xfId="0" applyFont="1" applyFill="1" applyBorder="1" applyAlignment="1">
      <alignment horizontal="center" wrapText="1"/>
    </xf>
    <xf numFmtId="0" fontId="90" fillId="18" borderId="0" xfId="0" applyFont="1" applyFill="1" applyAlignment="1">
      <alignment horizontal="center" wrapText="1"/>
    </xf>
    <xf numFmtId="0" fontId="45" fillId="46" borderId="0" xfId="0" applyFont="1" applyFill="1" applyAlignment="1">
      <alignment horizontal="center" wrapText="1"/>
    </xf>
    <xf numFmtId="0" fontId="45" fillId="46" borderId="14" xfId="0" applyFont="1" applyFill="1" applyBorder="1" applyAlignment="1">
      <alignment horizontal="center" wrapText="1"/>
    </xf>
    <xf numFmtId="1" fontId="45" fillId="0" borderId="124" xfId="0" applyNumberFormat="1" applyFont="1" applyBorder="1" applyAlignment="1">
      <alignment horizontal="center"/>
    </xf>
    <xf numFmtId="1" fontId="45" fillId="0" borderId="29" xfId="0" applyNumberFormat="1" applyFont="1" applyBorder="1" applyAlignment="1">
      <alignment horizontal="center"/>
    </xf>
    <xf numFmtId="1" fontId="45" fillId="0" borderId="106" xfId="0" applyNumberFormat="1" applyFont="1" applyBorder="1" applyAlignment="1">
      <alignment horizontal="center"/>
    </xf>
    <xf numFmtId="1" fontId="45" fillId="0" borderId="109" xfId="0" applyNumberFormat="1" applyFont="1" applyBorder="1" applyAlignment="1">
      <alignment horizontal="center"/>
    </xf>
    <xf numFmtId="0" fontId="91" fillId="29" borderId="1" xfId="0" applyFont="1" applyFill="1" applyBorder="1" applyAlignment="1">
      <alignment horizontal="center" vertical="center" wrapText="1"/>
    </xf>
    <xf numFmtId="0" fontId="91" fillId="28" borderId="1" xfId="0" applyFont="1" applyFill="1" applyBorder="1" applyAlignment="1">
      <alignment horizontal="center" vertical="center"/>
    </xf>
    <xf numFmtId="0" fontId="0" fillId="0" borderId="0" xfId="0" applyAlignment="1">
      <alignment wrapText="1"/>
    </xf>
    <xf numFmtId="177" fontId="92" fillId="0" borderId="1" xfId="0" applyNumberFormat="1" applyFont="1" applyBorder="1" applyAlignment="1">
      <alignment horizontal="center" vertical="center"/>
    </xf>
    <xf numFmtId="0" fontId="91" fillId="29" borderId="2" xfId="0" applyFont="1" applyFill="1" applyBorder="1" applyAlignment="1">
      <alignment horizontal="center" vertical="center" wrapText="1"/>
    </xf>
    <xf numFmtId="166" fontId="93" fillId="0" borderId="1" xfId="0" applyNumberFormat="1" applyFont="1" applyBorder="1" applyAlignment="1">
      <alignment horizontal="center"/>
    </xf>
    <xf numFmtId="0" fontId="45" fillId="0" borderId="130" xfId="0" applyFont="1" applyBorder="1"/>
    <xf numFmtId="0" fontId="79" fillId="42" borderId="0" xfId="0" applyFont="1" applyFill="1" applyAlignment="1">
      <alignment wrapText="1"/>
    </xf>
    <xf numFmtId="0" fontId="79" fillId="43" borderId="0" xfId="0" applyFont="1" applyFill="1" applyAlignment="1">
      <alignment horizontal="center" wrapText="1"/>
    </xf>
    <xf numFmtId="0" fontId="79" fillId="42" borderId="14" xfId="0" applyFont="1" applyFill="1" applyBorder="1" applyAlignment="1">
      <alignment wrapText="1"/>
    </xf>
    <xf numFmtId="0" fontId="79" fillId="43" borderId="14" xfId="0" applyFont="1" applyFill="1" applyBorder="1" applyAlignment="1">
      <alignment horizontal="center" wrapText="1"/>
    </xf>
    <xf numFmtId="0" fontId="0" fillId="0" borderId="69" xfId="0" applyBorder="1" applyAlignment="1">
      <alignment horizontal="left"/>
    </xf>
    <xf numFmtId="0" fontId="0" fillId="0" borderId="69" xfId="0" applyBorder="1"/>
    <xf numFmtId="14" fontId="0" fillId="0" borderId="69" xfId="0" applyNumberFormat="1" applyBorder="1" applyAlignment="1">
      <alignment horizontal="left"/>
    </xf>
    <xf numFmtId="0" fontId="0" fillId="51" borderId="69" xfId="0" applyFill="1" applyBorder="1" applyAlignment="1">
      <alignment horizontal="left"/>
    </xf>
    <xf numFmtId="0" fontId="0" fillId="51" borderId="69" xfId="0" applyFill="1" applyBorder="1" applyAlignment="1">
      <alignment horizontal="center"/>
    </xf>
    <xf numFmtId="166" fontId="93" fillId="52" borderId="1" xfId="0" applyNumberFormat="1" applyFont="1" applyFill="1" applyBorder="1" applyAlignment="1">
      <alignment horizontal="center"/>
    </xf>
    <xf numFmtId="177" fontId="92" fillId="52" borderId="1" xfId="0" applyNumberFormat="1" applyFont="1" applyFill="1" applyBorder="1" applyAlignment="1">
      <alignment horizontal="center" vertical="center"/>
    </xf>
    <xf numFmtId="0" fontId="91" fillId="52" borderId="1" xfId="0" applyFont="1" applyFill="1" applyBorder="1" applyAlignment="1">
      <alignment horizontal="center" vertical="center"/>
    </xf>
    <xf numFmtId="9" fontId="91" fillId="29" borderId="2" xfId="0" applyNumberFormat="1" applyFont="1" applyFill="1" applyBorder="1" applyAlignment="1">
      <alignment horizontal="center" vertical="center" wrapText="1"/>
    </xf>
    <xf numFmtId="166" fontId="96" fillId="53" borderId="1" xfId="0" applyNumberFormat="1" applyFont="1" applyFill="1" applyBorder="1" applyAlignment="1">
      <alignment horizontal="center"/>
    </xf>
    <xf numFmtId="1" fontId="45" fillId="12" borderId="1" xfId="0" applyNumberFormat="1" applyFont="1" applyFill="1" applyBorder="1" applyAlignment="1">
      <alignment horizontal="center" wrapText="1"/>
    </xf>
    <xf numFmtId="1" fontId="45" fillId="0" borderId="53" xfId="0" applyNumberFormat="1" applyFont="1" applyBorder="1" applyAlignment="1">
      <alignment horizontal="center"/>
    </xf>
    <xf numFmtId="1" fontId="45" fillId="0" borderId="54" xfId="0" applyNumberFormat="1" applyFont="1" applyBorder="1" applyAlignment="1">
      <alignment horizontal="center"/>
    </xf>
    <xf numFmtId="1" fontId="46" fillId="0" borderId="0" xfId="0" applyNumberFormat="1" applyFont="1" applyAlignment="1">
      <alignment horizontal="center" wrapText="1"/>
    </xf>
    <xf numFmtId="0" fontId="93" fillId="9" borderId="0" xfId="0" applyFont="1" applyFill="1" applyAlignment="1">
      <alignment horizontal="center" vertical="center" wrapText="1"/>
    </xf>
    <xf numFmtId="0" fontId="68" fillId="43" borderId="0" xfId="0" applyFont="1" applyFill="1" applyAlignment="1">
      <alignment horizontal="center" vertical="center" wrapText="1"/>
    </xf>
    <xf numFmtId="0" fontId="91" fillId="29" borderId="130" xfId="0" applyFont="1" applyFill="1" applyBorder="1" applyAlignment="1">
      <alignment horizontal="center" vertical="center" wrapText="1"/>
    </xf>
    <xf numFmtId="0" fontId="91" fillId="29" borderId="3" xfId="0" applyFont="1" applyFill="1" applyBorder="1" applyAlignment="1">
      <alignment horizontal="center" vertical="center" wrapText="1"/>
    </xf>
    <xf numFmtId="177" fontId="92" fillId="0" borderId="9" xfId="0" applyNumberFormat="1" applyFont="1" applyBorder="1" applyAlignment="1">
      <alignment horizontal="center" vertical="center"/>
    </xf>
    <xf numFmtId="0" fontId="91" fillId="29" borderId="69" xfId="0" applyFont="1" applyFill="1" applyBorder="1" applyAlignment="1">
      <alignment horizontal="center" vertical="center" wrapText="1"/>
    </xf>
    <xf numFmtId="9" fontId="0" fillId="0" borderId="69" xfId="0" applyNumberFormat="1" applyBorder="1" applyAlignment="1">
      <alignment horizontal="center" vertical="center"/>
    </xf>
    <xf numFmtId="0" fontId="0" fillId="0" borderId="69" xfId="0" applyBorder="1" applyAlignment="1">
      <alignment horizontal="center" vertical="center"/>
    </xf>
    <xf numFmtId="0" fontId="91" fillId="29" borderId="20" xfId="0" applyFont="1" applyFill="1" applyBorder="1" applyAlignment="1">
      <alignment horizontal="center" vertical="center" wrapText="1"/>
    </xf>
    <xf numFmtId="166" fontId="93" fillId="0" borderId="45" xfId="0" applyNumberFormat="1" applyFont="1" applyBorder="1" applyAlignment="1">
      <alignment horizontal="center"/>
    </xf>
    <xf numFmtId="166" fontId="93" fillId="52" borderId="45" xfId="0" applyNumberFormat="1" applyFont="1" applyFill="1" applyBorder="1" applyAlignment="1">
      <alignment horizontal="center"/>
    </xf>
    <xf numFmtId="0" fontId="0" fillId="9" borderId="69" xfId="0" applyFill="1" applyBorder="1"/>
    <xf numFmtId="0" fontId="79" fillId="9" borderId="85" xfId="0" applyFont="1" applyFill="1" applyBorder="1" applyAlignment="1">
      <alignment horizontal="center" wrapText="1"/>
    </xf>
    <xf numFmtId="0" fontId="45" fillId="9" borderId="74" xfId="0" applyFont="1" applyFill="1" applyBorder="1" applyAlignment="1">
      <alignment horizontal="center" wrapText="1"/>
    </xf>
    <xf numFmtId="0" fontId="45" fillId="9" borderId="85" xfId="0" applyFont="1" applyFill="1" applyBorder="1" applyAlignment="1">
      <alignment horizontal="center" wrapText="1"/>
    </xf>
    <xf numFmtId="0" fontId="45" fillId="9" borderId="108" xfId="0" applyFont="1" applyFill="1" applyBorder="1" applyAlignment="1">
      <alignment horizontal="center" wrapText="1"/>
    </xf>
    <xf numFmtId="0" fontId="45" fillId="9" borderId="9" xfId="0" applyFont="1" applyFill="1" applyBorder="1" applyAlignment="1">
      <alignment horizontal="center"/>
    </xf>
    <xf numFmtId="0" fontId="45" fillId="9" borderId="114" xfId="0" applyFont="1" applyFill="1" applyBorder="1" applyAlignment="1">
      <alignment horizontal="center"/>
    </xf>
    <xf numFmtId="0" fontId="45" fillId="35" borderId="63" xfId="0" applyFont="1" applyFill="1" applyBorder="1" applyAlignment="1">
      <alignment wrapText="1"/>
    </xf>
    <xf numFmtId="0" fontId="45" fillId="36" borderId="56" xfId="0" applyFont="1" applyFill="1" applyBorder="1" applyAlignment="1">
      <alignment horizontal="center" wrapText="1"/>
    </xf>
    <xf numFmtId="0" fontId="45" fillId="17" borderId="56" xfId="0" applyFont="1" applyFill="1" applyBorder="1" applyAlignment="1">
      <alignment wrapText="1"/>
    </xf>
    <xf numFmtId="0" fontId="45" fillId="18" borderId="56" xfId="0" applyFont="1" applyFill="1" applyBorder="1" applyAlignment="1">
      <alignment horizontal="center" wrapText="1"/>
    </xf>
    <xf numFmtId="0" fontId="45" fillId="18" borderId="57" xfId="0" applyFont="1" applyFill="1" applyBorder="1" applyAlignment="1">
      <alignment horizontal="center" wrapText="1"/>
    </xf>
    <xf numFmtId="0" fontId="45" fillId="35" borderId="64" xfId="0" applyFont="1" applyFill="1" applyBorder="1" applyAlignment="1">
      <alignment wrapText="1"/>
    </xf>
    <xf numFmtId="0" fontId="90" fillId="17" borderId="0" xfId="0" applyFont="1" applyFill="1" applyAlignment="1">
      <alignment wrapText="1"/>
    </xf>
    <xf numFmtId="0" fontId="45" fillId="18" borderId="58" xfId="0" applyFont="1" applyFill="1" applyBorder="1" applyAlignment="1">
      <alignment horizontal="center" wrapText="1"/>
    </xf>
    <xf numFmtId="0" fontId="45" fillId="35" borderId="65" xfId="0" applyFont="1" applyFill="1" applyBorder="1" applyAlignment="1">
      <alignment wrapText="1"/>
    </xf>
    <xf numFmtId="0" fontId="45" fillId="36" borderId="59" xfId="0" applyFont="1" applyFill="1" applyBorder="1" applyAlignment="1">
      <alignment horizontal="center" wrapText="1"/>
    </xf>
    <xf numFmtId="0" fontId="90" fillId="18" borderId="59" xfId="0" applyFont="1" applyFill="1" applyBorder="1" applyAlignment="1">
      <alignment horizontal="center" wrapText="1"/>
    </xf>
    <xf numFmtId="0" fontId="45" fillId="18" borderId="59" xfId="0" applyFont="1" applyFill="1" applyBorder="1" applyAlignment="1">
      <alignment horizontal="center" wrapText="1"/>
    </xf>
    <xf numFmtId="0" fontId="45" fillId="18" borderId="60" xfId="0" applyFont="1" applyFill="1" applyBorder="1" applyAlignment="1">
      <alignment horizontal="center" wrapText="1"/>
    </xf>
    <xf numFmtId="0" fontId="78" fillId="17" borderId="56" xfId="0" applyFont="1" applyFill="1" applyBorder="1" applyAlignment="1">
      <alignment wrapText="1"/>
    </xf>
    <xf numFmtId="0" fontId="78" fillId="18" borderId="56" xfId="0" applyFont="1" applyFill="1" applyBorder="1" applyAlignment="1">
      <alignment horizontal="center" wrapText="1"/>
    </xf>
    <xf numFmtId="0" fontId="97" fillId="0" borderId="0" xfId="0" applyFont="1"/>
    <xf numFmtId="0" fontId="98" fillId="0" borderId="0" xfId="0" applyFont="1"/>
    <xf numFmtId="0" fontId="98" fillId="0" borderId="17" xfId="0" applyFont="1" applyBorder="1"/>
    <xf numFmtId="0" fontId="98" fillId="0" borderId="14" xfId="0" applyFont="1" applyBorder="1" applyAlignment="1">
      <alignment wrapText="1"/>
    </xf>
    <xf numFmtId="0" fontId="98" fillId="0" borderId="88" xfId="0" applyFont="1" applyBorder="1"/>
    <xf numFmtId="0" fontId="98" fillId="0" borderId="52" xfId="0" applyFont="1" applyBorder="1"/>
    <xf numFmtId="0" fontId="98" fillId="0" borderId="0" xfId="0" applyFont="1" applyAlignment="1">
      <alignment wrapText="1"/>
    </xf>
    <xf numFmtId="0" fontId="100" fillId="0" borderId="0" xfId="0" applyFont="1"/>
    <xf numFmtId="0" fontId="98" fillId="0" borderId="52" xfId="0" applyFont="1" applyBorder="1" applyAlignment="1">
      <alignment vertical="center" wrapText="1"/>
    </xf>
    <xf numFmtId="0" fontId="98" fillId="0" borderId="9" xfId="0" applyFont="1" applyBorder="1" applyAlignment="1">
      <alignment wrapText="1"/>
    </xf>
    <xf numFmtId="0" fontId="98" fillId="48" borderId="26" xfId="0" applyFont="1" applyFill="1" applyBorder="1" applyAlignment="1">
      <alignment vertical="center"/>
    </xf>
    <xf numFmtId="0" fontId="98" fillId="48" borderId="26" xfId="0" applyFont="1" applyFill="1" applyBorder="1" applyAlignment="1">
      <alignment vertical="center" wrapText="1"/>
    </xf>
    <xf numFmtId="0" fontId="98" fillId="41" borderId="26" xfId="0" applyFont="1" applyFill="1" applyBorder="1" applyAlignment="1">
      <alignment vertical="center"/>
    </xf>
    <xf numFmtId="0" fontId="98" fillId="41" borderId="26" xfId="0" applyFont="1" applyFill="1" applyBorder="1" applyAlignment="1">
      <alignment vertical="center" wrapText="1"/>
    </xf>
    <xf numFmtId="0" fontId="98" fillId="54" borderId="0" xfId="0" applyFont="1" applyFill="1" applyAlignment="1">
      <alignment horizontal="center"/>
    </xf>
    <xf numFmtId="0" fontId="98" fillId="54" borderId="2" xfId="0" applyFont="1" applyFill="1" applyBorder="1" applyAlignment="1">
      <alignment horizontal="center" vertical="center" wrapText="1"/>
    </xf>
    <xf numFmtId="0" fontId="98" fillId="54" borderId="3" xfId="0" applyFont="1" applyFill="1" applyBorder="1" applyAlignment="1">
      <alignment horizontal="center" vertical="center"/>
    </xf>
    <xf numFmtId="0" fontId="98" fillId="54" borderId="0" xfId="0" applyFont="1" applyFill="1" applyAlignment="1">
      <alignment horizontal="center" vertical="center"/>
    </xf>
    <xf numFmtId="0" fontId="98" fillId="54" borderId="1" xfId="0" applyFont="1" applyFill="1" applyBorder="1" applyAlignment="1">
      <alignment horizontal="center" vertical="center"/>
    </xf>
    <xf numFmtId="0" fontId="98" fillId="0" borderId="1" xfId="0" applyFont="1" applyBorder="1" applyAlignment="1">
      <alignment horizontal="center" vertical="center"/>
    </xf>
    <xf numFmtId="0" fontId="98" fillId="0" borderId="46" xfId="0" applyFont="1" applyBorder="1" applyAlignment="1">
      <alignment horizontal="center" vertical="center"/>
    </xf>
    <xf numFmtId="0" fontId="98" fillId="0" borderId="9" xfId="0" applyFont="1" applyBorder="1" applyAlignment="1">
      <alignment horizontal="center" vertical="center"/>
    </xf>
    <xf numFmtId="0" fontId="98" fillId="0" borderId="26" xfId="0" applyFont="1" applyBorder="1" applyAlignment="1">
      <alignment horizontal="center" vertical="center"/>
    </xf>
    <xf numFmtId="0" fontId="98" fillId="0" borderId="0" xfId="0" applyFont="1" applyAlignment="1">
      <alignment horizontal="center" vertical="center"/>
    </xf>
    <xf numFmtId="0" fontId="99" fillId="54" borderId="1" xfId="0" applyFont="1" applyFill="1" applyBorder="1" applyAlignment="1">
      <alignment vertical="center"/>
    </xf>
    <xf numFmtId="0" fontId="99" fillId="54" borderId="46" xfId="0" applyFont="1" applyFill="1" applyBorder="1" applyAlignment="1">
      <alignment vertical="center"/>
    </xf>
    <xf numFmtId="0" fontId="99" fillId="54" borderId="46" xfId="0" applyFont="1" applyFill="1" applyBorder="1" applyAlignment="1">
      <alignment horizontal="center" vertical="center" wrapText="1"/>
    </xf>
    <xf numFmtId="0" fontId="98" fillId="54" borderId="88" xfId="0" applyFont="1" applyFill="1" applyBorder="1" applyAlignment="1">
      <alignment horizontal="center" vertical="center"/>
    </xf>
    <xf numFmtId="0" fontId="98" fillId="54" borderId="18" xfId="0" applyFont="1" applyFill="1" applyBorder="1" applyAlignment="1">
      <alignment horizontal="center" vertical="center"/>
    </xf>
    <xf numFmtId="0" fontId="98" fillId="54" borderId="18" xfId="0" applyFont="1" applyFill="1" applyBorder="1" applyAlignment="1">
      <alignment horizontal="center" vertical="center" wrapText="1"/>
    </xf>
    <xf numFmtId="0" fontId="98" fillId="40" borderId="26" xfId="0" applyFont="1" applyFill="1" applyBorder="1" applyAlignment="1">
      <alignment vertical="center"/>
    </xf>
    <xf numFmtId="0" fontId="98" fillId="40" borderId="26" xfId="0" applyFont="1" applyFill="1" applyBorder="1" applyAlignment="1">
      <alignment vertical="center" wrapText="1"/>
    </xf>
    <xf numFmtId="0" fontId="79" fillId="43" borderId="0" xfId="0" applyFont="1" applyFill="1" applyAlignment="1">
      <alignment wrapText="1"/>
    </xf>
    <xf numFmtId="9" fontId="45" fillId="0" borderId="61" xfId="29" applyFont="1" applyFill="1" applyBorder="1" applyAlignment="1">
      <alignment horizontal="center"/>
    </xf>
    <xf numFmtId="1" fontId="45" fillId="0" borderId="45" xfId="0" applyNumberFormat="1" applyFont="1" applyBorder="1" applyAlignment="1">
      <alignment horizontal="center"/>
    </xf>
    <xf numFmtId="0" fontId="83" fillId="44" borderId="9" xfId="0" applyFont="1" applyFill="1" applyBorder="1" applyAlignment="1">
      <alignment horizontal="center"/>
    </xf>
    <xf numFmtId="166" fontId="83" fillId="44" borderId="9" xfId="0" applyNumberFormat="1" applyFont="1" applyFill="1" applyBorder="1" applyAlignment="1">
      <alignment horizontal="center"/>
    </xf>
    <xf numFmtId="1" fontId="83" fillId="44" borderId="27" xfId="0" applyNumberFormat="1" applyFont="1" applyFill="1" applyBorder="1" applyAlignment="1">
      <alignment horizontal="center"/>
    </xf>
    <xf numFmtId="0" fontId="83" fillId="44" borderId="27" xfId="0" applyFont="1" applyFill="1" applyBorder="1" applyAlignment="1">
      <alignment horizontal="center"/>
    </xf>
    <xf numFmtId="0" fontId="83" fillId="44" borderId="118" xfId="0" applyFont="1" applyFill="1" applyBorder="1" applyAlignment="1">
      <alignment horizontal="center"/>
    </xf>
    <xf numFmtId="166" fontId="83" fillId="44" borderId="118" xfId="0" applyNumberFormat="1" applyFont="1" applyFill="1" applyBorder="1" applyAlignment="1">
      <alignment horizontal="center"/>
    </xf>
    <xf numFmtId="1" fontId="83" fillId="44" borderId="118" xfId="0" applyNumberFormat="1" applyFont="1" applyFill="1" applyBorder="1" applyAlignment="1">
      <alignment horizontal="center"/>
    </xf>
    <xf numFmtId="0" fontId="83" fillId="44" borderId="91" xfId="0" applyFont="1" applyFill="1" applyBorder="1" applyAlignment="1">
      <alignment horizontal="center" vertical="center"/>
    </xf>
    <xf numFmtId="1" fontId="83" fillId="44" borderId="124" xfId="0" applyNumberFormat="1" applyFont="1" applyFill="1" applyBorder="1" applyAlignment="1">
      <alignment horizontal="center"/>
    </xf>
    <xf numFmtId="1" fontId="83" fillId="44" borderId="91" xfId="0" applyNumberFormat="1" applyFont="1" applyFill="1" applyBorder="1" applyAlignment="1">
      <alignment horizontal="center"/>
    </xf>
    <xf numFmtId="0" fontId="50" fillId="43" borderId="0" xfId="0" applyFont="1" applyFill="1" applyAlignment="1">
      <alignment horizontal="center" wrapText="1"/>
    </xf>
    <xf numFmtId="0" fontId="83" fillId="44" borderId="91" xfId="0" applyFont="1" applyFill="1" applyBorder="1" applyAlignment="1">
      <alignment horizontal="center"/>
    </xf>
    <xf numFmtId="0" fontId="79" fillId="43" borderId="13" xfId="0" applyFont="1" applyFill="1" applyBorder="1" applyAlignment="1">
      <alignment horizontal="center" wrapText="1"/>
    </xf>
    <xf numFmtId="0" fontId="79" fillId="18" borderId="59" xfId="0" applyFont="1" applyFill="1" applyBorder="1" applyAlignment="1">
      <alignment horizontal="center" wrapText="1"/>
    </xf>
    <xf numFmtId="1" fontId="48" fillId="0" borderId="118" xfId="0" applyNumberFormat="1" applyFont="1" applyBorder="1" applyAlignment="1">
      <alignment horizontal="center"/>
    </xf>
    <xf numFmtId="166" fontId="48" fillId="0" borderId="118" xfId="0" applyNumberFormat="1" applyFont="1" applyBorder="1" applyAlignment="1">
      <alignment horizontal="center"/>
    </xf>
    <xf numFmtId="0" fontId="45" fillId="0" borderId="118" xfId="0" applyFont="1" applyBorder="1" applyAlignment="1">
      <alignment horizontal="center"/>
    </xf>
    <xf numFmtId="0" fontId="45" fillId="0" borderId="118" xfId="0" applyFont="1" applyBorder="1" applyAlignment="1">
      <alignment horizontal="center" vertical="center"/>
    </xf>
    <xf numFmtId="1" fontId="45" fillId="0" borderId="118" xfId="0" applyNumberFormat="1" applyFont="1" applyBorder="1" applyAlignment="1">
      <alignment horizontal="center"/>
    </xf>
    <xf numFmtId="0" fontId="45" fillId="0" borderId="92" xfId="0" applyFont="1" applyBorder="1" applyAlignment="1">
      <alignment horizontal="center"/>
    </xf>
    <xf numFmtId="0" fontId="45" fillId="0" borderId="36" xfId="0" applyFont="1" applyBorder="1" applyAlignment="1">
      <alignment horizontal="center"/>
    </xf>
    <xf numFmtId="0" fontId="45" fillId="3" borderId="92" xfId="0" applyFont="1" applyFill="1" applyBorder="1" applyAlignment="1">
      <alignment horizontal="center"/>
    </xf>
    <xf numFmtId="0" fontId="45" fillId="3" borderId="36" xfId="0" applyFont="1" applyFill="1" applyBorder="1" applyAlignment="1">
      <alignment horizontal="center"/>
    </xf>
    <xf numFmtId="0" fontId="79" fillId="17" borderId="13" xfId="0" applyFont="1" applyFill="1" applyBorder="1" applyAlignment="1">
      <alignment horizontal="left" vertical="center" wrapText="1"/>
    </xf>
    <xf numFmtId="0" fontId="82" fillId="0" borderId="0" xfId="0" pivotButton="1" applyFont="1"/>
    <xf numFmtId="0" fontId="82" fillId="0" borderId="0" xfId="0" applyFont="1" applyAlignment="1">
      <alignment horizontal="left"/>
    </xf>
    <xf numFmtId="9" fontId="82" fillId="0" borderId="0" xfId="0" applyNumberFormat="1" applyFont="1" applyAlignment="1">
      <alignment horizontal="center"/>
    </xf>
    <xf numFmtId="0" fontId="79" fillId="42" borderId="13" xfId="0" applyFont="1" applyFill="1" applyBorder="1" applyAlignment="1">
      <alignment wrapText="1"/>
    </xf>
    <xf numFmtId="0" fontId="7" fillId="0" borderId="69" xfId="0" applyFont="1" applyBorder="1" applyAlignment="1">
      <alignment horizontal="center" vertical="center" wrapText="1"/>
    </xf>
    <xf numFmtId="166" fontId="93" fillId="0" borderId="131" xfId="0" applyNumberFormat="1" applyFont="1" applyBorder="1" applyAlignment="1">
      <alignment horizontal="center" vertical="center"/>
    </xf>
    <xf numFmtId="178" fontId="93" fillId="0" borderId="69" xfId="0" applyNumberFormat="1" applyFont="1" applyBorder="1" applyAlignment="1">
      <alignment horizontal="center" vertical="center"/>
    </xf>
    <xf numFmtId="0" fontId="93" fillId="0" borderId="69" xfId="0" applyFont="1" applyBorder="1" applyAlignment="1">
      <alignment horizontal="center" vertical="center"/>
    </xf>
    <xf numFmtId="166" fontId="93" fillId="0" borderId="0" xfId="0" applyNumberFormat="1" applyFont="1" applyAlignment="1">
      <alignment horizontal="center" vertical="center"/>
    </xf>
    <xf numFmtId="0" fontId="68" fillId="43" borderId="13" xfId="0" applyFont="1" applyFill="1" applyBorder="1" applyAlignment="1">
      <alignment horizontal="center" wrapText="1"/>
    </xf>
    <xf numFmtId="0" fontId="68" fillId="42" borderId="13" xfId="0" applyFont="1" applyFill="1" applyBorder="1" applyAlignment="1">
      <alignment horizontal="left" wrapText="1"/>
    </xf>
    <xf numFmtId="0" fontId="68" fillId="42" borderId="14" xfId="0" applyFont="1" applyFill="1" applyBorder="1" applyAlignment="1">
      <alignment wrapText="1"/>
    </xf>
    <xf numFmtId="0" fontId="68" fillId="43" borderId="14" xfId="0" applyFont="1" applyFill="1" applyBorder="1" applyAlignment="1">
      <alignment horizontal="center" vertical="center" wrapText="1"/>
    </xf>
    <xf numFmtId="0" fontId="68" fillId="43" borderId="14" xfId="0" applyFont="1" applyFill="1" applyBorder="1" applyAlignment="1">
      <alignment horizontal="center" wrapText="1"/>
    </xf>
    <xf numFmtId="1" fontId="45" fillId="55" borderId="9" xfId="0" applyNumberFormat="1" applyFont="1" applyFill="1" applyBorder="1" applyAlignment="1">
      <alignment horizontal="center"/>
    </xf>
    <xf numFmtId="1" fontId="45" fillId="55" borderId="25" xfId="0" applyNumberFormat="1" applyFont="1" applyFill="1" applyBorder="1" applyAlignment="1">
      <alignment horizontal="center"/>
    </xf>
    <xf numFmtId="1" fontId="67" fillId="0" borderId="1" xfId="0" applyNumberFormat="1" applyFont="1" applyBorder="1" applyAlignment="1">
      <alignment horizontal="center"/>
    </xf>
    <xf numFmtId="0" fontId="45" fillId="55" borderId="0" xfId="0" applyFont="1" applyFill="1" applyAlignment="1">
      <alignment horizontal="center"/>
    </xf>
    <xf numFmtId="179" fontId="45" fillId="0" borderId="0" xfId="0" applyNumberFormat="1" applyFont="1" applyAlignment="1">
      <alignment horizontal="center"/>
    </xf>
    <xf numFmtId="0" fontId="79" fillId="55" borderId="0" xfId="0" applyFont="1" applyFill="1" applyAlignment="1">
      <alignment horizontal="center"/>
    </xf>
    <xf numFmtId="0" fontId="79" fillId="43" borderId="0" xfId="0" applyFont="1" applyFill="1" applyAlignment="1">
      <alignment horizontal="center" vertical="center" wrapText="1"/>
    </xf>
    <xf numFmtId="0" fontId="45" fillId="42" borderId="0" xfId="0" applyFont="1" applyFill="1"/>
    <xf numFmtId="0" fontId="45" fillId="42" borderId="14" xfId="0" applyFont="1" applyFill="1" applyBorder="1"/>
    <xf numFmtId="1" fontId="45" fillId="28" borderId="45" xfId="0" applyNumberFormat="1" applyFont="1" applyFill="1" applyBorder="1" applyAlignment="1">
      <alignment horizontal="center"/>
    </xf>
    <xf numFmtId="9" fontId="45" fillId="6" borderId="3" xfId="29" applyFont="1" applyFill="1" applyBorder="1" applyAlignment="1">
      <alignment horizontal="center"/>
    </xf>
    <xf numFmtId="0" fontId="45" fillId="11" borderId="9" xfId="0" applyFont="1" applyFill="1" applyBorder="1" applyAlignment="1">
      <alignment horizontal="center" wrapText="1"/>
    </xf>
    <xf numFmtId="0" fontId="45" fillId="12" borderId="9" xfId="0" applyFont="1" applyFill="1" applyBorder="1" applyAlignment="1">
      <alignment horizontal="center" wrapText="1"/>
    </xf>
    <xf numFmtId="0" fontId="46" fillId="0" borderId="97" xfId="0" applyFont="1" applyBorder="1" applyAlignment="1">
      <alignment wrapText="1"/>
    </xf>
    <xf numFmtId="0" fontId="84" fillId="47" borderId="89" xfId="0" applyFont="1" applyFill="1" applyBorder="1" applyAlignment="1">
      <alignment wrapText="1"/>
    </xf>
    <xf numFmtId="0" fontId="45" fillId="55" borderId="132" xfId="0" applyFont="1" applyFill="1" applyBorder="1" applyAlignment="1">
      <alignment horizontal="center" wrapText="1"/>
    </xf>
    <xf numFmtId="0" fontId="46" fillId="41" borderId="133" xfId="0" applyFont="1" applyFill="1" applyBorder="1" applyAlignment="1">
      <alignment wrapText="1"/>
    </xf>
    <xf numFmtId="0" fontId="46" fillId="48" borderId="133" xfId="0" applyFont="1" applyFill="1" applyBorder="1" applyAlignment="1">
      <alignment wrapText="1"/>
    </xf>
    <xf numFmtId="0" fontId="45" fillId="0" borderId="132" xfId="0" applyFont="1" applyBorder="1"/>
    <xf numFmtId="0" fontId="45" fillId="43" borderId="14" xfId="0" applyFont="1" applyFill="1" applyBorder="1" applyAlignment="1">
      <alignment horizontal="center" wrapText="1"/>
    </xf>
    <xf numFmtId="0" fontId="45" fillId="42" borderId="14" xfId="0" applyFont="1" applyFill="1" applyBorder="1" applyAlignment="1">
      <alignment horizontal="left" wrapText="1"/>
    </xf>
    <xf numFmtId="1" fontId="45" fillId="2" borderId="1" xfId="0" applyNumberFormat="1" applyFont="1" applyFill="1" applyBorder="1" applyAlignment="1">
      <alignment horizontal="center" wrapText="1"/>
    </xf>
    <xf numFmtId="1" fontId="79" fillId="0" borderId="0" xfId="0" applyNumberFormat="1" applyFont="1" applyAlignment="1">
      <alignment horizontal="center"/>
    </xf>
    <xf numFmtId="1" fontId="45" fillId="0" borderId="0" xfId="0" applyNumberFormat="1" applyFont="1"/>
    <xf numFmtId="0" fontId="67" fillId="42" borderId="13" xfId="0" applyFont="1" applyFill="1" applyBorder="1" applyAlignment="1">
      <alignment wrapText="1"/>
    </xf>
    <xf numFmtId="0" fontId="67" fillId="43" borderId="13" xfId="0" applyFont="1" applyFill="1" applyBorder="1" applyAlignment="1">
      <alignment horizontal="center" wrapText="1"/>
    </xf>
    <xf numFmtId="0" fontId="67" fillId="42" borderId="0" xfId="0" applyFont="1" applyFill="1" applyAlignment="1">
      <alignment wrapText="1"/>
    </xf>
    <xf numFmtId="0" fontId="67" fillId="43" borderId="0" xfId="0" applyFont="1" applyFill="1" applyAlignment="1">
      <alignment horizontal="center" wrapText="1"/>
    </xf>
    <xf numFmtId="0" fontId="67" fillId="43" borderId="0" xfId="0" applyFont="1" applyFill="1" applyAlignment="1">
      <alignment wrapText="1"/>
    </xf>
    <xf numFmtId="0" fontId="67" fillId="42" borderId="14" xfId="0" applyFont="1" applyFill="1" applyBorder="1" applyAlignment="1">
      <alignment wrapText="1"/>
    </xf>
    <xf numFmtId="0" fontId="67" fillId="43" borderId="14" xfId="0" applyFont="1" applyFill="1" applyBorder="1" applyAlignment="1">
      <alignment wrapText="1"/>
    </xf>
    <xf numFmtId="0" fontId="101" fillId="17" borderId="0" xfId="0" applyFont="1" applyFill="1"/>
    <xf numFmtId="1" fontId="45" fillId="55" borderId="0" xfId="0" applyNumberFormat="1" applyFont="1" applyFill="1" applyAlignment="1">
      <alignment horizontal="center"/>
    </xf>
    <xf numFmtId="9" fontId="45" fillId="28" borderId="69" xfId="29" applyFont="1" applyFill="1" applyBorder="1" applyAlignment="1">
      <alignment horizontal="center"/>
    </xf>
    <xf numFmtId="1" fontId="79" fillId="6" borderId="5" xfId="0" applyNumberFormat="1" applyFont="1" applyFill="1" applyBorder="1" applyAlignment="1">
      <alignment horizontal="center"/>
    </xf>
    <xf numFmtId="0" fontId="67" fillId="17" borderId="0" xfId="0" applyFont="1" applyFill="1" applyAlignment="1">
      <alignment horizontal="left" wrapText="1"/>
    </xf>
    <xf numFmtId="176" fontId="68" fillId="0" borderId="80" xfId="0" applyNumberFormat="1" applyFont="1" applyBorder="1" applyAlignment="1">
      <alignment horizontal="center"/>
    </xf>
    <xf numFmtId="1" fontId="67" fillId="0" borderId="85" xfId="0" applyNumberFormat="1" applyFont="1" applyBorder="1" applyAlignment="1">
      <alignment horizontal="center"/>
    </xf>
    <xf numFmtId="1" fontId="67" fillId="0" borderId="71" xfId="0" applyNumberFormat="1" applyFont="1" applyBorder="1" applyAlignment="1">
      <alignment horizontal="center"/>
    </xf>
    <xf numFmtId="0" fontId="67" fillId="55" borderId="0" xfId="0" applyFont="1" applyFill="1" applyAlignment="1">
      <alignment horizontal="center"/>
    </xf>
    <xf numFmtId="9" fontId="45" fillId="0" borderId="135" xfId="29" applyFont="1" applyFill="1" applyBorder="1" applyAlignment="1">
      <alignment horizontal="center"/>
    </xf>
    <xf numFmtId="1" fontId="102" fillId="56" borderId="69" xfId="0" applyNumberFormat="1" applyFont="1" applyFill="1" applyBorder="1" applyAlignment="1">
      <alignment horizontal="center"/>
    </xf>
    <xf numFmtId="1" fontId="102" fillId="57" borderId="69" xfId="0" applyNumberFormat="1" applyFont="1" applyFill="1" applyBorder="1" applyAlignment="1">
      <alignment horizontal="center"/>
    </xf>
    <xf numFmtId="1" fontId="102" fillId="56" borderId="74" xfId="0" applyNumberFormat="1" applyFont="1" applyFill="1" applyBorder="1" applyAlignment="1">
      <alignment horizontal="center"/>
    </xf>
    <xf numFmtId="9" fontId="45" fillId="28" borderId="2" xfId="29" applyFont="1" applyFill="1" applyBorder="1" applyAlignment="1">
      <alignment horizontal="center"/>
    </xf>
    <xf numFmtId="9" fontId="45" fillId="34" borderId="9" xfId="29" applyFont="1" applyFill="1" applyBorder="1" applyAlignment="1">
      <alignment horizontal="center"/>
    </xf>
    <xf numFmtId="0" fontId="104" fillId="58" borderId="88" xfId="0" applyFont="1" applyFill="1" applyBorder="1" applyAlignment="1">
      <alignment horizontal="center" vertical="center"/>
    </xf>
    <xf numFmtId="0" fontId="0" fillId="32" borderId="9" xfId="0" applyFill="1" applyBorder="1" applyAlignment="1">
      <alignment horizontal="center" vertical="center"/>
    </xf>
    <xf numFmtId="0" fontId="103" fillId="32" borderId="9" xfId="0" applyFont="1" applyFill="1" applyBorder="1" applyAlignment="1">
      <alignment horizontal="center" vertical="center"/>
    </xf>
    <xf numFmtId="0" fontId="103" fillId="32" borderId="47" xfId="0" applyFont="1" applyFill="1" applyBorder="1" applyAlignment="1">
      <alignment horizontal="center" vertical="center"/>
    </xf>
    <xf numFmtId="0" fontId="103" fillId="32" borderId="1" xfId="0" applyFont="1" applyFill="1" applyBorder="1" applyAlignment="1">
      <alignment horizontal="center" vertical="center"/>
    </xf>
    <xf numFmtId="1" fontId="0" fillId="32" borderId="1" xfId="0" applyNumberFormat="1" applyFill="1" applyBorder="1" applyAlignment="1">
      <alignment horizontal="center" vertical="center"/>
    </xf>
    <xf numFmtId="1" fontId="0" fillId="32" borderId="45" xfId="0" applyNumberFormat="1" applyFill="1" applyBorder="1" applyAlignment="1">
      <alignment horizontal="center" vertical="center"/>
    </xf>
    <xf numFmtId="0" fontId="0" fillId="32" borderId="1" xfId="0" applyFill="1" applyBorder="1" applyAlignment="1">
      <alignment horizontal="center"/>
    </xf>
    <xf numFmtId="0" fontId="0" fillId="32" borderId="1" xfId="0" applyFill="1" applyBorder="1" applyAlignment="1">
      <alignment vertical="center"/>
    </xf>
    <xf numFmtId="1" fontId="0" fillId="32" borderId="9" xfId="0" applyNumberFormat="1" applyFill="1" applyBorder="1" applyAlignment="1">
      <alignment horizontal="center" vertical="center"/>
    </xf>
    <xf numFmtId="1" fontId="0" fillId="32" borderId="47" xfId="0" applyNumberFormat="1" applyFill="1" applyBorder="1" applyAlignment="1">
      <alignment horizontal="center" vertical="center"/>
    </xf>
    <xf numFmtId="1" fontId="0" fillId="18" borderId="1" xfId="0" applyNumberFormat="1" applyFill="1" applyBorder="1" applyAlignment="1">
      <alignment horizontal="center" vertical="center"/>
    </xf>
    <xf numFmtId="0" fontId="0" fillId="32" borderId="1" xfId="0" applyFill="1" applyBorder="1" applyAlignment="1">
      <alignment horizontal="center" vertical="center"/>
    </xf>
    <xf numFmtId="0" fontId="0" fillId="59" borderId="4" xfId="0" applyFill="1" applyBorder="1" applyAlignment="1">
      <alignment horizontal="center" vertical="center"/>
    </xf>
    <xf numFmtId="0" fontId="103" fillId="59" borderId="5" xfId="0" applyFont="1" applyFill="1" applyBorder="1" applyAlignment="1">
      <alignment horizontal="center" vertical="center"/>
    </xf>
    <xf numFmtId="0" fontId="103" fillId="59" borderId="24" xfId="0" applyFont="1" applyFill="1" applyBorder="1" applyAlignment="1">
      <alignment horizontal="center" vertical="center"/>
    </xf>
    <xf numFmtId="0" fontId="103" fillId="59" borderId="136" xfId="0" applyFont="1" applyFill="1" applyBorder="1" applyAlignment="1">
      <alignment horizontal="center" vertical="center"/>
    </xf>
    <xf numFmtId="0" fontId="103" fillId="59" borderId="6" xfId="0" applyFont="1" applyFill="1" applyBorder="1" applyAlignment="1">
      <alignment horizontal="center" vertical="center"/>
    </xf>
    <xf numFmtId="0" fontId="0" fillId="59" borderId="1" xfId="0" applyFill="1" applyBorder="1" applyAlignment="1">
      <alignment horizontal="center" vertical="center"/>
    </xf>
    <xf numFmtId="1" fontId="0" fillId="59" borderId="1" xfId="0" applyNumberFormat="1" applyFill="1" applyBorder="1" applyAlignment="1">
      <alignment horizontal="center" vertical="center"/>
    </xf>
    <xf numFmtId="1" fontId="0" fillId="59" borderId="45" xfId="0" applyNumberFormat="1" applyFill="1" applyBorder="1" applyAlignment="1">
      <alignment horizontal="center" vertical="center"/>
    </xf>
    <xf numFmtId="0" fontId="0" fillId="59" borderId="137" xfId="0" applyFill="1" applyBorder="1" applyAlignment="1">
      <alignment horizontal="center" vertical="center"/>
    </xf>
    <xf numFmtId="0" fontId="103" fillId="59" borderId="7" xfId="0" applyFont="1" applyFill="1" applyBorder="1" applyAlignment="1">
      <alignment horizontal="center" vertical="center"/>
    </xf>
    <xf numFmtId="0" fontId="0" fillId="59" borderId="8" xfId="0" applyFill="1" applyBorder="1" applyAlignment="1">
      <alignment horizontal="center" vertical="center"/>
    </xf>
    <xf numFmtId="1" fontId="0" fillId="59" borderId="8" xfId="0" applyNumberFormat="1" applyFill="1" applyBorder="1" applyAlignment="1">
      <alignment horizontal="center" vertical="center"/>
    </xf>
    <xf numFmtId="1" fontId="0" fillId="59" borderId="44" xfId="0" applyNumberFormat="1" applyFill="1" applyBorder="1" applyAlignment="1">
      <alignment horizontal="center" vertical="center"/>
    </xf>
    <xf numFmtId="0" fontId="0" fillId="59" borderId="109" xfId="0" applyFill="1" applyBorder="1" applyAlignment="1">
      <alignment horizontal="center" vertical="center"/>
    </xf>
    <xf numFmtId="1" fontId="103" fillId="59" borderId="138" xfId="0" applyNumberFormat="1" applyFont="1" applyFill="1" applyBorder="1" applyAlignment="1">
      <alignment horizontal="center" vertical="center"/>
    </xf>
    <xf numFmtId="0" fontId="0" fillId="59" borderId="139" xfId="0" applyFill="1" applyBorder="1" applyAlignment="1">
      <alignment horizontal="center" vertical="center"/>
    </xf>
    <xf numFmtId="0" fontId="103" fillId="61" borderId="42" xfId="0" applyFont="1" applyFill="1" applyBorder="1"/>
    <xf numFmtId="0" fontId="103" fillId="61" borderId="42" xfId="0" applyFont="1" applyFill="1" applyBorder="1" applyAlignment="1">
      <alignment horizontal="center"/>
    </xf>
    <xf numFmtId="0" fontId="0" fillId="59" borderId="5" xfId="0" applyFill="1" applyBorder="1" applyAlignment="1">
      <alignment horizontal="center" vertical="center"/>
    </xf>
    <xf numFmtId="0" fontId="0" fillId="59" borderId="24" xfId="0" applyFill="1" applyBorder="1" applyAlignment="1">
      <alignment horizontal="center" vertical="center"/>
    </xf>
    <xf numFmtId="0" fontId="0" fillId="59" borderId="136" xfId="0" applyFill="1" applyBorder="1" applyAlignment="1">
      <alignment horizontal="center" vertical="center"/>
    </xf>
    <xf numFmtId="0" fontId="0" fillId="59" borderId="6" xfId="0" applyFill="1" applyBorder="1" applyAlignment="1">
      <alignment horizontal="center" vertical="center"/>
    </xf>
    <xf numFmtId="0" fontId="0" fillId="59" borderId="7" xfId="0" applyFill="1" applyBorder="1" applyAlignment="1">
      <alignment horizontal="center" vertical="center"/>
    </xf>
    <xf numFmtId="1" fontId="0" fillId="59" borderId="138" xfId="0" applyNumberFormat="1" applyFill="1" applyBorder="1" applyAlignment="1">
      <alignment horizontal="center" vertical="center"/>
    </xf>
    <xf numFmtId="1" fontId="0" fillId="32" borderId="86" xfId="0" applyNumberFormat="1" applyFill="1" applyBorder="1" applyAlignment="1">
      <alignment horizontal="center" vertical="center"/>
    </xf>
    <xf numFmtId="0" fontId="103" fillId="32" borderId="86" xfId="0" applyFont="1" applyFill="1" applyBorder="1" applyAlignment="1">
      <alignment horizontal="center" vertical="center"/>
    </xf>
    <xf numFmtId="1" fontId="0" fillId="32" borderId="82" xfId="0" applyNumberFormat="1" applyFill="1" applyBorder="1" applyAlignment="1">
      <alignment horizontal="center" vertical="center"/>
    </xf>
    <xf numFmtId="0" fontId="104" fillId="58" borderId="66" xfId="0" applyFont="1" applyFill="1" applyBorder="1" applyAlignment="1">
      <alignment horizontal="center"/>
    </xf>
    <xf numFmtId="0" fontId="104" fillId="58" borderId="68" xfId="0" applyFont="1" applyFill="1" applyBorder="1" applyAlignment="1">
      <alignment horizontal="center" vertical="center"/>
    </xf>
    <xf numFmtId="166" fontId="0" fillId="32" borderId="1" xfId="0" applyNumberFormat="1" applyFill="1" applyBorder="1" applyAlignment="1">
      <alignment horizontal="center" vertical="center"/>
    </xf>
    <xf numFmtId="0" fontId="7" fillId="0" borderId="0" xfId="0" applyFont="1" applyAlignment="1">
      <alignment horizontal="center" vertical="center" wrapText="1"/>
    </xf>
    <xf numFmtId="9" fontId="38" fillId="0" borderId="0" xfId="0" applyNumberFormat="1" applyFont="1" applyAlignment="1">
      <alignment horizontal="center"/>
    </xf>
    <xf numFmtId="0" fontId="108" fillId="0" borderId="0" xfId="0" applyFont="1" applyAlignment="1">
      <alignment horizontal="center"/>
    </xf>
    <xf numFmtId="0" fontId="109" fillId="0" borderId="0" xfId="0" applyFont="1" applyAlignment="1">
      <alignment horizontal="center" vertical="center"/>
    </xf>
    <xf numFmtId="9" fontId="0" fillId="0" borderId="0" xfId="0" applyNumberFormat="1" applyAlignment="1">
      <alignment horizontal="center"/>
    </xf>
    <xf numFmtId="0" fontId="103" fillId="32" borderId="103" xfId="0" applyFont="1" applyFill="1" applyBorder="1" applyAlignment="1">
      <alignment horizontal="center"/>
    </xf>
    <xf numFmtId="1" fontId="0" fillId="32" borderId="69" xfId="0" applyNumberFormat="1" applyFill="1" applyBorder="1" applyAlignment="1">
      <alignment horizontal="center"/>
    </xf>
    <xf numFmtId="0" fontId="0" fillId="24" borderId="9" xfId="0" applyFill="1" applyBorder="1"/>
    <xf numFmtId="180" fontId="0" fillId="32" borderId="1" xfId="0" applyNumberFormat="1" applyFill="1" applyBorder="1" applyAlignment="1">
      <alignment horizontal="center" vertical="center"/>
    </xf>
    <xf numFmtId="0" fontId="103" fillId="32" borderId="82" xfId="0" applyFont="1" applyFill="1" applyBorder="1" applyAlignment="1">
      <alignment horizontal="center"/>
    </xf>
    <xf numFmtId="0" fontId="0" fillId="24" borderId="1" xfId="0" applyFill="1" applyBorder="1"/>
    <xf numFmtId="0" fontId="99" fillId="32" borderId="1" xfId="0" applyFont="1" applyFill="1" applyBorder="1" applyAlignment="1">
      <alignment horizontal="center"/>
    </xf>
    <xf numFmtId="0" fontId="99" fillId="32" borderId="9" xfId="0" applyFont="1" applyFill="1" applyBorder="1" applyAlignment="1">
      <alignment horizontal="center"/>
    </xf>
    <xf numFmtId="0" fontId="110" fillId="63" borderId="1" xfId="0" applyFont="1" applyFill="1" applyBorder="1" applyAlignment="1">
      <alignment horizontal="center" vertical="center"/>
    </xf>
    <xf numFmtId="9" fontId="69" fillId="41" borderId="1" xfId="0" applyNumberFormat="1" applyFont="1" applyFill="1" applyBorder="1" applyAlignment="1">
      <alignment horizontal="center"/>
    </xf>
    <xf numFmtId="0" fontId="69" fillId="64" borderId="1" xfId="0" applyFont="1" applyFill="1" applyBorder="1" applyAlignment="1">
      <alignment horizontal="center"/>
    </xf>
    <xf numFmtId="9" fontId="69" fillId="48" borderId="1" xfId="0" applyNumberFormat="1" applyFont="1" applyFill="1" applyBorder="1" applyAlignment="1">
      <alignment horizontal="center"/>
    </xf>
    <xf numFmtId="9" fontId="111" fillId="49" borderId="1" xfId="0" applyNumberFormat="1" applyFont="1" applyFill="1" applyBorder="1" applyAlignment="1">
      <alignment horizontal="center"/>
    </xf>
    <xf numFmtId="9" fontId="111" fillId="50" borderId="1" xfId="0" applyNumberFormat="1" applyFont="1" applyFill="1" applyBorder="1" applyAlignment="1">
      <alignment horizontal="center"/>
    </xf>
    <xf numFmtId="9" fontId="36" fillId="65" borderId="1" xfId="0" applyNumberFormat="1" applyFont="1" applyFill="1" applyBorder="1" applyAlignment="1">
      <alignment horizontal="center"/>
    </xf>
    <xf numFmtId="0" fontId="79" fillId="0" borderId="9" xfId="0" applyFont="1" applyBorder="1" applyAlignment="1">
      <alignment horizontal="center"/>
    </xf>
    <xf numFmtId="0" fontId="79" fillId="0" borderId="114" xfId="0" applyFont="1" applyBorder="1" applyAlignment="1">
      <alignment horizontal="center"/>
    </xf>
    <xf numFmtId="0" fontId="78" fillId="42" borderId="0" xfId="0" applyFont="1" applyFill="1" applyAlignment="1">
      <alignment wrapText="1"/>
    </xf>
    <xf numFmtId="0" fontId="78" fillId="43" borderId="0" xfId="0" applyFont="1" applyFill="1" applyAlignment="1">
      <alignment horizontal="center" wrapText="1"/>
    </xf>
    <xf numFmtId="0" fontId="98" fillId="0" borderId="4" xfId="0" applyFont="1" applyBorder="1"/>
    <xf numFmtId="0" fontId="98" fillId="0" borderId="140" xfId="0" applyFont="1" applyBorder="1"/>
    <xf numFmtId="0" fontId="98" fillId="0" borderId="16" xfId="0" applyFont="1" applyBorder="1"/>
    <xf numFmtId="0" fontId="98" fillId="0" borderId="145" xfId="0" applyFont="1" applyBorder="1"/>
    <xf numFmtId="0" fontId="98" fillId="67" borderId="16" xfId="0" applyFont="1" applyFill="1" applyBorder="1"/>
    <xf numFmtId="0" fontId="98" fillId="67" borderId="145" xfId="0" applyFont="1" applyFill="1" applyBorder="1"/>
    <xf numFmtId="0" fontId="98" fillId="65" borderId="16" xfId="0" applyFont="1" applyFill="1" applyBorder="1"/>
    <xf numFmtId="0" fontId="98" fillId="65" borderId="145" xfId="0" applyFont="1" applyFill="1" applyBorder="1"/>
    <xf numFmtId="0" fontId="98" fillId="65" borderId="126" xfId="0" applyFont="1" applyFill="1" applyBorder="1"/>
    <xf numFmtId="0" fontId="98" fillId="65" borderId="17" xfId="0" applyFont="1" applyFill="1" applyBorder="1"/>
    <xf numFmtId="0" fontId="98" fillId="67" borderId="15" xfId="0" applyFont="1" applyFill="1" applyBorder="1"/>
    <xf numFmtId="0" fontId="98" fillId="67" borderId="39" xfId="0" applyFont="1" applyFill="1" applyBorder="1"/>
    <xf numFmtId="0" fontId="98" fillId="65" borderId="6" xfId="0" applyFont="1" applyFill="1" applyBorder="1"/>
    <xf numFmtId="0" fontId="98" fillId="65" borderId="141" xfId="0" applyFont="1" applyFill="1" applyBorder="1"/>
    <xf numFmtId="0" fontId="113" fillId="32" borderId="1" xfId="0" applyFont="1" applyFill="1" applyBorder="1" applyAlignment="1">
      <alignment horizontal="center" vertical="center"/>
    </xf>
    <xf numFmtId="0" fontId="103" fillId="0" borderId="0" xfId="0" applyFont="1" applyAlignment="1">
      <alignment vertical="center" wrapText="1"/>
    </xf>
    <xf numFmtId="0" fontId="107" fillId="0" borderId="0" xfId="0" applyFont="1" applyAlignment="1">
      <alignment vertical="center" wrapText="1"/>
    </xf>
    <xf numFmtId="0" fontId="99" fillId="66" borderId="37" xfId="0" applyFont="1" applyFill="1" applyBorder="1" applyAlignment="1">
      <alignment horizontal="center" vertical="center" wrapText="1"/>
    </xf>
    <xf numFmtId="0" fontId="99" fillId="66" borderId="51" xfId="0" applyFont="1" applyFill="1" applyBorder="1" applyAlignment="1">
      <alignment horizontal="center" vertical="center"/>
    </xf>
    <xf numFmtId="1" fontId="7" fillId="32" borderId="1" xfId="0" applyNumberFormat="1" applyFont="1" applyFill="1" applyBorder="1" applyAlignment="1">
      <alignment horizontal="center" vertical="center"/>
    </xf>
    <xf numFmtId="0" fontId="7" fillId="32" borderId="1" xfId="0" applyFont="1" applyFill="1" applyBorder="1" applyAlignment="1">
      <alignment horizontal="center"/>
    </xf>
    <xf numFmtId="1" fontId="7" fillId="32" borderId="45" xfId="0" applyNumberFormat="1" applyFont="1" applyFill="1" applyBorder="1" applyAlignment="1">
      <alignment horizontal="center" vertical="center"/>
    </xf>
    <xf numFmtId="1" fontId="7" fillId="32" borderId="82" xfId="0" applyNumberFormat="1" applyFont="1" applyFill="1" applyBorder="1" applyAlignment="1">
      <alignment horizontal="center" vertical="center"/>
    </xf>
    <xf numFmtId="180" fontId="7" fillId="32" borderId="1" xfId="0" applyNumberFormat="1" applyFont="1" applyFill="1" applyBorder="1" applyAlignment="1">
      <alignment horizontal="center" vertical="center"/>
    </xf>
    <xf numFmtId="1" fontId="7" fillId="32" borderId="1" xfId="0" applyNumberFormat="1" applyFont="1" applyFill="1" applyBorder="1" applyAlignment="1">
      <alignment horizontal="center"/>
    </xf>
    <xf numFmtId="1" fontId="7" fillId="32" borderId="69" xfId="0" applyNumberFormat="1" applyFont="1" applyFill="1" applyBorder="1" applyAlignment="1">
      <alignment horizontal="center"/>
    </xf>
    <xf numFmtId="0" fontId="105" fillId="0" borderId="0" xfId="0" applyFont="1" applyAlignment="1">
      <alignment vertical="center"/>
    </xf>
    <xf numFmtId="0" fontId="110" fillId="63" borderId="9" xfId="0" applyFont="1" applyFill="1" applyBorder="1" applyAlignment="1">
      <alignment horizontal="center"/>
    </xf>
    <xf numFmtId="0" fontId="113" fillId="32" borderId="9" xfId="0" applyFont="1" applyFill="1" applyBorder="1" applyAlignment="1">
      <alignment horizontal="center" vertical="center"/>
    </xf>
    <xf numFmtId="0" fontId="103" fillId="32" borderId="9" xfId="0" applyFont="1" applyFill="1" applyBorder="1" applyAlignment="1">
      <alignment horizontal="center"/>
    </xf>
    <xf numFmtId="0" fontId="103" fillId="17" borderId="146" xfId="0" applyFont="1" applyFill="1" applyBorder="1" applyAlignment="1">
      <alignment horizontal="center" vertical="center" wrapText="1"/>
    </xf>
    <xf numFmtId="0" fontId="103" fillId="17" borderId="148" xfId="0" quotePrefix="1" applyFont="1" applyFill="1" applyBorder="1" applyAlignment="1">
      <alignment horizontal="center" vertical="center"/>
    </xf>
    <xf numFmtId="0" fontId="0" fillId="0" borderId="4" xfId="0"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21" borderId="12" xfId="0" applyFill="1" applyBorder="1"/>
    <xf numFmtId="0" fontId="0" fillId="21" borderId="32" xfId="0" applyFill="1" applyBorder="1" applyAlignment="1">
      <alignment horizontal="center"/>
    </xf>
    <xf numFmtId="0" fontId="0" fillId="9" borderId="6" xfId="0" applyFill="1" applyBorder="1"/>
    <xf numFmtId="0" fontId="0" fillId="9" borderId="29" xfId="0" applyFill="1" applyBorder="1" applyAlignment="1">
      <alignment horizontal="center" vertical="center"/>
    </xf>
    <xf numFmtId="0" fontId="0" fillId="9" borderId="7" xfId="0" applyFill="1" applyBorder="1"/>
    <xf numFmtId="0" fontId="0" fillId="9" borderId="30" xfId="0" applyFill="1" applyBorder="1" applyAlignment="1">
      <alignment horizontal="center"/>
    </xf>
    <xf numFmtId="0" fontId="0" fillId="21" borderId="7" xfId="0" applyFill="1" applyBorder="1"/>
    <xf numFmtId="0" fontId="0" fillId="21" borderId="30" xfId="0" applyFill="1" applyBorder="1" applyAlignment="1">
      <alignment horizontal="center"/>
    </xf>
    <xf numFmtId="0" fontId="0" fillId="9" borderId="4" xfId="0" applyFill="1" applyBorder="1"/>
    <xf numFmtId="0" fontId="0" fillId="9" borderId="28" xfId="0" applyFill="1" applyBorder="1" applyAlignment="1">
      <alignment horizontal="center" vertical="center"/>
    </xf>
    <xf numFmtId="0" fontId="0" fillId="21" borderId="30" xfId="0" applyFill="1" applyBorder="1" applyAlignment="1">
      <alignment horizontal="center" vertical="center"/>
    </xf>
    <xf numFmtId="0" fontId="0" fillId="9" borderId="16" xfId="0" applyFill="1" applyBorder="1"/>
    <xf numFmtId="0" fontId="0" fillId="9" borderId="31" xfId="0" applyFill="1" applyBorder="1" applyAlignment="1">
      <alignment horizontal="center" vertical="center"/>
    </xf>
    <xf numFmtId="1" fontId="67" fillId="0" borderId="74" xfId="0" applyNumberFormat="1" applyFont="1" applyBorder="1" applyAlignment="1">
      <alignment horizontal="center"/>
    </xf>
    <xf numFmtId="1" fontId="79" fillId="0" borderId="71" xfId="0" applyNumberFormat="1" applyFont="1" applyBorder="1" applyAlignment="1">
      <alignment horizontal="center"/>
    </xf>
    <xf numFmtId="1" fontId="102" fillId="55" borderId="77" xfId="0" applyNumberFormat="1" applyFont="1" applyFill="1" applyBorder="1" applyAlignment="1">
      <alignment horizontal="center"/>
    </xf>
    <xf numFmtId="1" fontId="45" fillId="55" borderId="134" xfId="0" applyNumberFormat="1" applyFont="1" applyFill="1" applyBorder="1" applyAlignment="1">
      <alignment horizontal="center"/>
    </xf>
    <xf numFmtId="9" fontId="45" fillId="0" borderId="71" xfId="0" applyNumberFormat="1" applyFont="1" applyBorder="1" applyAlignment="1">
      <alignment horizontal="center"/>
    </xf>
    <xf numFmtId="1" fontId="45" fillId="0" borderId="134" xfId="0" applyNumberFormat="1" applyFont="1" applyBorder="1" applyAlignment="1">
      <alignment horizontal="center"/>
    </xf>
    <xf numFmtId="166" fontId="45" fillId="0" borderId="71" xfId="0" applyNumberFormat="1" applyFont="1" applyBorder="1" applyAlignment="1">
      <alignment horizontal="center" vertical="center"/>
    </xf>
    <xf numFmtId="176" fontId="45" fillId="0" borderId="71" xfId="0" applyNumberFormat="1" applyFont="1" applyBorder="1" applyAlignment="1">
      <alignment horizontal="center"/>
    </xf>
    <xf numFmtId="176" fontId="45" fillId="0" borderId="80" xfId="0" applyNumberFormat="1" applyFont="1" applyBorder="1" applyAlignment="1">
      <alignment horizontal="center"/>
    </xf>
    <xf numFmtId="180" fontId="45" fillId="0" borderId="77" xfId="0" applyNumberFormat="1" applyFont="1" applyBorder="1" applyAlignment="1">
      <alignment horizontal="center" vertical="center"/>
    </xf>
    <xf numFmtId="9" fontId="45" fillId="0" borderId="77" xfId="0" applyNumberFormat="1" applyFont="1" applyBorder="1" applyAlignment="1">
      <alignment horizontal="center" vertical="center"/>
    </xf>
    <xf numFmtId="9" fontId="45" fillId="0" borderId="77" xfId="0" applyNumberFormat="1" applyFont="1" applyBorder="1" applyAlignment="1">
      <alignment horizontal="center"/>
    </xf>
    <xf numFmtId="9" fontId="45" fillId="0" borderId="81" xfId="0" applyNumberFormat="1" applyFont="1" applyBorder="1" applyAlignment="1">
      <alignment horizontal="center"/>
    </xf>
    <xf numFmtId="1" fontId="79" fillId="68" borderId="71" xfId="0" applyNumberFormat="1" applyFont="1" applyFill="1" applyBorder="1" applyAlignment="1">
      <alignment horizontal="center"/>
    </xf>
    <xf numFmtId="9" fontId="45" fillId="0" borderId="35" xfId="0" applyNumberFormat="1" applyFont="1" applyBorder="1" applyAlignment="1">
      <alignment horizontal="center" vertical="center"/>
    </xf>
    <xf numFmtId="9" fontId="45" fillId="0" borderId="34" xfId="0" applyNumberFormat="1" applyFont="1" applyBorder="1" applyAlignment="1">
      <alignment horizontal="center" vertical="center"/>
    </xf>
    <xf numFmtId="9" fontId="45" fillId="0" borderId="61" xfId="0" applyNumberFormat="1" applyFont="1" applyBorder="1" applyAlignment="1">
      <alignment horizontal="center" vertical="center"/>
    </xf>
    <xf numFmtId="9" fontId="45" fillId="0" borderId="2" xfId="0" applyNumberFormat="1" applyFont="1" applyBorder="1" applyAlignment="1">
      <alignment horizontal="center" vertical="center"/>
    </xf>
    <xf numFmtId="9" fontId="45" fillId="0" borderId="25" xfId="0" applyNumberFormat="1" applyFont="1" applyBorder="1" applyAlignment="1">
      <alignment horizontal="center" vertical="center"/>
    </xf>
    <xf numFmtId="176" fontId="45" fillId="0" borderId="36" xfId="0" applyNumberFormat="1" applyFont="1" applyBorder="1" applyAlignment="1">
      <alignment horizontal="center" vertical="center"/>
    </xf>
    <xf numFmtId="176" fontId="45" fillId="0" borderId="9" xfId="0" applyNumberFormat="1" applyFont="1" applyBorder="1" applyAlignment="1">
      <alignment horizontal="center" vertical="center"/>
    </xf>
    <xf numFmtId="176" fontId="45" fillId="0" borderId="27" xfId="0" applyNumberFormat="1" applyFont="1" applyBorder="1" applyAlignment="1">
      <alignment horizontal="center" vertical="center"/>
    </xf>
    <xf numFmtId="9" fontId="45" fillId="0" borderId="27" xfId="0" applyNumberFormat="1" applyFont="1" applyBorder="1" applyAlignment="1">
      <alignment horizontal="center" vertical="center"/>
    </xf>
    <xf numFmtId="176" fontId="45" fillId="0" borderId="37" xfId="0" applyNumberFormat="1" applyFont="1" applyBorder="1" applyAlignment="1">
      <alignment horizontal="center" vertical="center"/>
    </xf>
    <xf numFmtId="176" fontId="45" fillId="0" borderId="113" xfId="0" applyNumberFormat="1" applyFont="1" applyBorder="1" applyAlignment="1">
      <alignment horizontal="center" vertical="center"/>
    </xf>
    <xf numFmtId="9" fontId="45" fillId="0" borderId="101" xfId="0" applyNumberFormat="1" applyFont="1" applyBorder="1" applyAlignment="1">
      <alignment horizontal="center" vertical="center"/>
    </xf>
    <xf numFmtId="9" fontId="45" fillId="0" borderId="40" xfId="0" applyNumberFormat="1" applyFont="1" applyBorder="1" applyAlignment="1">
      <alignment horizontal="center" vertical="center"/>
    </xf>
    <xf numFmtId="176" fontId="45" fillId="0" borderId="115" xfId="0" applyNumberFormat="1" applyFont="1" applyBorder="1" applyAlignment="1">
      <alignment horizontal="center" vertical="center"/>
    </xf>
    <xf numFmtId="176" fontId="45" fillId="0" borderId="26" xfId="0" applyNumberFormat="1" applyFont="1" applyBorder="1" applyAlignment="1">
      <alignment horizontal="center" vertical="center"/>
    </xf>
    <xf numFmtId="176" fontId="45" fillId="0" borderId="38" xfId="0" applyNumberFormat="1" applyFont="1" applyBorder="1" applyAlignment="1">
      <alignment horizontal="center" vertical="center"/>
    </xf>
    <xf numFmtId="176" fontId="45" fillId="0" borderId="10" xfId="0" applyNumberFormat="1" applyFont="1" applyBorder="1" applyAlignment="1">
      <alignment horizontal="center" vertical="center"/>
    </xf>
    <xf numFmtId="9" fontId="45" fillId="0" borderId="38" xfId="0" applyNumberFormat="1" applyFont="1" applyBorder="1" applyAlignment="1">
      <alignment horizontal="center" vertical="center"/>
    </xf>
    <xf numFmtId="9" fontId="48" fillId="0" borderId="35" xfId="29" applyFont="1" applyFill="1" applyBorder="1" applyAlignment="1">
      <alignment horizontal="center" vertical="center"/>
    </xf>
    <xf numFmtId="9" fontId="48" fillId="0" borderId="34" xfId="29" applyFont="1" applyFill="1" applyBorder="1" applyAlignment="1">
      <alignment horizontal="center" vertical="center"/>
    </xf>
    <xf numFmtId="9" fontId="48" fillId="0" borderId="61" xfId="29" applyFont="1" applyFill="1" applyBorder="1" applyAlignment="1">
      <alignment horizontal="center" vertical="center"/>
    </xf>
    <xf numFmtId="176" fontId="45" fillId="0" borderId="24" xfId="0" applyNumberFormat="1" applyFont="1" applyBorder="1" applyAlignment="1">
      <alignment horizontal="center" vertical="center"/>
    </xf>
    <xf numFmtId="176" fontId="45" fillId="0" borderId="45" xfId="0" applyNumberFormat="1" applyFont="1" applyBorder="1" applyAlignment="1">
      <alignment horizontal="center" vertical="center"/>
    </xf>
    <xf numFmtId="9" fontId="45" fillId="0" borderId="45" xfId="0" applyNumberFormat="1" applyFont="1" applyBorder="1" applyAlignment="1">
      <alignment horizontal="center" vertical="center"/>
    </xf>
    <xf numFmtId="9" fontId="45" fillId="0" borderId="44" xfId="0" applyNumberFormat="1" applyFont="1" applyBorder="1" applyAlignment="1">
      <alignment horizontal="center" vertical="center"/>
    </xf>
    <xf numFmtId="9" fontId="45" fillId="0" borderId="3" xfId="0" applyNumberFormat="1" applyFont="1" applyBorder="1" applyAlignment="1">
      <alignment horizontal="center" vertical="center"/>
    </xf>
    <xf numFmtId="9" fontId="45" fillId="0" borderId="116" xfId="0" applyNumberFormat="1" applyFont="1" applyBorder="1" applyAlignment="1">
      <alignment horizontal="center" vertical="center"/>
    </xf>
    <xf numFmtId="9" fontId="45" fillId="0" borderId="20" xfId="0" applyNumberFormat="1" applyFont="1" applyBorder="1" applyAlignment="1">
      <alignment horizontal="center" vertical="center"/>
    </xf>
    <xf numFmtId="9" fontId="45" fillId="0" borderId="0" xfId="0" applyNumberFormat="1" applyFont="1" applyAlignment="1">
      <alignment horizontal="center" vertical="center"/>
    </xf>
    <xf numFmtId="9" fontId="45" fillId="0" borderId="14" xfId="0" applyNumberFormat="1" applyFont="1" applyBorder="1" applyAlignment="1">
      <alignment horizontal="center" vertical="center"/>
    </xf>
    <xf numFmtId="9" fontId="45" fillId="6" borderId="2" xfId="29" applyFont="1" applyFill="1" applyBorder="1" applyAlignment="1">
      <alignment horizontal="center" vertical="center"/>
    </xf>
    <xf numFmtId="9" fontId="45" fillId="6" borderId="25" xfId="29" applyFont="1" applyFill="1" applyBorder="1" applyAlignment="1">
      <alignment horizontal="center" vertical="center"/>
    </xf>
    <xf numFmtId="0" fontId="83" fillId="0" borderId="19" xfId="0" applyFont="1" applyBorder="1" applyAlignment="1">
      <alignment horizontal="center"/>
    </xf>
    <xf numFmtId="9" fontId="48" fillId="0" borderId="2" xfId="29" applyFont="1" applyFill="1" applyBorder="1" applyAlignment="1">
      <alignment horizontal="center" vertical="center"/>
    </xf>
    <xf numFmtId="9" fontId="48" fillId="0" borderId="27" xfId="29" applyFont="1" applyFill="1" applyBorder="1" applyAlignment="1">
      <alignment horizontal="center" vertical="center"/>
    </xf>
    <xf numFmtId="9" fontId="48" fillId="0" borderId="25" xfId="29" applyFont="1" applyFill="1" applyBorder="1" applyAlignment="1">
      <alignment horizontal="center" vertical="center"/>
    </xf>
    <xf numFmtId="176" fontId="48" fillId="0" borderId="27" xfId="0" applyNumberFormat="1" applyFont="1" applyBorder="1" applyAlignment="1">
      <alignment horizontal="center" vertical="center"/>
    </xf>
    <xf numFmtId="176" fontId="48" fillId="0" borderId="9" xfId="0" applyNumberFormat="1" applyFont="1" applyBorder="1" applyAlignment="1">
      <alignment horizontal="center" vertical="center"/>
    </xf>
    <xf numFmtId="9" fontId="45" fillId="28" borderId="10" xfId="29" applyFont="1" applyFill="1" applyBorder="1" applyAlignment="1">
      <alignment horizontal="center" vertical="center"/>
    </xf>
    <xf numFmtId="9" fontId="45" fillId="28" borderId="27" xfId="29" applyFont="1" applyFill="1" applyBorder="1" applyAlignment="1">
      <alignment horizontal="center" vertical="center"/>
    </xf>
    <xf numFmtId="9" fontId="45" fillId="28" borderId="114" xfId="29" applyFont="1" applyFill="1" applyBorder="1" applyAlignment="1">
      <alignment horizontal="center" vertical="center"/>
    </xf>
    <xf numFmtId="9" fontId="48" fillId="0" borderId="114" xfId="29" applyFont="1" applyFill="1" applyBorder="1" applyAlignment="1">
      <alignment horizontal="center" vertical="center"/>
    </xf>
    <xf numFmtId="176" fontId="48" fillId="0" borderId="34" xfId="0" applyNumberFormat="1" applyFont="1" applyBorder="1" applyAlignment="1">
      <alignment horizontal="center" vertical="center"/>
    </xf>
    <xf numFmtId="176" fontId="48" fillId="0" borderId="47" xfId="0" applyNumberFormat="1" applyFont="1" applyBorder="1" applyAlignment="1">
      <alignment horizontal="center" vertical="center"/>
    </xf>
    <xf numFmtId="176" fontId="45" fillId="0" borderId="5" xfId="0" applyNumberFormat="1" applyFont="1" applyBorder="1" applyAlignment="1">
      <alignment horizontal="center" vertical="center"/>
    </xf>
    <xf numFmtId="176" fontId="45" fillId="0" borderId="1" xfId="0" applyNumberFormat="1" applyFont="1" applyBorder="1" applyAlignment="1">
      <alignment horizontal="center" vertical="center"/>
    </xf>
    <xf numFmtId="9" fontId="45" fillId="0" borderId="1" xfId="29" applyFont="1" applyBorder="1" applyAlignment="1">
      <alignment horizontal="center" vertical="center"/>
    </xf>
    <xf numFmtId="9" fontId="45" fillId="0" borderId="8" xfId="29" applyFont="1" applyBorder="1" applyAlignment="1">
      <alignment horizontal="center" vertical="center"/>
    </xf>
    <xf numFmtId="176" fontId="48" fillId="0" borderId="5" xfId="0" applyNumberFormat="1" applyFont="1" applyBorder="1" applyAlignment="1">
      <alignment horizontal="center" vertical="center"/>
    </xf>
    <xf numFmtId="176" fontId="48" fillId="0" borderId="1" xfId="0" applyNumberFormat="1" applyFont="1" applyBorder="1" applyAlignment="1">
      <alignment horizontal="center" vertical="center"/>
    </xf>
    <xf numFmtId="176" fontId="48" fillId="0" borderId="91" xfId="0" applyNumberFormat="1" applyFont="1" applyBorder="1" applyAlignment="1">
      <alignment horizontal="center" vertical="center"/>
    </xf>
    <xf numFmtId="176" fontId="48" fillId="0" borderId="36" xfId="0" applyNumberFormat="1" applyFont="1" applyBorder="1" applyAlignment="1">
      <alignment horizontal="center" vertical="center"/>
    </xf>
    <xf numFmtId="176" fontId="48" fillId="0" borderId="26" xfId="0" applyNumberFormat="1" applyFont="1" applyBorder="1" applyAlignment="1">
      <alignment horizontal="center" vertical="center"/>
    </xf>
    <xf numFmtId="9" fontId="45" fillId="0" borderId="2" xfId="29" applyFont="1" applyFill="1" applyBorder="1" applyAlignment="1">
      <alignment horizontal="center" vertical="center"/>
    </xf>
    <xf numFmtId="9" fontId="45" fillId="0" borderId="27" xfId="29" applyFont="1" applyFill="1" applyBorder="1" applyAlignment="1">
      <alignment horizontal="center" vertical="center"/>
    </xf>
    <xf numFmtId="9" fontId="45" fillId="0" borderId="25" xfId="29" applyFont="1" applyFill="1" applyBorder="1" applyAlignment="1">
      <alignment horizontal="center" vertical="center"/>
    </xf>
    <xf numFmtId="176" fontId="48" fillId="0" borderId="62" xfId="0" applyNumberFormat="1" applyFont="1" applyBorder="1" applyAlignment="1">
      <alignment horizontal="center" vertical="center"/>
    </xf>
    <xf numFmtId="166" fontId="45" fillId="0" borderId="36" xfId="0" applyNumberFormat="1" applyFont="1" applyBorder="1" applyAlignment="1">
      <alignment horizontal="center" vertical="center"/>
    </xf>
    <xf numFmtId="166" fontId="45" fillId="0" borderId="9" xfId="0" applyNumberFormat="1" applyFont="1" applyBorder="1" applyAlignment="1">
      <alignment horizontal="center" vertical="center"/>
    </xf>
    <xf numFmtId="9" fontId="48" fillId="0" borderId="20" xfId="29" applyFont="1" applyFill="1" applyBorder="1" applyAlignment="1">
      <alignment horizontal="center" vertical="center"/>
    </xf>
    <xf numFmtId="9" fontId="48" fillId="0" borderId="0" xfId="29" applyFont="1" applyFill="1" applyBorder="1" applyAlignment="1">
      <alignment horizontal="center" vertical="center"/>
    </xf>
    <xf numFmtId="9" fontId="48" fillId="0" borderId="14" xfId="29" applyFont="1" applyFill="1" applyBorder="1" applyAlignment="1">
      <alignment horizontal="center" vertical="center"/>
    </xf>
    <xf numFmtId="0" fontId="45" fillId="0" borderId="35" xfId="0" applyFont="1" applyBorder="1" applyAlignment="1">
      <alignment horizontal="center" vertical="center" wrapText="1"/>
    </xf>
    <xf numFmtId="0" fontId="45" fillId="0" borderId="20" xfId="0" applyFont="1" applyBorder="1" applyAlignment="1">
      <alignment horizontal="center" vertical="center" wrapText="1"/>
    </xf>
    <xf numFmtId="0" fontId="45" fillId="0" borderId="3" xfId="0" applyFont="1" applyBorder="1" applyAlignment="1">
      <alignment horizontal="center" vertical="center" wrapText="1"/>
    </xf>
    <xf numFmtId="0" fontId="45" fillId="14" borderId="45" xfId="0" applyFont="1" applyFill="1" applyBorder="1" applyAlignment="1">
      <alignment horizontal="center"/>
    </xf>
    <xf numFmtId="0" fontId="45" fillId="14" borderId="21" xfId="0" applyFont="1" applyFill="1" applyBorder="1" applyAlignment="1">
      <alignment horizontal="center"/>
    </xf>
    <xf numFmtId="0" fontId="45" fillId="14" borderId="46" xfId="0" applyFont="1" applyFill="1" applyBorder="1" applyAlignment="1">
      <alignment horizontal="center"/>
    </xf>
    <xf numFmtId="1" fontId="45" fillId="15" borderId="1" xfId="0" applyNumberFormat="1" applyFont="1" applyFill="1" applyBorder="1" applyAlignment="1">
      <alignment horizontal="center"/>
    </xf>
    <xf numFmtId="0" fontId="45" fillId="0" borderId="2" xfId="0" applyFont="1" applyBorder="1" applyAlignment="1">
      <alignment horizontal="center" vertical="center" wrapText="1"/>
    </xf>
    <xf numFmtId="0" fontId="45" fillId="0" borderId="9" xfId="0" applyFont="1" applyBorder="1" applyAlignment="1">
      <alignment horizontal="center" vertical="center" wrapText="1"/>
    </xf>
    <xf numFmtId="0" fontId="45" fillId="0" borderId="27" xfId="0" applyFont="1" applyBorder="1" applyAlignment="1">
      <alignment horizontal="center" vertical="center" wrapText="1"/>
    </xf>
    <xf numFmtId="166" fontId="45" fillId="0" borderId="71" xfId="0" applyNumberFormat="1" applyFont="1" applyBorder="1" applyAlignment="1">
      <alignment horizontal="center" vertical="center"/>
    </xf>
    <xf numFmtId="166" fontId="45" fillId="0" borderId="77" xfId="0" applyNumberFormat="1" applyFont="1" applyBorder="1" applyAlignment="1">
      <alignment horizontal="center" vertical="center"/>
    </xf>
    <xf numFmtId="176" fontId="48" fillId="0" borderId="71" xfId="0" applyNumberFormat="1" applyFont="1" applyBorder="1" applyAlignment="1">
      <alignment horizontal="center" vertical="center"/>
    </xf>
    <xf numFmtId="176" fontId="48" fillId="0" borderId="77" xfId="0" applyNumberFormat="1" applyFont="1" applyBorder="1" applyAlignment="1">
      <alignment horizontal="center" vertical="center"/>
    </xf>
    <xf numFmtId="176" fontId="48" fillId="0" borderId="69" xfId="0" applyNumberFormat="1" applyFont="1" applyBorder="1" applyAlignment="1">
      <alignment horizontal="center" vertical="center"/>
    </xf>
    <xf numFmtId="176" fontId="48" fillId="0" borderId="74" xfId="0" applyNumberFormat="1" applyFont="1" applyBorder="1" applyAlignment="1">
      <alignment horizontal="center" vertical="center"/>
    </xf>
    <xf numFmtId="166" fontId="45" fillId="0" borderId="69" xfId="0" applyNumberFormat="1" applyFont="1" applyBorder="1" applyAlignment="1">
      <alignment horizontal="center" vertical="center"/>
    </xf>
    <xf numFmtId="166" fontId="45" fillId="0" borderId="74" xfId="0" applyNumberFormat="1" applyFont="1" applyBorder="1" applyAlignment="1">
      <alignment horizontal="center" vertical="center"/>
    </xf>
    <xf numFmtId="0" fontId="46" fillId="0" borderId="1" xfId="0" applyFont="1" applyBorder="1" applyAlignment="1">
      <alignment horizontal="center"/>
    </xf>
    <xf numFmtId="9" fontId="45" fillId="8" borderId="51" xfId="0" applyNumberFormat="1" applyFont="1" applyFill="1" applyBorder="1" applyAlignment="1">
      <alignment horizontal="center" vertical="center"/>
    </xf>
    <xf numFmtId="9" fontId="45" fillId="8" borderId="33" xfId="0" applyNumberFormat="1" applyFont="1" applyFill="1" applyBorder="1" applyAlignment="1">
      <alignment horizontal="center" vertical="center"/>
    </xf>
    <xf numFmtId="9" fontId="45" fillId="8" borderId="52" xfId="0" applyNumberFormat="1" applyFont="1" applyFill="1" applyBorder="1" applyAlignment="1">
      <alignment horizontal="center" vertical="center"/>
    </xf>
    <xf numFmtId="9" fontId="45" fillId="8" borderId="13" xfId="0" applyNumberFormat="1" applyFont="1" applyFill="1" applyBorder="1" applyAlignment="1">
      <alignment horizontal="center" vertical="center"/>
    </xf>
    <xf numFmtId="9" fontId="45" fillId="8" borderId="0" xfId="0" applyNumberFormat="1" applyFont="1" applyFill="1" applyAlignment="1">
      <alignment horizontal="center" vertical="center"/>
    </xf>
    <xf numFmtId="9" fontId="45" fillId="8" borderId="48" xfId="0" applyNumberFormat="1" applyFont="1" applyFill="1" applyBorder="1" applyAlignment="1">
      <alignment horizontal="center" vertical="center"/>
    </xf>
    <xf numFmtId="9" fontId="45" fillId="8" borderId="49" xfId="0" applyNumberFormat="1" applyFont="1" applyFill="1" applyBorder="1" applyAlignment="1">
      <alignment horizontal="center" vertical="center"/>
    </xf>
    <xf numFmtId="9" fontId="45" fillId="8" borderId="50" xfId="0" applyNumberFormat="1" applyFont="1" applyFill="1" applyBorder="1" applyAlignment="1">
      <alignment horizontal="center" vertical="center"/>
    </xf>
    <xf numFmtId="9" fontId="45" fillId="7" borderId="48" xfId="0" applyNumberFormat="1" applyFont="1" applyFill="1" applyBorder="1" applyAlignment="1">
      <alignment horizontal="center" vertical="center"/>
    </xf>
    <xf numFmtId="9" fontId="45" fillId="7" borderId="49" xfId="0" applyNumberFormat="1" applyFont="1" applyFill="1" applyBorder="1" applyAlignment="1">
      <alignment horizontal="center" vertical="center"/>
    </xf>
    <xf numFmtId="9" fontId="45" fillId="7" borderId="50" xfId="0" applyNumberFormat="1" applyFont="1" applyFill="1" applyBorder="1" applyAlignment="1">
      <alignment horizontal="center" vertical="center"/>
    </xf>
    <xf numFmtId="0" fontId="45" fillId="0" borderId="0" xfId="0" applyFont="1" applyAlignment="1">
      <alignment vertical="center" wrapText="1"/>
    </xf>
    <xf numFmtId="9" fontId="45" fillId="7" borderId="53" xfId="0" applyNumberFormat="1" applyFont="1" applyFill="1" applyBorder="1" applyAlignment="1">
      <alignment horizontal="center" vertical="center"/>
    </xf>
    <xf numFmtId="9" fontId="45" fillId="8" borderId="99" xfId="0" applyNumberFormat="1" applyFont="1" applyFill="1" applyBorder="1" applyAlignment="1">
      <alignment horizontal="center" vertical="center"/>
    </xf>
    <xf numFmtId="9" fontId="45" fillId="8" borderId="100" xfId="0" applyNumberFormat="1" applyFont="1" applyFill="1" applyBorder="1" applyAlignment="1">
      <alignment horizontal="center" vertical="center"/>
    </xf>
    <xf numFmtId="9" fontId="45" fillId="8" borderId="101" xfId="0" applyNumberFormat="1" applyFont="1" applyFill="1" applyBorder="1" applyAlignment="1">
      <alignment horizontal="center" vertical="center"/>
    </xf>
    <xf numFmtId="9" fontId="45" fillId="8" borderId="102" xfId="0" applyNumberFormat="1" applyFont="1" applyFill="1" applyBorder="1" applyAlignment="1">
      <alignment horizontal="center" vertical="center"/>
    </xf>
    <xf numFmtId="9" fontId="45" fillId="7" borderId="54" xfId="0" applyNumberFormat="1" applyFont="1" applyFill="1" applyBorder="1" applyAlignment="1">
      <alignment horizontal="center" vertical="center"/>
    </xf>
    <xf numFmtId="9" fontId="45" fillId="7" borderId="51" xfId="0" applyNumberFormat="1" applyFont="1" applyFill="1" applyBorder="1" applyAlignment="1">
      <alignment horizontal="center" vertical="center"/>
    </xf>
    <xf numFmtId="9" fontId="45" fillId="7" borderId="33" xfId="0" applyNumberFormat="1" applyFont="1" applyFill="1" applyBorder="1" applyAlignment="1">
      <alignment horizontal="center" vertical="center"/>
    </xf>
    <xf numFmtId="9" fontId="45" fillId="7" borderId="52" xfId="0" applyNumberFormat="1" applyFont="1" applyFill="1" applyBorder="1" applyAlignment="1">
      <alignment horizontal="center" vertical="center"/>
    </xf>
    <xf numFmtId="9" fontId="45" fillId="0" borderId="99" xfId="0" applyNumberFormat="1" applyFont="1" applyBorder="1" applyAlignment="1">
      <alignment horizontal="center" vertical="center"/>
    </xf>
    <xf numFmtId="9" fontId="45" fillId="0" borderId="100" xfId="0" applyNumberFormat="1" applyFont="1" applyBorder="1" applyAlignment="1">
      <alignment horizontal="center" vertical="center"/>
    </xf>
    <xf numFmtId="9" fontId="45" fillId="0" borderId="102" xfId="0" applyNumberFormat="1" applyFont="1" applyBorder="1" applyAlignment="1">
      <alignment horizontal="center" vertical="center"/>
    </xf>
    <xf numFmtId="9" fontId="45" fillId="8" borderId="129" xfId="0" applyNumberFormat="1" applyFont="1" applyFill="1" applyBorder="1" applyAlignment="1">
      <alignment horizontal="center" vertical="center"/>
    </xf>
    <xf numFmtId="9" fontId="45" fillId="8" borderId="67" xfId="0" applyNumberFormat="1" applyFont="1" applyFill="1" applyBorder="1" applyAlignment="1">
      <alignment horizontal="center" vertical="center"/>
    </xf>
    <xf numFmtId="9" fontId="45" fillId="8" borderId="68" xfId="0" applyNumberFormat="1" applyFont="1" applyFill="1" applyBorder="1" applyAlignment="1">
      <alignment horizontal="center" vertical="center"/>
    </xf>
    <xf numFmtId="9" fontId="45" fillId="0" borderId="51" xfId="0" applyNumberFormat="1" applyFont="1" applyBorder="1" applyAlignment="1">
      <alignment horizontal="center" vertical="center"/>
    </xf>
    <xf numFmtId="9" fontId="45" fillId="0" borderId="33" xfId="0" applyNumberFormat="1" applyFont="1" applyBorder="1" applyAlignment="1">
      <alignment horizontal="center" vertical="center"/>
    </xf>
    <xf numFmtId="9" fontId="45" fillId="0" borderId="52" xfId="0" applyNumberFormat="1" applyFont="1" applyBorder="1" applyAlignment="1">
      <alignment horizontal="center" vertical="center"/>
    </xf>
    <xf numFmtId="9" fontId="45" fillId="0" borderId="3" xfId="29" applyFont="1" applyFill="1" applyBorder="1" applyAlignment="1">
      <alignment horizontal="center" vertical="center"/>
    </xf>
    <xf numFmtId="9" fontId="45" fillId="0" borderId="128" xfId="29" applyFont="1" applyFill="1" applyBorder="1" applyAlignment="1">
      <alignment horizontal="center" vertical="center"/>
    </xf>
    <xf numFmtId="9" fontId="45" fillId="0" borderId="2" xfId="29" applyFont="1" applyBorder="1" applyAlignment="1">
      <alignment horizontal="center" vertical="center"/>
    </xf>
    <xf numFmtId="9" fontId="45" fillId="0" borderId="114" xfId="0" applyNumberFormat="1" applyFont="1" applyBorder="1" applyAlignment="1">
      <alignment horizontal="center" vertical="center"/>
    </xf>
    <xf numFmtId="176" fontId="45" fillId="0" borderId="62" xfId="0" applyNumberFormat="1" applyFont="1" applyBorder="1" applyAlignment="1">
      <alignment horizontal="center" vertical="center"/>
    </xf>
    <xf numFmtId="176" fontId="45" fillId="0" borderId="47" xfId="0" applyNumberFormat="1" applyFont="1" applyBorder="1" applyAlignment="1">
      <alignment horizontal="center" vertical="center"/>
    </xf>
    <xf numFmtId="9" fontId="45" fillId="0" borderId="45" xfId="29" applyFont="1" applyBorder="1" applyAlignment="1">
      <alignment horizontal="center" vertical="center"/>
    </xf>
    <xf numFmtId="9" fontId="45" fillId="0" borderId="35" xfId="29" applyFont="1" applyBorder="1" applyAlignment="1">
      <alignment horizontal="center" vertical="center"/>
    </xf>
    <xf numFmtId="9" fontId="48" fillId="0" borderId="51" xfId="0" applyNumberFormat="1" applyFont="1" applyBorder="1" applyAlignment="1">
      <alignment horizontal="center" vertical="center"/>
    </xf>
    <xf numFmtId="9" fontId="48" fillId="0" borderId="33" xfId="0" applyNumberFormat="1" applyFont="1" applyBorder="1" applyAlignment="1">
      <alignment horizontal="center" vertical="center"/>
    </xf>
    <xf numFmtId="9" fontId="48" fillId="0" borderId="119" xfId="0" applyNumberFormat="1" applyFont="1" applyBorder="1" applyAlignment="1">
      <alignment horizontal="center" vertical="center"/>
    </xf>
    <xf numFmtId="166" fontId="47" fillId="0" borderId="39" xfId="0" applyNumberFormat="1" applyFont="1" applyBorder="1" applyAlignment="1">
      <alignment horizontal="center"/>
    </xf>
    <xf numFmtId="166" fontId="47" fillId="0" borderId="17" xfId="0" applyNumberFormat="1" applyFont="1" applyBorder="1" applyAlignment="1">
      <alignment horizontal="center"/>
    </xf>
    <xf numFmtId="166" fontId="47" fillId="0" borderId="51" xfId="0" applyNumberFormat="1" applyFont="1" applyBorder="1" applyAlignment="1">
      <alignment horizontal="center"/>
    </xf>
    <xf numFmtId="166" fontId="47" fillId="0" borderId="33" xfId="0" applyNumberFormat="1" applyFont="1" applyBorder="1" applyAlignment="1">
      <alignment horizontal="center"/>
    </xf>
    <xf numFmtId="166" fontId="47" fillId="0" borderId="52" xfId="0" applyNumberFormat="1" applyFont="1" applyBorder="1" applyAlignment="1">
      <alignment horizontal="center"/>
    </xf>
    <xf numFmtId="9" fontId="45" fillId="6" borderId="27" xfId="29" applyFont="1" applyFill="1" applyBorder="1" applyAlignment="1">
      <alignment horizontal="center" vertical="center"/>
    </xf>
    <xf numFmtId="9" fontId="48" fillId="0" borderId="52" xfId="0" applyNumberFormat="1" applyFont="1" applyBorder="1" applyAlignment="1">
      <alignment horizontal="center" vertical="center"/>
    </xf>
    <xf numFmtId="9" fontId="48" fillId="5" borderId="51" xfId="0" applyNumberFormat="1" applyFont="1" applyFill="1" applyBorder="1" applyAlignment="1">
      <alignment horizontal="center" vertical="center"/>
    </xf>
    <xf numFmtId="9" fontId="48" fillId="5" borderId="33" xfId="0" applyNumberFormat="1" applyFont="1" applyFill="1" applyBorder="1" applyAlignment="1">
      <alignment horizontal="center" vertical="center"/>
    </xf>
    <xf numFmtId="9" fontId="48" fillId="5" borderId="119" xfId="0" applyNumberFormat="1" applyFont="1" applyFill="1" applyBorder="1" applyAlignment="1">
      <alignment horizontal="center" vertical="center"/>
    </xf>
    <xf numFmtId="176" fontId="45" fillId="0" borderId="34" xfId="0" applyNumberFormat="1" applyFont="1" applyBorder="1" applyAlignment="1">
      <alignment horizontal="center" vertical="center"/>
    </xf>
    <xf numFmtId="9" fontId="45" fillId="0" borderId="44" xfId="29" applyFont="1" applyBorder="1" applyAlignment="1">
      <alignment horizontal="center" vertical="center"/>
    </xf>
    <xf numFmtId="9" fontId="48" fillId="0" borderId="66" xfId="0" applyNumberFormat="1" applyFont="1" applyBorder="1" applyAlignment="1">
      <alignment horizontal="center" vertical="center"/>
    </xf>
    <xf numFmtId="9" fontId="48" fillId="0" borderId="67" xfId="0" applyNumberFormat="1" applyFont="1" applyBorder="1" applyAlignment="1">
      <alignment horizontal="center" vertical="center"/>
    </xf>
    <xf numFmtId="9" fontId="48" fillId="0" borderId="68" xfId="0" applyNumberFormat="1" applyFont="1" applyBorder="1" applyAlignment="1">
      <alignment horizontal="center" vertical="center"/>
    </xf>
    <xf numFmtId="9" fontId="48" fillId="0" borderId="129" xfId="0" applyNumberFormat="1" applyFont="1" applyBorder="1" applyAlignment="1">
      <alignment horizontal="center" vertical="center"/>
    </xf>
    <xf numFmtId="176" fontId="48" fillId="0" borderId="85" xfId="0" applyNumberFormat="1" applyFont="1" applyBorder="1" applyAlignment="1">
      <alignment horizontal="center" vertical="center"/>
    </xf>
    <xf numFmtId="176" fontId="48" fillId="0" borderId="90" xfId="0" applyNumberFormat="1" applyFont="1" applyBorder="1" applyAlignment="1">
      <alignment horizontal="center" vertical="center"/>
    </xf>
    <xf numFmtId="176" fontId="48" fillId="0" borderId="83" xfId="0" applyNumberFormat="1" applyFont="1" applyBorder="1" applyAlignment="1">
      <alignment horizontal="center" vertical="center"/>
    </xf>
    <xf numFmtId="9" fontId="48" fillId="9" borderId="66" xfId="0" applyNumberFormat="1" applyFont="1" applyFill="1" applyBorder="1" applyAlignment="1">
      <alignment horizontal="center" vertical="center"/>
    </xf>
    <xf numFmtId="9" fontId="48" fillId="9" borderId="68" xfId="0" applyNumberFormat="1" applyFont="1" applyFill="1" applyBorder="1" applyAlignment="1">
      <alignment horizontal="center" vertical="center"/>
    </xf>
    <xf numFmtId="166" fontId="45" fillId="0" borderId="85" xfId="0" applyNumberFormat="1" applyFont="1" applyBorder="1" applyAlignment="1">
      <alignment horizontal="center" vertical="center"/>
    </xf>
    <xf numFmtId="9" fontId="48" fillId="0" borderId="66" xfId="0" applyNumberFormat="1" applyFont="1" applyBorder="1" applyAlignment="1">
      <alignment horizontal="center"/>
    </xf>
    <xf numFmtId="9" fontId="48" fillId="0" borderId="68" xfId="0" applyNumberFormat="1" applyFont="1" applyBorder="1" applyAlignment="1">
      <alignment horizontal="center"/>
    </xf>
    <xf numFmtId="9" fontId="48" fillId="0" borderId="67" xfId="0" applyNumberFormat="1" applyFont="1" applyBorder="1" applyAlignment="1">
      <alignment horizontal="center"/>
    </xf>
    <xf numFmtId="0" fontId="45" fillId="0" borderId="51" xfId="0" applyFont="1" applyBorder="1" applyAlignment="1">
      <alignment horizontal="center"/>
    </xf>
    <xf numFmtId="0" fontId="45" fillId="0" borderId="52" xfId="0" applyFont="1" applyBorder="1" applyAlignment="1">
      <alignment horizontal="center"/>
    </xf>
    <xf numFmtId="0" fontId="47" fillId="0" borderId="51" xfId="0" applyFont="1" applyBorder="1" applyAlignment="1">
      <alignment horizontal="center"/>
    </xf>
    <xf numFmtId="0" fontId="47" fillId="0" borderId="52" xfId="0" applyFont="1" applyBorder="1" applyAlignment="1">
      <alignment horizontal="center"/>
    </xf>
    <xf numFmtId="166" fontId="45" fillId="0" borderId="90" xfId="0" applyNumberFormat="1" applyFont="1" applyBorder="1" applyAlignment="1">
      <alignment horizontal="center" vertical="center"/>
    </xf>
    <xf numFmtId="166" fontId="45" fillId="0" borderId="83" xfId="0" applyNumberFormat="1" applyFont="1" applyBorder="1" applyAlignment="1">
      <alignment horizontal="center" vertical="center"/>
    </xf>
    <xf numFmtId="0" fontId="45" fillId="0" borderId="33" xfId="0" applyFont="1" applyBorder="1" applyAlignment="1">
      <alignment horizontal="center"/>
    </xf>
    <xf numFmtId="166" fontId="47" fillId="20" borderId="51" xfId="0" applyNumberFormat="1" applyFont="1" applyFill="1" applyBorder="1" applyAlignment="1">
      <alignment horizontal="center"/>
    </xf>
    <xf numFmtId="166" fontId="47" fillId="20" borderId="52" xfId="0" applyNumberFormat="1" applyFont="1" applyFill="1" applyBorder="1" applyAlignment="1">
      <alignment horizontal="center"/>
    </xf>
    <xf numFmtId="9" fontId="45" fillId="0" borderId="127" xfId="0" applyNumberFormat="1" applyFont="1" applyBorder="1" applyAlignment="1">
      <alignment horizontal="center" vertical="center"/>
    </xf>
    <xf numFmtId="0" fontId="83" fillId="44" borderId="19" xfId="0" applyFont="1" applyFill="1" applyBorder="1" applyAlignment="1">
      <alignment horizontal="center"/>
    </xf>
    <xf numFmtId="9" fontId="45" fillId="0" borderId="27" xfId="29" applyFont="1" applyBorder="1" applyAlignment="1">
      <alignment horizontal="center" vertical="center"/>
    </xf>
    <xf numFmtId="9" fontId="45" fillId="0" borderId="25" xfId="29" applyFont="1" applyBorder="1" applyAlignment="1">
      <alignment horizontal="center" vertical="center"/>
    </xf>
    <xf numFmtId="9" fontId="45" fillId="0" borderId="32" xfId="29" applyFont="1" applyBorder="1" applyAlignment="1">
      <alignment horizontal="center" vertical="center"/>
    </xf>
    <xf numFmtId="9" fontId="45" fillId="0" borderId="120" xfId="29" applyFont="1" applyBorder="1" applyAlignment="1">
      <alignment horizontal="center" vertical="center"/>
    </xf>
    <xf numFmtId="9" fontId="45" fillId="0" borderId="125" xfId="29" applyFont="1" applyBorder="1" applyAlignment="1">
      <alignment horizontal="center" vertical="center"/>
    </xf>
    <xf numFmtId="9" fontId="45" fillId="0" borderId="12" xfId="0" applyNumberFormat="1" applyFont="1" applyBorder="1" applyAlignment="1">
      <alignment horizontal="center" vertical="center"/>
    </xf>
    <xf numFmtId="9" fontId="45" fillId="0" borderId="15" xfId="0" applyNumberFormat="1" applyFont="1" applyBorder="1" applyAlignment="1">
      <alignment horizontal="center" vertical="center"/>
    </xf>
    <xf numFmtId="9" fontId="45" fillId="0" borderId="126" xfId="0" applyNumberFormat="1" applyFont="1" applyBorder="1" applyAlignment="1">
      <alignment horizontal="center" vertical="center"/>
    </xf>
    <xf numFmtId="9" fontId="79" fillId="0" borderId="67" xfId="0" applyNumberFormat="1" applyFont="1" applyBorder="1" applyAlignment="1">
      <alignment horizontal="center"/>
    </xf>
    <xf numFmtId="9" fontId="79" fillId="0" borderId="68" xfId="0" applyNumberFormat="1" applyFont="1" applyBorder="1" applyAlignment="1">
      <alignment horizontal="center"/>
    </xf>
    <xf numFmtId="9" fontId="67" fillId="6" borderId="20" xfId="29" applyFont="1" applyFill="1" applyBorder="1" applyAlignment="1">
      <alignment horizontal="center" vertical="center"/>
    </xf>
    <xf numFmtId="9" fontId="67" fillId="6" borderId="0" xfId="29" applyFont="1" applyFill="1" applyBorder="1" applyAlignment="1">
      <alignment horizontal="center" vertical="center"/>
    </xf>
    <xf numFmtId="9" fontId="67" fillId="6" borderId="14" xfId="29" applyFont="1" applyFill="1" applyBorder="1" applyAlignment="1">
      <alignment horizontal="center" vertical="center"/>
    </xf>
    <xf numFmtId="9" fontId="45" fillId="28" borderId="20" xfId="29" applyFont="1" applyFill="1" applyBorder="1" applyAlignment="1">
      <alignment horizontal="center" vertical="center"/>
    </xf>
    <xf numFmtId="9" fontId="45" fillId="28" borderId="0" xfId="29" applyFont="1" applyFill="1" applyBorder="1" applyAlignment="1">
      <alignment horizontal="center" vertical="center"/>
    </xf>
    <xf numFmtId="9" fontId="45" fillId="28" borderId="14" xfId="29" applyFont="1" applyFill="1" applyBorder="1" applyAlignment="1">
      <alignment horizontal="center" vertical="center"/>
    </xf>
    <xf numFmtId="0" fontId="85" fillId="0" borderId="0" xfId="0" applyFont="1" applyAlignment="1">
      <alignment horizontal="center"/>
    </xf>
    <xf numFmtId="0" fontId="7" fillId="0" borderId="14" xfId="0" applyFont="1" applyBorder="1" applyAlignment="1">
      <alignment horizontal="left"/>
    </xf>
    <xf numFmtId="0" fontId="0" fillId="0" borderId="0" xfId="0" applyAlignment="1">
      <alignment horizontal="center" wrapText="1"/>
    </xf>
    <xf numFmtId="0" fontId="98" fillId="0" borderId="34" xfId="0" applyFont="1" applyBorder="1" applyAlignment="1">
      <alignment horizontal="center" vertical="center"/>
    </xf>
    <xf numFmtId="0" fontId="98" fillId="0" borderId="0" xfId="0" applyFont="1" applyAlignment="1">
      <alignment horizontal="center" vertical="center"/>
    </xf>
    <xf numFmtId="0" fontId="98" fillId="0" borderId="34" xfId="0" applyFont="1" applyBorder="1" applyAlignment="1">
      <alignment horizontal="center" vertical="center" wrapText="1"/>
    </xf>
    <xf numFmtId="0" fontId="98" fillId="0" borderId="0" xfId="0" applyFont="1" applyAlignment="1">
      <alignment horizontal="center" vertical="center" wrapText="1"/>
    </xf>
    <xf numFmtId="0" fontId="7" fillId="0" borderId="0" xfId="0" applyFont="1" applyAlignment="1">
      <alignment horizontal="center"/>
    </xf>
    <xf numFmtId="0" fontId="10" fillId="0" borderId="0" xfId="0" applyFont="1" applyAlignment="1">
      <alignment horizontal="center" wrapText="1"/>
    </xf>
    <xf numFmtId="0" fontId="5" fillId="34" borderId="0" xfId="0" applyFont="1" applyFill="1" applyAlignment="1">
      <alignment horizontal="center"/>
    </xf>
    <xf numFmtId="0" fontId="5" fillId="15" borderId="0" xfId="0" applyFont="1" applyFill="1" applyAlignment="1">
      <alignment horizontal="center"/>
    </xf>
    <xf numFmtId="0" fontId="0" fillId="24" borderId="0" xfId="0" applyFill="1" applyAlignment="1">
      <alignment horizontal="center" vertical="center"/>
    </xf>
    <xf numFmtId="0" fontId="0" fillId="25" borderId="0" xfId="0" applyFill="1" applyAlignment="1">
      <alignment horizontal="center" vertical="center"/>
    </xf>
    <xf numFmtId="0" fontId="5" fillId="21" borderId="0" xfId="0" applyFont="1" applyFill="1" applyAlignment="1">
      <alignment horizontal="center"/>
    </xf>
    <xf numFmtId="0" fontId="0" fillId="19" borderId="34" xfId="0" applyFill="1" applyBorder="1" applyAlignment="1">
      <alignment horizontal="center"/>
    </xf>
    <xf numFmtId="0" fontId="0" fillId="19" borderId="10" xfId="0" applyFill="1" applyBorder="1" applyAlignment="1">
      <alignment horizontal="center"/>
    </xf>
    <xf numFmtId="0" fontId="0" fillId="33" borderId="34" xfId="0" applyFill="1" applyBorder="1" applyAlignment="1">
      <alignment horizontal="center"/>
    </xf>
    <xf numFmtId="0" fontId="0" fillId="33" borderId="10" xfId="0" applyFill="1" applyBorder="1" applyAlignment="1">
      <alignment horizontal="center"/>
    </xf>
    <xf numFmtId="17" fontId="7" fillId="19" borderId="35" xfId="0" applyNumberFormat="1" applyFont="1" applyFill="1" applyBorder="1" applyAlignment="1">
      <alignment horizontal="center"/>
    </xf>
    <xf numFmtId="17" fontId="7" fillId="19" borderId="3" xfId="0" applyNumberFormat="1" applyFont="1" applyFill="1" applyBorder="1" applyAlignment="1">
      <alignment horizontal="center"/>
    </xf>
    <xf numFmtId="0" fontId="0" fillId="24" borderId="0" xfId="0" applyFill="1" applyAlignment="1">
      <alignment horizontal="center" vertical="center" wrapText="1"/>
    </xf>
    <xf numFmtId="169" fontId="7" fillId="19" borderId="47" xfId="0" applyNumberFormat="1" applyFont="1" applyFill="1" applyBorder="1" applyAlignment="1">
      <alignment horizontal="center"/>
    </xf>
    <xf numFmtId="0" fontId="7" fillId="19" borderId="26" xfId="0" applyFont="1" applyFill="1" applyBorder="1" applyAlignment="1">
      <alignment horizontal="center"/>
    </xf>
    <xf numFmtId="169" fontId="7" fillId="33" borderId="47" xfId="0" applyNumberFormat="1" applyFont="1" applyFill="1" applyBorder="1" applyAlignment="1">
      <alignment horizontal="center"/>
    </xf>
    <xf numFmtId="0" fontId="7" fillId="33" borderId="26" xfId="0" applyFont="1" applyFill="1" applyBorder="1" applyAlignment="1">
      <alignment horizontal="center"/>
    </xf>
    <xf numFmtId="0" fontId="5" fillId="0" borderId="34" xfId="0" applyFont="1" applyBorder="1" applyAlignment="1">
      <alignment horizontal="left" wrapText="1"/>
    </xf>
    <xf numFmtId="0" fontId="5" fillId="0" borderId="0" xfId="0" applyFont="1" applyAlignment="1">
      <alignment horizontal="left" wrapText="1"/>
    </xf>
    <xf numFmtId="0" fontId="5" fillId="0" borderId="47" xfId="0" applyFont="1" applyBorder="1" applyAlignment="1">
      <alignment horizontal="left" wrapText="1"/>
    </xf>
    <xf numFmtId="0" fontId="0" fillId="0" borderId="19" xfId="0" applyBorder="1" applyAlignment="1">
      <alignment horizontal="left" wrapText="1"/>
    </xf>
    <xf numFmtId="169" fontId="0" fillId="19" borderId="34" xfId="0" applyNumberFormat="1" applyFill="1" applyBorder="1" applyAlignment="1">
      <alignment horizontal="center"/>
    </xf>
    <xf numFmtId="169" fontId="0" fillId="19" borderId="10" xfId="0" applyNumberFormat="1" applyFill="1" applyBorder="1" applyAlignment="1">
      <alignment horizontal="center"/>
    </xf>
    <xf numFmtId="169" fontId="0" fillId="33" borderId="34" xfId="0" applyNumberFormat="1" applyFill="1" applyBorder="1" applyAlignment="1">
      <alignment horizontal="center"/>
    </xf>
    <xf numFmtId="0" fontId="7" fillId="0" borderId="37" xfId="0" applyFont="1" applyBorder="1" applyAlignment="1">
      <alignment horizontal="center"/>
    </xf>
    <xf numFmtId="0" fontId="7" fillId="0" borderId="41" xfId="0" applyFont="1" applyBorder="1" applyAlignment="1">
      <alignment horizontal="center"/>
    </xf>
    <xf numFmtId="169" fontId="5" fillId="19" borderId="34" xfId="1" applyNumberFormat="1" applyFont="1" applyFill="1" applyBorder="1" applyAlignment="1">
      <alignment horizontal="center"/>
    </xf>
    <xf numFmtId="169" fontId="5" fillId="19" borderId="10" xfId="1" applyNumberFormat="1" applyFont="1" applyFill="1" applyBorder="1" applyAlignment="1">
      <alignment horizontal="center"/>
    </xf>
    <xf numFmtId="17" fontId="7" fillId="33" borderId="35" xfId="0" applyNumberFormat="1" applyFont="1" applyFill="1" applyBorder="1" applyAlignment="1">
      <alignment horizontal="center"/>
    </xf>
    <xf numFmtId="17" fontId="7" fillId="33" borderId="3" xfId="0" applyNumberFormat="1" applyFont="1" applyFill="1" applyBorder="1" applyAlignment="1">
      <alignment horizontal="center"/>
    </xf>
    <xf numFmtId="169" fontId="5" fillId="33" borderId="34" xfId="1" applyNumberFormat="1" applyFont="1" applyFill="1" applyBorder="1" applyAlignment="1">
      <alignment horizontal="center"/>
    </xf>
    <xf numFmtId="169" fontId="5" fillId="33" borderId="10" xfId="1" applyNumberFormat="1" applyFont="1" applyFill="1" applyBorder="1" applyAlignment="1">
      <alignment horizontal="center"/>
    </xf>
    <xf numFmtId="0" fontId="33" fillId="0" borderId="35" xfId="0" applyFont="1" applyBorder="1" applyAlignment="1">
      <alignment horizontal="center"/>
    </xf>
    <xf numFmtId="0" fontId="33" fillId="0" borderId="20" xfId="0" applyFont="1" applyBorder="1" applyAlignment="1">
      <alignment horizontal="center"/>
    </xf>
    <xf numFmtId="0" fontId="0" fillId="0" borderId="0" xfId="0" applyAlignment="1">
      <alignment horizontal="left" wrapText="1"/>
    </xf>
    <xf numFmtId="0" fontId="5"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40" xfId="0" applyFont="1" applyBorder="1" applyAlignment="1">
      <alignment horizontal="center" vertical="center"/>
    </xf>
    <xf numFmtId="0" fontId="5" fillId="0" borderId="63" xfId="0" applyFont="1" applyBorder="1" applyAlignment="1">
      <alignment horizontal="center" vertical="center"/>
    </xf>
    <xf numFmtId="0" fontId="5" fillId="0" borderId="64" xfId="0" applyFont="1" applyBorder="1" applyAlignment="1">
      <alignment horizontal="center" vertical="center"/>
    </xf>
    <xf numFmtId="0" fontId="5" fillId="0" borderId="65" xfId="0" applyFont="1" applyBorder="1" applyAlignment="1">
      <alignment horizontal="center" vertical="center"/>
    </xf>
    <xf numFmtId="0" fontId="11" fillId="0" borderId="0" xfId="0" applyFont="1" applyAlignment="1">
      <alignment horizontal="center"/>
    </xf>
    <xf numFmtId="0" fontId="15" fillId="0" borderId="0" xfId="0" applyFont="1" applyAlignment="1">
      <alignment horizontal="left"/>
    </xf>
    <xf numFmtId="0" fontId="15" fillId="0" borderId="19" xfId="0" applyFont="1" applyBorder="1" applyAlignment="1">
      <alignment horizontal="left"/>
    </xf>
    <xf numFmtId="0" fontId="17" fillId="0" borderId="19" xfId="0" applyFont="1" applyBorder="1" applyAlignment="1">
      <alignment horizontal="left"/>
    </xf>
    <xf numFmtId="166" fontId="48" fillId="0" borderId="36" xfId="0" applyNumberFormat="1" applyFont="1" applyBorder="1" applyAlignment="1">
      <alignment horizontal="center" vertical="center"/>
    </xf>
    <xf numFmtId="166" fontId="48" fillId="0" borderId="27" xfId="0" applyNumberFormat="1" applyFont="1" applyBorder="1" applyAlignment="1">
      <alignment horizontal="center" vertical="center"/>
    </xf>
    <xf numFmtId="166" fontId="48" fillId="0" borderId="25" xfId="0" applyNumberFormat="1" applyFont="1" applyBorder="1" applyAlignment="1">
      <alignment horizontal="center" vertical="center"/>
    </xf>
    <xf numFmtId="166" fontId="45" fillId="0" borderId="5" xfId="0" applyNumberFormat="1" applyFont="1" applyBorder="1" applyAlignment="1">
      <alignment horizontal="center" vertical="center"/>
    </xf>
    <xf numFmtId="166" fontId="45" fillId="0" borderId="1" xfId="0" applyNumberFormat="1" applyFont="1" applyBorder="1" applyAlignment="1">
      <alignment horizontal="center" vertical="center"/>
    </xf>
    <xf numFmtId="166" fontId="45" fillId="0" borderId="8" xfId="0" applyNumberFormat="1" applyFont="1" applyBorder="1" applyAlignment="1">
      <alignment horizontal="center" vertical="center"/>
    </xf>
    <xf numFmtId="166" fontId="65" fillId="0" borderId="36" xfId="0" applyNumberFormat="1" applyFont="1" applyBorder="1" applyAlignment="1">
      <alignment horizontal="center" vertical="center"/>
    </xf>
    <xf numFmtId="166" fontId="65" fillId="0" borderId="27" xfId="0" applyNumberFormat="1" applyFont="1" applyBorder="1" applyAlignment="1">
      <alignment horizontal="center" vertical="center"/>
    </xf>
    <xf numFmtId="166" fontId="65" fillId="0" borderId="25" xfId="0" applyNumberFormat="1" applyFont="1" applyBorder="1" applyAlignment="1">
      <alignment horizontal="center" vertical="center"/>
    </xf>
    <xf numFmtId="166" fontId="64" fillId="0" borderId="5" xfId="0" applyNumberFormat="1" applyFont="1" applyBorder="1" applyAlignment="1">
      <alignment horizontal="center" vertical="center"/>
    </xf>
    <xf numFmtId="166" fontId="64" fillId="0" borderId="1" xfId="0" applyNumberFormat="1" applyFont="1" applyBorder="1" applyAlignment="1">
      <alignment horizontal="center" vertical="center"/>
    </xf>
    <xf numFmtId="166" fontId="64" fillId="0" borderId="8" xfId="0" applyNumberFormat="1" applyFont="1" applyBorder="1" applyAlignment="1">
      <alignment horizontal="center" vertical="center"/>
    </xf>
    <xf numFmtId="9" fontId="64" fillId="8" borderId="48" xfId="0" applyNumberFormat="1" applyFont="1" applyFill="1" applyBorder="1" applyAlignment="1">
      <alignment horizontal="center" vertical="center"/>
    </xf>
    <xf numFmtId="9" fontId="64" fillId="8" borderId="49" xfId="0" applyNumberFormat="1" applyFont="1" applyFill="1" applyBorder="1" applyAlignment="1">
      <alignment horizontal="center" vertical="center"/>
    </xf>
    <xf numFmtId="9" fontId="64" fillId="8" borderId="54" xfId="0" applyNumberFormat="1" applyFont="1" applyFill="1" applyBorder="1" applyAlignment="1">
      <alignment horizontal="center" vertical="center"/>
    </xf>
    <xf numFmtId="9" fontId="64" fillId="8" borderId="50" xfId="0" applyNumberFormat="1" applyFont="1" applyFill="1" applyBorder="1" applyAlignment="1">
      <alignment horizontal="center" vertical="center"/>
    </xf>
    <xf numFmtId="0" fontId="45" fillId="0" borderId="34" xfId="0" applyFont="1" applyBorder="1" applyAlignment="1">
      <alignment horizontal="center"/>
    </xf>
    <xf numFmtId="0" fontId="45" fillId="0" borderId="0" xfId="0" applyFont="1" applyAlignment="1">
      <alignment horizontal="center"/>
    </xf>
    <xf numFmtId="0" fontId="46" fillId="0" borderId="45" xfId="0" applyFont="1" applyBorder="1" applyAlignment="1">
      <alignment horizontal="center"/>
    </xf>
    <xf numFmtId="0" fontId="46" fillId="0" borderId="21" xfId="0" applyFont="1" applyBorder="1" applyAlignment="1">
      <alignment horizontal="center"/>
    </xf>
    <xf numFmtId="0" fontId="46" fillId="0" borderId="46" xfId="0" applyFont="1" applyBorder="1" applyAlignment="1">
      <alignment horizontal="center"/>
    </xf>
    <xf numFmtId="2" fontId="66" fillId="0" borderId="0" xfId="0" applyNumberFormat="1" applyFont="1" applyAlignment="1">
      <alignment horizontal="center" vertical="center" wrapText="1"/>
    </xf>
    <xf numFmtId="0" fontId="103" fillId="17" borderId="4" xfId="0" applyFont="1" applyFill="1" applyBorder="1" applyAlignment="1">
      <alignment horizontal="center" wrapText="1"/>
    </xf>
    <xf numFmtId="0" fontId="103" fillId="17" borderId="7" xfId="0" applyFont="1" applyFill="1" applyBorder="1" applyAlignment="1">
      <alignment horizontal="center" wrapText="1"/>
    </xf>
    <xf numFmtId="0" fontId="103" fillId="17" borderId="28" xfId="0" quotePrefix="1" applyFont="1" applyFill="1" applyBorder="1" applyAlignment="1">
      <alignment horizontal="center" vertical="center"/>
    </xf>
    <xf numFmtId="0" fontId="103" fillId="17" borderId="30" xfId="0" quotePrefix="1" applyFont="1" applyFill="1" applyBorder="1" applyAlignment="1">
      <alignment horizontal="center" vertical="center"/>
    </xf>
    <xf numFmtId="0" fontId="7" fillId="62" borderId="35" xfId="0" applyFont="1" applyFill="1" applyBorder="1" applyAlignment="1">
      <alignment horizontal="center" vertical="center" wrapText="1"/>
    </xf>
    <xf numFmtId="0" fontId="7" fillId="62" borderId="142" xfId="0" applyFont="1" applyFill="1" applyBorder="1" applyAlignment="1">
      <alignment horizontal="center" vertical="center" wrapText="1"/>
    </xf>
    <xf numFmtId="0" fontId="103" fillId="60" borderId="100" xfId="0" applyFont="1" applyFill="1" applyBorder="1" applyAlignment="1">
      <alignment horizontal="center" vertical="center"/>
    </xf>
    <xf numFmtId="0" fontId="103" fillId="60" borderId="21" xfId="0" applyFont="1" applyFill="1" applyBorder="1" applyAlignment="1">
      <alignment horizontal="center" vertical="center"/>
    </xf>
    <xf numFmtId="0" fontId="103" fillId="60" borderId="141" xfId="0" applyFont="1" applyFill="1" applyBorder="1" applyAlignment="1">
      <alignment horizontal="center" vertical="center"/>
    </xf>
    <xf numFmtId="0" fontId="103" fillId="9" borderId="89" xfId="0" applyFont="1" applyFill="1" applyBorder="1" applyAlignment="1">
      <alignment horizontal="center"/>
    </xf>
    <xf numFmtId="0" fontId="103" fillId="9" borderId="42" xfId="0" applyFont="1" applyFill="1" applyBorder="1" applyAlignment="1">
      <alignment horizontal="center"/>
    </xf>
    <xf numFmtId="0" fontId="103" fillId="9" borderId="18" xfId="0" applyFont="1" applyFill="1" applyBorder="1" applyAlignment="1">
      <alignment horizontal="center"/>
    </xf>
    <xf numFmtId="0" fontId="106" fillId="18" borderId="89" xfId="0" applyFont="1" applyFill="1" applyBorder="1" applyAlignment="1">
      <alignment horizontal="center" vertical="center" wrapText="1"/>
    </xf>
    <xf numFmtId="0" fontId="106" fillId="18" borderId="42" xfId="0" applyFont="1" applyFill="1" applyBorder="1" applyAlignment="1">
      <alignment horizontal="center" vertical="center" wrapText="1"/>
    </xf>
    <xf numFmtId="0" fontId="106" fillId="18" borderId="18" xfId="0" applyFont="1" applyFill="1" applyBorder="1" applyAlignment="1">
      <alignment horizontal="center" vertical="center" wrapText="1"/>
    </xf>
    <xf numFmtId="0" fontId="103" fillId="60" borderId="99" xfId="0" applyFont="1" applyFill="1" applyBorder="1" applyAlignment="1">
      <alignment horizontal="center" vertical="center"/>
    </xf>
    <xf numFmtId="0" fontId="103" fillId="60" borderId="43" xfId="0" applyFont="1" applyFill="1" applyBorder="1" applyAlignment="1">
      <alignment horizontal="center" vertical="center"/>
    </xf>
    <xf numFmtId="0" fontId="103" fillId="60" borderId="140" xfId="0" applyFont="1" applyFill="1" applyBorder="1" applyAlignment="1">
      <alignment horizontal="center" vertical="center"/>
    </xf>
    <xf numFmtId="0" fontId="112" fillId="9" borderId="143" xfId="0" applyFont="1" applyFill="1" applyBorder="1" applyAlignment="1">
      <alignment horizontal="center" vertical="center"/>
    </xf>
    <xf numFmtId="0" fontId="112" fillId="9" borderId="144" xfId="0" applyFont="1" applyFill="1" applyBorder="1" applyAlignment="1">
      <alignment horizontal="center" vertical="center"/>
    </xf>
    <xf numFmtId="0" fontId="103" fillId="59" borderId="89" xfId="0" applyFont="1" applyFill="1" applyBorder="1" applyAlignment="1">
      <alignment horizontal="center" vertical="center" wrapText="1"/>
    </xf>
    <xf numFmtId="0" fontId="103" fillId="59" borderId="42" xfId="0" applyFont="1" applyFill="1" applyBorder="1" applyAlignment="1">
      <alignment horizontal="center" vertical="center" wrapText="1"/>
    </xf>
    <xf numFmtId="0" fontId="103" fillId="59" borderId="18" xfId="0" applyFont="1" applyFill="1" applyBorder="1" applyAlignment="1">
      <alignment horizontal="center" vertical="center" wrapText="1"/>
    </xf>
    <xf numFmtId="0" fontId="105" fillId="32" borderId="143" xfId="0" applyFont="1" applyFill="1" applyBorder="1" applyAlignment="1">
      <alignment horizontal="center" vertical="center"/>
    </xf>
    <xf numFmtId="0" fontId="105" fillId="32" borderId="147" xfId="0" applyFont="1" applyFill="1" applyBorder="1" applyAlignment="1">
      <alignment horizontal="center" vertical="center"/>
    </xf>
    <xf numFmtId="0" fontId="105" fillId="32" borderId="144" xfId="0" applyFont="1" applyFill="1" applyBorder="1" applyAlignment="1">
      <alignment horizontal="center" vertical="center"/>
    </xf>
    <xf numFmtId="0" fontId="99" fillId="66" borderId="4" xfId="0" applyFont="1" applyFill="1" applyBorder="1" applyAlignment="1">
      <alignment horizontal="center" wrapText="1"/>
    </xf>
    <xf numFmtId="0" fontId="99" fillId="66" borderId="7" xfId="0" applyFont="1" applyFill="1" applyBorder="1" applyAlignment="1">
      <alignment horizontal="center" wrapText="1"/>
    </xf>
    <xf numFmtId="0" fontId="99" fillId="66" borderId="28" xfId="0" applyFont="1" applyFill="1" applyBorder="1" applyAlignment="1">
      <alignment horizontal="center"/>
    </xf>
    <xf numFmtId="0" fontId="99" fillId="66" borderId="30" xfId="0" applyFont="1" applyFill="1" applyBorder="1" applyAlignment="1">
      <alignment horizontal="center"/>
    </xf>
    <xf numFmtId="1" fontId="106" fillId="60" borderId="1" xfId="0" applyNumberFormat="1" applyFont="1" applyFill="1" applyBorder="1" applyAlignment="1">
      <alignment horizontal="center"/>
    </xf>
    <xf numFmtId="1" fontId="106" fillId="60" borderId="102" xfId="0" applyNumberFormat="1" applyFont="1" applyFill="1" applyBorder="1" applyAlignment="1">
      <alignment horizontal="center"/>
    </xf>
    <xf numFmtId="1" fontId="106" fillId="60" borderId="11" xfId="0" applyNumberFormat="1" applyFont="1" applyFill="1" applyBorder="1" applyAlignment="1">
      <alignment horizontal="center"/>
    </xf>
    <xf numFmtId="1" fontId="106" fillId="60" borderId="22" xfId="0" applyNumberFormat="1" applyFont="1" applyFill="1" applyBorder="1" applyAlignment="1">
      <alignment horizontal="center"/>
    </xf>
    <xf numFmtId="0" fontId="106" fillId="18" borderId="89" xfId="0" applyFont="1" applyFill="1" applyBorder="1" applyAlignment="1">
      <alignment horizontal="center" wrapText="1"/>
    </xf>
    <xf numFmtId="0" fontId="106" fillId="18" borderId="42" xfId="0" applyFont="1" applyFill="1" applyBorder="1" applyAlignment="1">
      <alignment horizontal="center" wrapText="1"/>
    </xf>
    <xf numFmtId="0" fontId="106" fillId="18" borderId="18" xfId="0" applyFont="1" applyFill="1" applyBorder="1" applyAlignment="1">
      <alignment horizontal="center" wrapText="1"/>
    </xf>
    <xf numFmtId="0" fontId="103" fillId="60" borderId="45" xfId="0" applyFont="1" applyFill="1" applyBorder="1" applyAlignment="1">
      <alignment horizontal="center" vertical="center"/>
    </xf>
    <xf numFmtId="0" fontId="103" fillId="60" borderId="46" xfId="0" applyFont="1" applyFill="1" applyBorder="1" applyAlignment="1">
      <alignment horizontal="center" vertical="center"/>
    </xf>
    <xf numFmtId="0" fontId="107" fillId="59" borderId="89" xfId="0" applyFont="1" applyFill="1" applyBorder="1" applyAlignment="1">
      <alignment horizontal="center" vertical="center" wrapText="1"/>
    </xf>
    <xf numFmtId="0" fontId="107" fillId="59" borderId="42" xfId="0" applyFont="1" applyFill="1" applyBorder="1" applyAlignment="1">
      <alignment horizontal="center" vertical="center" wrapText="1"/>
    </xf>
    <xf numFmtId="0" fontId="107" fillId="59" borderId="18" xfId="0" applyFont="1" applyFill="1" applyBorder="1" applyAlignment="1">
      <alignment horizontal="center" vertical="center" wrapText="1"/>
    </xf>
    <xf numFmtId="0" fontId="5" fillId="0" borderId="0" xfId="0" applyFont="1" applyAlignment="1"/>
    <xf numFmtId="0" fontId="0" fillId="0" borderId="0" xfId="0" applyAlignment="1"/>
  </cellXfs>
  <cellStyles count="142">
    <cellStyle name="Currency" xfId="1" builtinId="4"/>
    <cellStyle name="Currency 10" xfId="2" xr:uid="{00000000-0005-0000-0000-000001000000}"/>
    <cellStyle name="Currency 10 2" xfId="75" xr:uid="{00000000-0005-0000-0000-000002000000}"/>
    <cellStyle name="Currency 11" xfId="3" xr:uid="{00000000-0005-0000-0000-000003000000}"/>
    <cellStyle name="Currency 11 2" xfId="76" xr:uid="{00000000-0005-0000-0000-000004000000}"/>
    <cellStyle name="Currency 12" xfId="4" xr:uid="{00000000-0005-0000-0000-000005000000}"/>
    <cellStyle name="Currency 12 2" xfId="86" xr:uid="{00000000-0005-0000-0000-000006000000}"/>
    <cellStyle name="Currency 13" xfId="5" xr:uid="{00000000-0005-0000-0000-000007000000}"/>
    <cellStyle name="Currency 13 2" xfId="90" xr:uid="{00000000-0005-0000-0000-000008000000}"/>
    <cellStyle name="Currency 14" xfId="6" xr:uid="{00000000-0005-0000-0000-000009000000}"/>
    <cellStyle name="Currency 14 2" xfId="94" xr:uid="{00000000-0005-0000-0000-00000A000000}"/>
    <cellStyle name="Currency 15" xfId="7" xr:uid="{00000000-0005-0000-0000-00000B000000}"/>
    <cellStyle name="Currency 15 2" xfId="97" xr:uid="{00000000-0005-0000-0000-00000C000000}"/>
    <cellStyle name="Currency 15 2 2" xfId="119" xr:uid="{00000000-0005-0000-0000-00000D000000}"/>
    <cellStyle name="Currency 15 3" xfId="100" xr:uid="{00000000-0005-0000-0000-00000E000000}"/>
    <cellStyle name="Currency 15 3 2" xfId="122" xr:uid="{00000000-0005-0000-0000-00000F000000}"/>
    <cellStyle name="Currency 15 4" xfId="103" xr:uid="{00000000-0005-0000-0000-000010000000}"/>
    <cellStyle name="Currency 16" xfId="8" xr:uid="{00000000-0005-0000-0000-000011000000}"/>
    <cellStyle name="Currency 16 2" xfId="107" xr:uid="{00000000-0005-0000-0000-000012000000}"/>
    <cellStyle name="Currency 17" xfId="49" xr:uid="{00000000-0005-0000-0000-000013000000}"/>
    <cellStyle name="Currency 17 2" xfId="111" xr:uid="{00000000-0005-0000-0000-000014000000}"/>
    <cellStyle name="Currency 18" xfId="85" xr:uid="{00000000-0005-0000-0000-000015000000}"/>
    <cellStyle name="Currency 18 2" xfId="113" xr:uid="{00000000-0005-0000-0000-000016000000}"/>
    <cellStyle name="Currency 19" xfId="89" xr:uid="{00000000-0005-0000-0000-000017000000}"/>
    <cellStyle name="Currency 19 2" xfId="115" xr:uid="{00000000-0005-0000-0000-000018000000}"/>
    <cellStyle name="Currency 2" xfId="9" xr:uid="{00000000-0005-0000-0000-000019000000}"/>
    <cellStyle name="Currency 2 2" xfId="50" xr:uid="{00000000-0005-0000-0000-00001A000000}"/>
    <cellStyle name="Currency 20" xfId="93" xr:uid="{00000000-0005-0000-0000-00001B000000}"/>
    <cellStyle name="Currency 20 2" xfId="117" xr:uid="{00000000-0005-0000-0000-00001C000000}"/>
    <cellStyle name="Currency 21" xfId="99" xr:uid="{00000000-0005-0000-0000-00001D000000}"/>
    <cellStyle name="Currency 21 2" xfId="121" xr:uid="{00000000-0005-0000-0000-00001E000000}"/>
    <cellStyle name="Currency 22" xfId="105" xr:uid="{00000000-0005-0000-0000-00001F000000}"/>
    <cellStyle name="Currency 22 2" xfId="125" xr:uid="{00000000-0005-0000-0000-000020000000}"/>
    <cellStyle name="Currency 3" xfId="10" xr:uid="{00000000-0005-0000-0000-000021000000}"/>
    <cellStyle name="Currency 3 2" xfId="11" xr:uid="{00000000-0005-0000-0000-000022000000}"/>
    <cellStyle name="Currency 3 2 2" xfId="52" xr:uid="{00000000-0005-0000-0000-000023000000}"/>
    <cellStyle name="Currency 3 3" xfId="51" xr:uid="{00000000-0005-0000-0000-000024000000}"/>
    <cellStyle name="Currency 4" xfId="12" xr:uid="{00000000-0005-0000-0000-000025000000}"/>
    <cellStyle name="Currency 4 2" xfId="13" xr:uid="{00000000-0005-0000-0000-000026000000}"/>
    <cellStyle name="Currency 4 2 2" xfId="54" xr:uid="{00000000-0005-0000-0000-000027000000}"/>
    <cellStyle name="Currency 4 3" xfId="53" xr:uid="{00000000-0005-0000-0000-000028000000}"/>
    <cellStyle name="Currency 5" xfId="14" xr:uid="{00000000-0005-0000-0000-000029000000}"/>
    <cellStyle name="Currency 5 2" xfId="15" xr:uid="{00000000-0005-0000-0000-00002A000000}"/>
    <cellStyle name="Currency 5 2 2" xfId="16" xr:uid="{00000000-0005-0000-0000-00002B000000}"/>
    <cellStyle name="Currency 5 2 2 2" xfId="57" xr:uid="{00000000-0005-0000-0000-00002C000000}"/>
    <cellStyle name="Currency 5 2 3" xfId="56" xr:uid="{00000000-0005-0000-0000-00002D000000}"/>
    <cellStyle name="Currency 5 3" xfId="17" xr:uid="{00000000-0005-0000-0000-00002E000000}"/>
    <cellStyle name="Currency 5 3 2" xfId="58" xr:uid="{00000000-0005-0000-0000-00002F000000}"/>
    <cellStyle name="Currency 5 4" xfId="18" xr:uid="{00000000-0005-0000-0000-000030000000}"/>
    <cellStyle name="Currency 5 4 2" xfId="77" xr:uid="{00000000-0005-0000-0000-000031000000}"/>
    <cellStyle name="Currency 5 5" xfId="19" xr:uid="{00000000-0005-0000-0000-000032000000}"/>
    <cellStyle name="Currency 5 5 2" xfId="84" xr:uid="{00000000-0005-0000-0000-000033000000}"/>
    <cellStyle name="Currency 5 6" xfId="55" xr:uid="{00000000-0005-0000-0000-000034000000}"/>
    <cellStyle name="Currency 6" xfId="20" xr:uid="{00000000-0005-0000-0000-000035000000}"/>
    <cellStyle name="Currency 6 2" xfId="21" xr:uid="{00000000-0005-0000-0000-000036000000}"/>
    <cellStyle name="Currency 6 2 2" xfId="60" xr:uid="{00000000-0005-0000-0000-000037000000}"/>
    <cellStyle name="Currency 6 3" xfId="59" xr:uid="{00000000-0005-0000-0000-000038000000}"/>
    <cellStyle name="Currency 7" xfId="22" xr:uid="{00000000-0005-0000-0000-000039000000}"/>
    <cellStyle name="Currency 7 2" xfId="23" xr:uid="{00000000-0005-0000-0000-00003A000000}"/>
    <cellStyle name="Currency 7 2 2" xfId="78" xr:uid="{00000000-0005-0000-0000-00003B000000}"/>
    <cellStyle name="Currency 7 3" xfId="61" xr:uid="{00000000-0005-0000-0000-00003C000000}"/>
    <cellStyle name="Currency 8" xfId="24" xr:uid="{00000000-0005-0000-0000-00003D000000}"/>
    <cellStyle name="Currency 8 2" xfId="25" xr:uid="{00000000-0005-0000-0000-00003E000000}"/>
    <cellStyle name="Currency 8 2 2" xfId="79" xr:uid="{00000000-0005-0000-0000-00003F000000}"/>
    <cellStyle name="Currency 8 3" xfId="62" xr:uid="{00000000-0005-0000-0000-000040000000}"/>
    <cellStyle name="Currency 9" xfId="26" xr:uid="{00000000-0005-0000-0000-000041000000}"/>
    <cellStyle name="Currency 9 2" xfId="27" xr:uid="{00000000-0005-0000-0000-000042000000}"/>
    <cellStyle name="Currency 9 2 2" xfId="108" xr:uid="{00000000-0005-0000-0000-000043000000}"/>
    <cellStyle name="Currency 9 3" xfId="63" xr:uid="{00000000-0005-0000-0000-000044000000}"/>
    <cellStyle name="Normal" xfId="0" builtinId="0"/>
    <cellStyle name="Normal 10" xfId="135" xr:uid="{00000000-0005-0000-0000-000046000000}"/>
    <cellStyle name="Normal 11" xfId="136" xr:uid="{00000000-0005-0000-0000-000047000000}"/>
    <cellStyle name="Normal 12" xfId="137" xr:uid="{00000000-0005-0000-0000-000048000000}"/>
    <cellStyle name="Normal 13" xfId="138" xr:uid="{BAFF9830-7F97-4226-A55A-E9052202A0C8}"/>
    <cellStyle name="Normal 14" xfId="139" xr:uid="{0740AC6E-9098-40F9-A52B-3EDE699AF96B}"/>
    <cellStyle name="Normal 15" xfId="140" xr:uid="{14D687AB-B2D5-454A-A4A7-90FE6D72CBA6}"/>
    <cellStyle name="Normal 16" xfId="141" xr:uid="{8444D0FF-7BDE-4F68-AB32-63D269FDF7AC}"/>
    <cellStyle name="Normal 2" xfId="28" xr:uid="{00000000-0005-0000-0000-000049000000}"/>
    <cellStyle name="Normal 2 2" xfId="64" xr:uid="{00000000-0005-0000-0000-00004A000000}"/>
    <cellStyle name="Normal 3" xfId="127" xr:uid="{00000000-0005-0000-0000-00004B000000}"/>
    <cellStyle name="Normal 3 2" xfId="128" xr:uid="{00000000-0005-0000-0000-00004C000000}"/>
    <cellStyle name="Normal 4" xfId="129" xr:uid="{00000000-0005-0000-0000-00004D000000}"/>
    <cellStyle name="Normal 5" xfId="130" xr:uid="{00000000-0005-0000-0000-00004E000000}"/>
    <cellStyle name="Normal 6" xfId="131" xr:uid="{00000000-0005-0000-0000-00004F000000}"/>
    <cellStyle name="Normal 7" xfId="132" xr:uid="{00000000-0005-0000-0000-000050000000}"/>
    <cellStyle name="Normal 8" xfId="133" xr:uid="{00000000-0005-0000-0000-000051000000}"/>
    <cellStyle name="Normal 9" xfId="134" xr:uid="{00000000-0005-0000-0000-000052000000}"/>
    <cellStyle name="Percent" xfId="29" builtinId="5"/>
    <cellStyle name="Percent 10" xfId="30" xr:uid="{00000000-0005-0000-0000-000054000000}"/>
    <cellStyle name="Percent 10 2" xfId="88" xr:uid="{00000000-0005-0000-0000-000055000000}"/>
    <cellStyle name="Percent 11" xfId="31" xr:uid="{00000000-0005-0000-0000-000056000000}"/>
    <cellStyle name="Percent 11 2" xfId="92" xr:uid="{00000000-0005-0000-0000-000057000000}"/>
    <cellStyle name="Percent 12" xfId="32" xr:uid="{00000000-0005-0000-0000-000058000000}"/>
    <cellStyle name="Percent 12 2" xfId="96" xr:uid="{00000000-0005-0000-0000-000059000000}"/>
    <cellStyle name="Percent 13" xfId="33" xr:uid="{00000000-0005-0000-0000-00005A000000}"/>
    <cellStyle name="Percent 13 2" xfId="98" xr:uid="{00000000-0005-0000-0000-00005B000000}"/>
    <cellStyle name="Percent 13 2 2" xfId="120" xr:uid="{00000000-0005-0000-0000-00005C000000}"/>
    <cellStyle name="Percent 13 3" xfId="102" xr:uid="{00000000-0005-0000-0000-00005D000000}"/>
    <cellStyle name="Percent 13 3 2" xfId="124" xr:uid="{00000000-0005-0000-0000-00005E000000}"/>
    <cellStyle name="Percent 13 4" xfId="104" xr:uid="{00000000-0005-0000-0000-00005F000000}"/>
    <cellStyle name="Percent 14" xfId="34" xr:uid="{00000000-0005-0000-0000-000060000000}"/>
    <cellStyle name="Percent 14 2" xfId="109" xr:uid="{00000000-0005-0000-0000-000061000000}"/>
    <cellStyle name="Percent 15" xfId="65" xr:uid="{00000000-0005-0000-0000-000062000000}"/>
    <cellStyle name="Percent 15 2" xfId="112" xr:uid="{00000000-0005-0000-0000-000063000000}"/>
    <cellStyle name="Percent 16" xfId="87" xr:uid="{00000000-0005-0000-0000-000064000000}"/>
    <cellStyle name="Percent 16 2" xfId="114" xr:uid="{00000000-0005-0000-0000-000065000000}"/>
    <cellStyle name="Percent 17" xfId="91" xr:uid="{00000000-0005-0000-0000-000066000000}"/>
    <cellStyle name="Percent 17 2" xfId="116" xr:uid="{00000000-0005-0000-0000-000067000000}"/>
    <cellStyle name="Percent 18" xfId="95" xr:uid="{00000000-0005-0000-0000-000068000000}"/>
    <cellStyle name="Percent 18 2" xfId="118" xr:uid="{00000000-0005-0000-0000-000069000000}"/>
    <cellStyle name="Percent 19" xfId="101" xr:uid="{00000000-0005-0000-0000-00006A000000}"/>
    <cellStyle name="Percent 19 2" xfId="123" xr:uid="{00000000-0005-0000-0000-00006B000000}"/>
    <cellStyle name="Percent 2" xfId="35" xr:uid="{00000000-0005-0000-0000-00006C000000}"/>
    <cellStyle name="Percent 2 2" xfId="36" xr:uid="{00000000-0005-0000-0000-00006D000000}"/>
    <cellStyle name="Percent 2 2 2" xfId="67" xr:uid="{00000000-0005-0000-0000-00006E000000}"/>
    <cellStyle name="Percent 2 3" xfId="66" xr:uid="{00000000-0005-0000-0000-00006F000000}"/>
    <cellStyle name="Percent 20" xfId="106" xr:uid="{00000000-0005-0000-0000-000070000000}"/>
    <cellStyle name="Percent 20 2" xfId="126" xr:uid="{00000000-0005-0000-0000-000071000000}"/>
    <cellStyle name="Percent 3" xfId="37" xr:uid="{00000000-0005-0000-0000-000072000000}"/>
    <cellStyle name="Percent 3 2" xfId="38" xr:uid="{00000000-0005-0000-0000-000073000000}"/>
    <cellStyle name="Percent 3 2 2" xfId="69" xr:uid="{00000000-0005-0000-0000-000074000000}"/>
    <cellStyle name="Percent 3 3" xfId="68" xr:uid="{00000000-0005-0000-0000-000075000000}"/>
    <cellStyle name="Percent 4" xfId="39" xr:uid="{00000000-0005-0000-0000-000076000000}"/>
    <cellStyle name="Percent 4 2" xfId="40" xr:uid="{00000000-0005-0000-0000-000077000000}"/>
    <cellStyle name="Percent 4 2 2" xfId="71" xr:uid="{00000000-0005-0000-0000-000078000000}"/>
    <cellStyle name="Percent 4 3" xfId="70" xr:uid="{00000000-0005-0000-0000-000079000000}"/>
    <cellStyle name="Percent 5" xfId="41" xr:uid="{00000000-0005-0000-0000-00007A000000}"/>
    <cellStyle name="Percent 5 2" xfId="42" xr:uid="{00000000-0005-0000-0000-00007B000000}"/>
    <cellStyle name="Percent 5 2 2" xfId="80" xr:uid="{00000000-0005-0000-0000-00007C000000}"/>
    <cellStyle name="Percent 5 3" xfId="72" xr:uid="{00000000-0005-0000-0000-00007D000000}"/>
    <cellStyle name="Percent 6" xfId="43" xr:uid="{00000000-0005-0000-0000-00007E000000}"/>
    <cellStyle name="Percent 6 2" xfId="44" xr:uid="{00000000-0005-0000-0000-00007F000000}"/>
    <cellStyle name="Percent 6 2 2" xfId="81" xr:uid="{00000000-0005-0000-0000-000080000000}"/>
    <cellStyle name="Percent 6 3" xfId="73" xr:uid="{00000000-0005-0000-0000-000081000000}"/>
    <cellStyle name="Percent 7" xfId="45" xr:uid="{00000000-0005-0000-0000-000082000000}"/>
    <cellStyle name="Percent 7 2" xfId="46" xr:uid="{00000000-0005-0000-0000-000083000000}"/>
    <cellStyle name="Percent 7 2 2" xfId="110" xr:uid="{00000000-0005-0000-0000-000084000000}"/>
    <cellStyle name="Percent 7 3" xfId="74" xr:uid="{00000000-0005-0000-0000-000085000000}"/>
    <cellStyle name="Percent 8" xfId="47" xr:uid="{00000000-0005-0000-0000-000086000000}"/>
    <cellStyle name="Percent 8 2" xfId="82" xr:uid="{00000000-0005-0000-0000-000087000000}"/>
    <cellStyle name="Percent 9" xfId="48" xr:uid="{00000000-0005-0000-0000-000088000000}"/>
    <cellStyle name="Percent 9 2" xfId="83" xr:uid="{00000000-0005-0000-0000-000089000000}"/>
  </cellStyles>
  <dxfs count="166">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rgb="FFFF0000"/>
      </font>
      <fill>
        <patternFill patternType="solid">
          <bgColor theme="1" tint="4.9989318521683403E-2"/>
        </patternFill>
      </fill>
    </dxf>
    <dxf>
      <font>
        <color rgb="FFE6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E6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FF0000"/>
      </font>
      <fill>
        <patternFill patternType="solid">
          <bgColor rgb="FFFFFF00"/>
        </patternFill>
      </fill>
    </dxf>
    <dxf>
      <fill>
        <patternFill patternType="solid">
          <bgColor rgb="FF92D050"/>
        </patternFill>
      </fill>
    </dxf>
    <dxf>
      <font>
        <color theme="1"/>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6" tint="0.39994506668294322"/>
        </patternFill>
      </fill>
    </dxf>
    <dxf>
      <font>
        <color rgb="FF9C5700"/>
      </font>
      <fill>
        <patternFill>
          <bgColor rgb="FFFFEB9C"/>
        </patternFill>
      </fill>
    </dxf>
    <dxf>
      <font>
        <color rgb="FF9C0006"/>
      </font>
      <fill>
        <patternFill>
          <bgColor rgb="FFFFC7CE"/>
        </patternFill>
      </fill>
    </dxf>
    <dxf>
      <fill>
        <patternFill>
          <bgColor theme="2" tint="-9.9948118533890809E-2"/>
        </patternFill>
      </fill>
    </dxf>
    <dxf>
      <font>
        <b/>
        <i val="0"/>
      </font>
      <fill>
        <patternFill>
          <bgColor rgb="FFFF0000"/>
        </patternFill>
      </fill>
    </dxf>
    <dxf>
      <font>
        <b/>
        <i val="0"/>
      </font>
      <fill>
        <patternFill>
          <bgColor theme="5" tint="0.39994506668294322"/>
        </patternFill>
      </fill>
    </dxf>
    <dxf>
      <font>
        <b/>
        <i val="0"/>
        <strike val="0"/>
      </font>
      <fill>
        <patternFill>
          <bgColor rgb="FFFFC000"/>
        </patternFill>
      </fill>
    </dxf>
    <dxf>
      <fill>
        <patternFill>
          <bgColor rgb="FF92D050"/>
        </patternFill>
      </fill>
    </dxf>
    <dxf>
      <fill>
        <patternFill>
          <bgColor rgb="FFFF0000"/>
        </patternFill>
      </fill>
    </dxf>
    <dxf>
      <font>
        <condense val="0"/>
        <extend val="0"/>
        <color indexed="51"/>
      </font>
      <fill>
        <patternFill>
          <bgColor indexed="51"/>
        </patternFill>
      </fill>
    </dxf>
    <dxf>
      <font>
        <condense val="0"/>
        <extend val="0"/>
        <color indexed="11"/>
      </font>
      <fill>
        <patternFill patternType="solid">
          <bgColor indexed="11"/>
        </patternFill>
      </fill>
    </dxf>
    <dxf>
      <font>
        <condense val="0"/>
        <extend val="0"/>
        <color indexed="10"/>
      </font>
      <fill>
        <patternFill patternType="solid">
          <bgColor indexed="10"/>
        </patternFill>
      </fill>
    </dxf>
    <dxf>
      <numFmt numFmtId="13" formatCode="0%"/>
      <fill>
        <patternFill>
          <bgColor rgb="FF66FF33"/>
        </patternFill>
      </fill>
    </dxf>
    <dxf>
      <numFmt numFmtId="13" formatCode="0%"/>
      <fill>
        <patternFill>
          <bgColor rgb="FFFFCC00"/>
        </patternFill>
      </fill>
    </dxf>
    <dxf>
      <numFmt numFmtId="13" formatCode="0%"/>
      <fill>
        <patternFill>
          <bgColor rgb="FFFF0000"/>
        </patternFill>
      </fill>
    </dxf>
    <dxf>
      <font>
        <strike val="0"/>
      </font>
      <numFmt numFmtId="13" formatCode="0%"/>
      <fill>
        <patternFill>
          <bgColor rgb="FFFF66FF"/>
        </patternFill>
      </fill>
    </dxf>
    <dxf>
      <font>
        <color auto="1"/>
      </font>
      <fill>
        <patternFill>
          <bgColor rgb="FF92D050"/>
        </patternFill>
      </fill>
    </dxf>
    <dxf>
      <fill>
        <patternFill>
          <bgColor rgb="FFFFC0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ill>
        <patternFill>
          <bgColor rgb="FF92D05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name val="Vodafone Rg"/>
      </font>
    </dxf>
    <dxf>
      <font>
        <name val="Vodafone Rg"/>
      </font>
    </dxf>
    <dxf>
      <font>
        <name val="Vodafone Rg"/>
      </font>
    </dxf>
    <dxf>
      <font>
        <name val="Vodafone Rg"/>
      </font>
    </dxf>
    <dxf>
      <font>
        <name val="Vodafone Rg"/>
      </font>
    </dxf>
    <dxf>
      <font>
        <name val="Vodafone Rg"/>
      </font>
    </dxf>
    <dxf>
      <font>
        <sz val="12"/>
      </font>
    </dxf>
    <dxf>
      <font>
        <sz val="12"/>
      </font>
    </dxf>
    <dxf>
      <font>
        <sz val="12"/>
      </font>
    </dxf>
    <dxf>
      <font>
        <sz val="12"/>
      </font>
    </dxf>
    <dxf>
      <font>
        <sz val="12"/>
      </font>
    </dxf>
    <dxf>
      <font>
        <sz val="12"/>
      </font>
    </dxf>
    <dxf>
      <alignment horizontal="center"/>
    </dxf>
    <dxf>
      <alignment horizontal="center"/>
    </dxf>
    <dxf>
      <alignment horizontal="center"/>
    </dxf>
    <dxf>
      <numFmt numFmtId="13" formatCode="0%"/>
    </dxf>
    <dxf>
      <numFmt numFmtId="13" formatCode="0%"/>
    </dxf>
    <dxf>
      <numFmt numFmtId="13" formatCode="0%"/>
    </dxf>
  </dxfs>
  <tableStyles count="0" defaultTableStyle="TableStyleMedium2" defaultPivotStyle="PivotStyleLight16"/>
  <colors>
    <mruColors>
      <color rgb="FFCC9900"/>
      <color rgb="FFBF8F00"/>
      <color rgb="FF558ED5"/>
      <color rgb="FFE60000"/>
      <color rgb="FFF8F8F8"/>
      <color rgb="FFE6B8B7"/>
      <color rgb="FFD1ABAB"/>
      <color rgb="FFEDDFDF"/>
      <color rgb="FF9900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4.xml"/><Relationship Id="rId50" Type="http://schemas.openxmlformats.org/officeDocument/2006/relationships/externalLink" Target="externalLinks/externalLink7.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3" Type="http://schemas.openxmlformats.org/officeDocument/2006/relationships/pivotCacheDefinition" Target="pivotCache/pivotCacheDefinition1.xml"/><Relationship Id="rId58" Type="http://schemas.microsoft.com/office/2017/10/relationships/person" Target="persons/person.xml"/><Relationship Id="rId5" Type="http://schemas.openxmlformats.org/officeDocument/2006/relationships/worksheet" Target="worksheets/sheet5.xml"/><Relationship Id="rId61"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5.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6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6.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xml"/><Relationship Id="rId52" Type="http://schemas.openxmlformats.org/officeDocument/2006/relationships/externalLink" Target="externalLinks/externalLink9.xml"/><Relationship Id="rId6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7.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23.xml.rels><?xml version="1.0" encoding="UTF-8" standalone="yes"?>
<Relationships xmlns="http://schemas.openxmlformats.org/package/2006/relationships"><Relationship Id="rId2" Type="http://schemas.openxmlformats.org/officeDocument/2006/relationships/chartUserShapes" Target="../drawings/drawing18.xml"/><Relationship Id="rId1" Type="http://schemas.openxmlformats.org/officeDocument/2006/relationships/themeOverride" Target="../theme/themeOverride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6.xml.rels><?xml version="1.0" encoding="UTF-8" standalone="yes"?>
<Relationships xmlns="http://schemas.openxmlformats.org/package/2006/relationships"><Relationship Id="rId2" Type="http://schemas.openxmlformats.org/officeDocument/2006/relationships/chartUserShapes" Target="../drawings/drawing22.xml"/><Relationship Id="rId1" Type="http://schemas.openxmlformats.org/officeDocument/2006/relationships/themeOverride" Target="../theme/themeOverride6.xml"/></Relationships>
</file>

<file path=xl/charts/_rels/chart27.xml.rels><?xml version="1.0" encoding="UTF-8" standalone="yes"?>
<Relationships xmlns="http://schemas.openxmlformats.org/package/2006/relationships"><Relationship Id="rId2" Type="http://schemas.openxmlformats.org/officeDocument/2006/relationships/chartUserShapes" Target="../drawings/drawing23.xml"/><Relationship Id="rId1" Type="http://schemas.openxmlformats.org/officeDocument/2006/relationships/themeOverride" Target="../theme/themeOverride7.xml"/></Relationships>
</file>

<file path=xl/charts/_rels/chart28.xml.rels><?xml version="1.0" encoding="UTF-8" standalone="yes"?>
<Relationships xmlns="http://schemas.openxmlformats.org/package/2006/relationships"><Relationship Id="rId2" Type="http://schemas.openxmlformats.org/officeDocument/2006/relationships/chartUserShapes" Target="../drawings/drawing25.xml"/><Relationship Id="rId1" Type="http://schemas.openxmlformats.org/officeDocument/2006/relationships/themeOverride" Target="../theme/themeOverride8.xml"/></Relationships>
</file>

<file path=xl/charts/_rels/chart29.xml.rels><?xml version="1.0" encoding="UTF-8" standalone="yes"?>
<Relationships xmlns="http://schemas.openxmlformats.org/package/2006/relationships"><Relationship Id="rId2" Type="http://schemas.openxmlformats.org/officeDocument/2006/relationships/chartUserShapes" Target="../drawings/drawing27.xml"/><Relationship Id="rId1" Type="http://schemas.openxmlformats.org/officeDocument/2006/relationships/themeOverride" Target="../theme/themeOverride9.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31.xml.rels><?xml version="1.0" encoding="UTF-8" standalone="yes"?>
<Relationships xmlns="http://schemas.openxmlformats.org/package/2006/relationships"><Relationship Id="rId2" Type="http://schemas.openxmlformats.org/officeDocument/2006/relationships/chartUserShapes" Target="../drawings/drawing30.xml"/><Relationship Id="rId1" Type="http://schemas.openxmlformats.org/officeDocument/2006/relationships/themeOverride" Target="../theme/themeOverride10.xml"/></Relationships>
</file>

<file path=xl/charts/_rels/chart32.xml.rels><?xml version="1.0" encoding="UTF-8" standalone="yes"?>
<Relationships xmlns="http://schemas.openxmlformats.org/package/2006/relationships"><Relationship Id="rId2" Type="http://schemas.openxmlformats.org/officeDocument/2006/relationships/chartUserShapes" Target="../drawings/drawing31.xml"/><Relationship Id="rId1" Type="http://schemas.openxmlformats.org/officeDocument/2006/relationships/themeOverride" Target="../theme/themeOverride11.xml"/></Relationships>
</file>

<file path=xl/charts/_rels/chart33.xml.rels><?xml version="1.0" encoding="UTF-8" standalone="yes"?>
<Relationships xmlns="http://schemas.openxmlformats.org/package/2006/relationships"><Relationship Id="rId2" Type="http://schemas.openxmlformats.org/officeDocument/2006/relationships/chartUserShapes" Target="../drawings/drawing33.xml"/><Relationship Id="rId1" Type="http://schemas.openxmlformats.org/officeDocument/2006/relationships/themeOverride" Target="../theme/themeOverride12.xml"/></Relationships>
</file>

<file path=xl/charts/_rels/chart34.xml.rels><?xml version="1.0" encoding="UTF-8" standalone="yes"?>
<Relationships xmlns="http://schemas.openxmlformats.org/package/2006/relationships"><Relationship Id="rId2" Type="http://schemas.openxmlformats.org/officeDocument/2006/relationships/chartUserShapes" Target="../drawings/drawing34.xml"/><Relationship Id="rId1" Type="http://schemas.openxmlformats.org/officeDocument/2006/relationships/themeOverride" Target="../theme/themeOverride13.xml"/></Relationships>
</file>

<file path=xl/charts/_rels/chart35.xml.rels><?xml version="1.0" encoding="UTF-8" standalone="yes"?>
<Relationships xmlns="http://schemas.openxmlformats.org/package/2006/relationships"><Relationship Id="rId2" Type="http://schemas.openxmlformats.org/officeDocument/2006/relationships/chartUserShapes" Target="../drawings/drawing36.xml"/><Relationship Id="rId1" Type="http://schemas.openxmlformats.org/officeDocument/2006/relationships/themeOverride" Target="../theme/themeOverride14.xml"/></Relationships>
</file>

<file path=xl/charts/_rels/chart36.xml.rels><?xml version="1.0" encoding="UTF-8" standalone="yes"?>
<Relationships xmlns="http://schemas.openxmlformats.org/package/2006/relationships"><Relationship Id="rId2" Type="http://schemas.openxmlformats.org/officeDocument/2006/relationships/chartUserShapes" Target="../drawings/drawing38.xml"/><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2" Type="http://schemas.openxmlformats.org/officeDocument/2006/relationships/chartUserShapes" Target="../drawings/drawing39.xml"/><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9.xml.rels><?xml version="1.0" encoding="UTF-8" standalone="yes"?>
<Relationships xmlns="http://schemas.openxmlformats.org/package/2006/relationships"><Relationship Id="rId2" Type="http://schemas.openxmlformats.org/officeDocument/2006/relationships/chartUserShapes" Target="../drawings/drawing42.xml"/><Relationship Id="rId1" Type="http://schemas.openxmlformats.org/officeDocument/2006/relationships/themeOverride" Target="../theme/themeOverride17.xml"/></Relationships>
</file>

<file path=xl/charts/_rels/chart40.xml.rels><?xml version="1.0" encoding="UTF-8" standalone="yes"?>
<Relationships xmlns="http://schemas.openxmlformats.org/package/2006/relationships"><Relationship Id="rId2" Type="http://schemas.openxmlformats.org/officeDocument/2006/relationships/chartUserShapes" Target="../drawings/drawing43.xml"/><Relationship Id="rId1" Type="http://schemas.openxmlformats.org/officeDocument/2006/relationships/themeOverride" Target="../theme/themeOverride18.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2.xml.rels><?xml version="1.0" encoding="UTF-8" standalone="yes"?>
<Relationships xmlns="http://schemas.openxmlformats.org/package/2006/relationships"><Relationship Id="rId2" Type="http://schemas.openxmlformats.org/officeDocument/2006/relationships/chartUserShapes" Target="../drawings/drawing46.xml"/><Relationship Id="rId1" Type="http://schemas.openxmlformats.org/officeDocument/2006/relationships/themeOverride" Target="../theme/themeOverride19.xml"/></Relationships>
</file>

<file path=xl/charts/_rels/chart43.xml.rels><?xml version="1.0" encoding="UTF-8" standalone="yes"?>
<Relationships xmlns="http://schemas.openxmlformats.org/package/2006/relationships"><Relationship Id="rId2" Type="http://schemas.openxmlformats.org/officeDocument/2006/relationships/chartUserShapes" Target="../drawings/drawing47.xml"/><Relationship Id="rId1" Type="http://schemas.openxmlformats.org/officeDocument/2006/relationships/themeOverride" Target="../theme/themeOverride20.xml"/></Relationships>
</file>

<file path=xl/charts/_rels/chart44.xml.rels><?xml version="1.0" encoding="UTF-8" standalone="yes"?>
<Relationships xmlns="http://schemas.openxmlformats.org/package/2006/relationships"><Relationship Id="rId2" Type="http://schemas.openxmlformats.org/officeDocument/2006/relationships/chartUserShapes" Target="../drawings/drawing48.xml"/><Relationship Id="rId1" Type="http://schemas.openxmlformats.org/officeDocument/2006/relationships/themeOverride" Target="../theme/themeOverride21.xml"/></Relationships>
</file>

<file path=xl/charts/_rels/chart45.xml.rels><?xml version="1.0" encoding="UTF-8" standalone="yes"?>
<Relationships xmlns="http://schemas.openxmlformats.org/package/2006/relationships"><Relationship Id="rId2" Type="http://schemas.openxmlformats.org/officeDocument/2006/relationships/chartUserShapes" Target="../drawings/drawing50.xml"/><Relationship Id="rId1" Type="http://schemas.openxmlformats.org/officeDocument/2006/relationships/themeOverride" Target="../theme/themeOverride22.xml"/></Relationships>
</file>

<file path=xl/charts/_rels/chart46.xml.rels><?xml version="1.0" encoding="UTF-8" standalone="yes"?>
<Relationships xmlns="http://schemas.openxmlformats.org/package/2006/relationships"><Relationship Id="rId2" Type="http://schemas.openxmlformats.org/officeDocument/2006/relationships/chartUserShapes" Target="../drawings/drawing51.xml"/><Relationship Id="rId1" Type="http://schemas.openxmlformats.org/officeDocument/2006/relationships/themeOverride" Target="../theme/themeOverride23.xml"/></Relationships>
</file>

<file path=xl/charts/_rels/chart47.xml.rels><?xml version="1.0" encoding="UTF-8" standalone="yes"?>
<Relationships xmlns="http://schemas.openxmlformats.org/package/2006/relationships"><Relationship Id="rId2" Type="http://schemas.openxmlformats.org/officeDocument/2006/relationships/chartUserShapes" Target="../drawings/drawing53.xml"/><Relationship Id="rId1" Type="http://schemas.openxmlformats.org/officeDocument/2006/relationships/themeOverride" Target="../theme/themeOverride24.xml"/></Relationships>
</file>

<file path=xl/charts/_rels/chart48.xml.rels><?xml version="1.0" encoding="UTF-8" standalone="yes"?>
<Relationships xmlns="http://schemas.openxmlformats.org/package/2006/relationships"><Relationship Id="rId2" Type="http://schemas.openxmlformats.org/officeDocument/2006/relationships/chartUserShapes" Target="../drawings/drawing54.xml"/><Relationship Id="rId1" Type="http://schemas.openxmlformats.org/officeDocument/2006/relationships/themeOverride" Target="../theme/themeOverride25.xml"/></Relationships>
</file>

<file path=xl/charts/_rels/chart49.xml.rels><?xml version="1.0" encoding="UTF-8" standalone="yes"?>
<Relationships xmlns="http://schemas.openxmlformats.org/package/2006/relationships"><Relationship Id="rId2" Type="http://schemas.openxmlformats.org/officeDocument/2006/relationships/chartUserShapes" Target="../drawings/drawing55.xml"/><Relationship Id="rId1" Type="http://schemas.openxmlformats.org/officeDocument/2006/relationships/themeOverride" Target="../theme/themeOverrid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NFV!$K$5</c:f>
              <c:strCache>
                <c:ptCount val="1"/>
                <c:pt idx="0">
                  <c:v>Remaining Capacity kW</c:v>
                </c:pt>
              </c:strCache>
            </c:strRef>
          </c:tx>
          <c:spPr>
            <a:solidFill>
              <a:srgbClr val="FF000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27.168249999999944</c:v>
                </c:pt>
                <c:pt idx="1">
                  <c:v>42.668049999999994</c:v>
                </c:pt>
                <c:pt idx="2">
                  <c:v>23.135249999999985</c:v>
                </c:pt>
                <c:pt idx="3">
                  <c:v>-10.790999999999997</c:v>
                </c:pt>
                <c:pt idx="4">
                  <c:v>-2.5696750000000179</c:v>
                </c:pt>
                <c:pt idx="5">
                  <c:v>-21.113300000000038</c:v>
                </c:pt>
                <c:pt idx="6">
                  <c:v>25.883399999999995</c:v>
                </c:pt>
                <c:pt idx="7">
                  <c:v>1.5</c:v>
                </c:pt>
              </c:numCache>
            </c:numRef>
          </c:val>
          <c:extLst>
            <c:ext xmlns:c16="http://schemas.microsoft.com/office/drawing/2014/chart" uri="{C3380CC4-5D6E-409C-BE32-E72D297353CC}">
              <c16:uniqueId val="{00000001-1E8C-4960-947B-823235F69C4A}"/>
            </c:ext>
          </c:extLst>
        </c:ser>
        <c:ser>
          <c:idx val="1"/>
          <c:order val="1"/>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1E8C-4960-947B-823235F69C4A}"/>
            </c:ext>
          </c:extLst>
        </c:ser>
        <c:ser>
          <c:idx val="2"/>
          <c:order val="2"/>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19-4FED-96E0-5FF5DCA371D3}"/>
            </c:ext>
          </c:extLst>
        </c:ser>
        <c:dLbls>
          <c:showLegendKey val="0"/>
          <c:showVal val="0"/>
          <c:showCatName val="0"/>
          <c:showSerName val="0"/>
          <c:showPercent val="0"/>
          <c:showBubbleSize val="0"/>
        </c:dLbls>
        <c:gapWidth val="219"/>
        <c:overlap val="-27"/>
        <c:axId val="301111943"/>
        <c:axId val="460343015"/>
      </c:barChart>
      <c:catAx>
        <c:axId val="301111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43015"/>
        <c:crosses val="autoZero"/>
        <c:auto val="1"/>
        <c:lblAlgn val="ctr"/>
        <c:lblOffset val="100"/>
        <c:noMultiLvlLbl val="0"/>
      </c:catAx>
      <c:valAx>
        <c:axId val="460343015"/>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11943"/>
        <c:crosses val="autoZero"/>
        <c:crossBetween val="between"/>
      </c:valAx>
      <c:spPr>
        <a:noFill/>
        <a:ln>
          <a:noFill/>
        </a:ln>
        <a:effectLst/>
      </c:spPr>
    </c:plotArea>
    <c:legend>
      <c:legendPos val="b"/>
      <c:layout>
        <c:manualLayout>
          <c:xMode val="edge"/>
          <c:yMode val="edge"/>
          <c:x val="1.8763232250093668E-4"/>
          <c:y val="3.7244858320853641E-2"/>
          <c:w val="0.99800467506709589"/>
          <c:h val="5.90231902179346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NFV!$L$5</c:f>
              <c:strCache>
                <c:ptCount val="1"/>
                <c:pt idx="0">
                  <c:v>Remaining kW 
including NFV Reserve</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NFV!$L$6:$L$13</c:f>
              <c:numCache>
                <c:formatCode>0.0</c:formatCode>
                <c:ptCount val="8"/>
                <c:pt idx="0">
                  <c:v>132.73474999999996</c:v>
                </c:pt>
                <c:pt idx="1">
                  <c:v>109.97555</c:v>
                </c:pt>
                <c:pt idx="2">
                  <c:v>127.01224999999999</c:v>
                </c:pt>
                <c:pt idx="3">
                  <c:v>28.230999999999995</c:v>
                </c:pt>
                <c:pt idx="4">
                  <c:v>65.282825000000003</c:v>
                </c:pt>
                <c:pt idx="5">
                  <c:v>19.325699999999983</c:v>
                </c:pt>
                <c:pt idx="6">
                  <c:v>81.800400000000025</c:v>
                </c:pt>
                <c:pt idx="7">
                  <c:v>62.5</c:v>
                </c:pt>
              </c:numCache>
            </c:numRef>
          </c:val>
          <c:extLst>
            <c:ext xmlns:c16="http://schemas.microsoft.com/office/drawing/2014/chart" uri="{C3380CC4-5D6E-409C-BE32-E72D297353CC}">
              <c16:uniqueId val="{00000003-05D9-4690-99CB-691FFA54BE2A}"/>
            </c:ext>
          </c:extLst>
        </c:ser>
        <c:ser>
          <c:idx val="2"/>
          <c:order val="2"/>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5D9-4690-99CB-691FFA54BE2A}"/>
            </c:ext>
          </c:extLst>
        </c:ser>
        <c:ser>
          <c:idx val="3"/>
          <c:order val="3"/>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706-4338-B526-2B7E8AE8ED60}"/>
            </c:ext>
          </c:extLst>
        </c:ser>
        <c:dLbls>
          <c:showLegendKey val="0"/>
          <c:showVal val="0"/>
          <c:showCatName val="0"/>
          <c:showSerName val="0"/>
          <c:showPercent val="0"/>
          <c:showBubbleSize val="0"/>
        </c:dLbls>
        <c:gapWidth val="219"/>
        <c:overlap val="-27"/>
        <c:axId val="786678920"/>
        <c:axId val="1991255559"/>
        <c:extLst>
          <c:ext xmlns:c15="http://schemas.microsoft.com/office/drawing/2012/chart" uri="{02D57815-91ED-43cb-92C2-25804820EDAC}">
            <c15:filteredBarSeries>
              <c15:ser>
                <c:idx val="0"/>
                <c:order val="0"/>
                <c:tx>
                  <c:strRef>
                    <c:extLst>
                      <c:ext uri="{02D57815-91ED-43cb-92C2-25804820EDAC}">
                        <c15:formulaRef>
                          <c15:sqref>NFV!$K$5</c15:sqref>
                        </c15:formulaRef>
                      </c:ext>
                    </c:extLst>
                    <c:strCache>
                      <c:ptCount val="1"/>
                      <c:pt idx="0">
                        <c:v>Remaining Capacity kW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NFV!$C$6:$C$13</c15:sqref>
                        </c15:formulaRef>
                      </c:ext>
                    </c:extLst>
                    <c:strCache>
                      <c:ptCount val="8"/>
                      <c:pt idx="0">
                        <c:v>XOM</c:v>
                      </c:pt>
                      <c:pt idx="1">
                        <c:v>XGL</c:v>
                      </c:pt>
                      <c:pt idx="2">
                        <c:v>XGR</c:v>
                      </c:pt>
                      <c:pt idx="3">
                        <c:v>XBE</c:v>
                      </c:pt>
                      <c:pt idx="4">
                        <c:v>XEH</c:v>
                      </c:pt>
                      <c:pt idx="5">
                        <c:v>XMS</c:v>
                      </c:pt>
                      <c:pt idx="6">
                        <c:v>XLD</c:v>
                      </c:pt>
                      <c:pt idx="7">
                        <c:v>BKL</c:v>
                      </c:pt>
                    </c:strCache>
                  </c:strRef>
                </c:cat>
                <c:val>
                  <c:numRef>
                    <c:extLst>
                      <c:ext uri="{02D57815-91ED-43cb-92C2-25804820EDAC}">
                        <c15:formulaRef>
                          <c15:sqref>NFV!$K$6:$K$13</c15:sqref>
                        </c15:formulaRef>
                      </c:ext>
                    </c:extLst>
                    <c:numCache>
                      <c:formatCode>0.0</c:formatCode>
                      <c:ptCount val="8"/>
                      <c:pt idx="0">
                        <c:v>27.168249999999944</c:v>
                      </c:pt>
                      <c:pt idx="1">
                        <c:v>42.668049999999994</c:v>
                      </c:pt>
                      <c:pt idx="2">
                        <c:v>23.135249999999985</c:v>
                      </c:pt>
                      <c:pt idx="3">
                        <c:v>-10.790999999999997</c:v>
                      </c:pt>
                      <c:pt idx="4">
                        <c:v>-2.5696750000000179</c:v>
                      </c:pt>
                      <c:pt idx="5">
                        <c:v>-21.113300000000038</c:v>
                      </c:pt>
                      <c:pt idx="6">
                        <c:v>25.883399999999995</c:v>
                      </c:pt>
                      <c:pt idx="7">
                        <c:v>1.5</c:v>
                      </c:pt>
                    </c:numCache>
                  </c:numRef>
                </c:val>
                <c:extLst>
                  <c:ext xmlns:c16="http://schemas.microsoft.com/office/drawing/2014/chart" uri="{C3380CC4-5D6E-409C-BE32-E72D297353CC}">
                    <c16:uniqueId val="{00000001-05D9-4690-99CB-691FFA54BE2A}"/>
                  </c:ext>
                </c:extLst>
              </c15:ser>
            </c15:filteredBarSeries>
          </c:ext>
        </c:extLst>
      </c:barChart>
      <c:catAx>
        <c:axId val="7866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55559"/>
        <c:crosses val="autoZero"/>
        <c:auto val="1"/>
        <c:lblAlgn val="ctr"/>
        <c:lblOffset val="100"/>
        <c:noMultiLvlLbl val="0"/>
      </c:catAx>
      <c:valAx>
        <c:axId val="1991255559"/>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78920"/>
        <c:crosses val="autoZero"/>
        <c:crossBetween val="between"/>
      </c:valAx>
      <c:spPr>
        <a:noFill/>
        <a:ln>
          <a:noFill/>
        </a:ln>
        <a:effectLst/>
      </c:spPr>
    </c:plotArea>
    <c:legend>
      <c:legendPos val="b"/>
      <c:layout>
        <c:manualLayout>
          <c:xMode val="edge"/>
          <c:yMode val="edge"/>
          <c:x val="1.9278468388195773E-4"/>
          <c:y val="2.3871884189097491E-2"/>
          <c:w val="0.9983879628395177"/>
          <c:h val="6.37734564620595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percent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278.22250000000003</c:v>
                </c:pt>
                <c:pt idx="1">
                  <c:v>285.08949999999999</c:v>
                </c:pt>
                <c:pt idx="2">
                  <c:v>274.84350000000001</c:v>
                </c:pt>
                <c:pt idx="3">
                  <c:v>386.95</c:v>
                </c:pt>
                <c:pt idx="4">
                  <c:v>288.14150000000001</c:v>
                </c:pt>
                <c:pt idx="5">
                  <c:v>389.18450000000001</c:v>
                </c:pt>
                <c:pt idx="6">
                  <c:v>333.976</c:v>
                </c:pt>
                <c:pt idx="7">
                  <c:v>160</c:v>
                </c:pt>
              </c:numCache>
            </c:numRef>
          </c:val>
          <c:extLst>
            <c:ext xmlns:c16="http://schemas.microsoft.com/office/drawing/2014/chart" uri="{C3380CC4-5D6E-409C-BE32-E72D297353CC}">
              <c16:uniqueId val="{00000001-DF41-441C-8C4A-147E1424AB30}"/>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105.5665</c:v>
                </c:pt>
                <c:pt idx="1">
                  <c:v>67.307500000000005</c:v>
                </c:pt>
                <c:pt idx="2">
                  <c:v>103.877</c:v>
                </c:pt>
                <c:pt idx="3">
                  <c:v>39.021999999999998</c:v>
                </c:pt>
                <c:pt idx="4">
                  <c:v>67.852500000000006</c:v>
                </c:pt>
                <c:pt idx="5">
                  <c:v>40.439</c:v>
                </c:pt>
                <c:pt idx="6">
                  <c:v>55.917000000000002</c:v>
                </c:pt>
                <c:pt idx="7">
                  <c:v>61</c:v>
                </c:pt>
              </c:numCache>
            </c:numRef>
          </c:val>
          <c:extLst>
            <c:ext xmlns:c16="http://schemas.microsoft.com/office/drawing/2014/chart" uri="{C3380CC4-5D6E-409C-BE32-E72D297353CC}">
              <c16:uniqueId val="{00000002-DF41-441C-8C4A-147E1424AB30}"/>
            </c:ext>
          </c:extLst>
        </c:ser>
        <c:ser>
          <c:idx val="3"/>
          <c:order val="2"/>
          <c:tx>
            <c:strRef>
              <c:f>NFV!$I$5</c:f>
              <c:strCache>
                <c:ptCount val="1"/>
                <c:pt idx="0">
                  <c:v>Forecast kW</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20.388449999999999</c:v>
                </c:pt>
                <c:pt idx="2">
                  <c:v>16.393600000000003</c:v>
                </c:pt>
                <c:pt idx="3">
                  <c:v>38.040999999999997</c:v>
                </c:pt>
                <c:pt idx="4">
                  <c:v>3.488</c:v>
                </c:pt>
                <c:pt idx="5">
                  <c:v>23.326000000000001</c:v>
                </c:pt>
                <c:pt idx="6">
                  <c:v>6.1040000000000001</c:v>
                </c:pt>
                <c:pt idx="7">
                  <c:v>88</c:v>
                </c:pt>
              </c:numCache>
            </c:numRef>
          </c:val>
          <c:extLst>
            <c:ext xmlns:c16="http://schemas.microsoft.com/office/drawing/2014/chart" uri="{C3380CC4-5D6E-409C-BE32-E72D297353CC}">
              <c16:uniqueId val="{00000003-DF41-441C-8C4A-147E1424AB30}"/>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27.168249999999944</c:v>
                </c:pt>
                <c:pt idx="1">
                  <c:v>42.668049999999994</c:v>
                </c:pt>
                <c:pt idx="2">
                  <c:v>23.135249999999985</c:v>
                </c:pt>
                <c:pt idx="3">
                  <c:v>-10.790999999999997</c:v>
                </c:pt>
                <c:pt idx="4">
                  <c:v>-2.5696750000000179</c:v>
                </c:pt>
                <c:pt idx="5">
                  <c:v>-21.113300000000038</c:v>
                </c:pt>
                <c:pt idx="6">
                  <c:v>25.883399999999995</c:v>
                </c:pt>
                <c:pt idx="7">
                  <c:v>1.5</c:v>
                </c:pt>
              </c:numCache>
            </c:numRef>
          </c:val>
          <c:extLst>
            <c:ext xmlns:c16="http://schemas.microsoft.com/office/drawing/2014/chart" uri="{C3380CC4-5D6E-409C-BE32-E72D297353CC}">
              <c16:uniqueId val="{00000004-DF41-441C-8C4A-147E1424AB30}"/>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46.472149999999999</c:v>
                </c:pt>
                <c:pt idx="3">
                  <c:v>50.358000000000004</c:v>
                </c:pt>
                <c:pt idx="4">
                  <c:v>22.661099999999998</c:v>
                </c:pt>
                <c:pt idx="5">
                  <c:v>47.9818</c:v>
                </c:pt>
                <c:pt idx="6">
                  <c:v>46.875600000000006</c:v>
                </c:pt>
                <c:pt idx="7">
                  <c:v>34.5</c:v>
                </c:pt>
              </c:numCache>
            </c:numRef>
          </c:val>
          <c:extLst>
            <c:ext xmlns:c16="http://schemas.microsoft.com/office/drawing/2014/chart" uri="{C3380CC4-5D6E-409C-BE32-E72D297353CC}">
              <c16:uniqueId val="{00000000-DF41-441C-8C4A-147E1424AB30}"/>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1350202590246567"/>
          <c:y val="1.4951628234950023E-2"/>
          <c:w val="0.64333877027876751"/>
          <c:h val="5.72519048324656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278.22250000000003</c:v>
                </c:pt>
                <c:pt idx="1">
                  <c:v>285.08949999999999</c:v>
                </c:pt>
                <c:pt idx="2">
                  <c:v>274.84350000000001</c:v>
                </c:pt>
                <c:pt idx="3">
                  <c:v>386.95</c:v>
                </c:pt>
                <c:pt idx="4">
                  <c:v>288.14150000000001</c:v>
                </c:pt>
                <c:pt idx="5">
                  <c:v>389.18450000000001</c:v>
                </c:pt>
                <c:pt idx="6">
                  <c:v>333.976</c:v>
                </c:pt>
                <c:pt idx="7">
                  <c:v>160</c:v>
                </c:pt>
              </c:numCache>
            </c:numRef>
          </c:val>
          <c:extLst>
            <c:ext xmlns:c16="http://schemas.microsoft.com/office/drawing/2014/chart" uri="{C3380CC4-5D6E-409C-BE32-E72D297353CC}">
              <c16:uniqueId val="{00000000-6FC0-4DCA-9348-C28D7F386DFF}"/>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105.5665</c:v>
                </c:pt>
                <c:pt idx="1">
                  <c:v>67.307500000000005</c:v>
                </c:pt>
                <c:pt idx="2">
                  <c:v>103.877</c:v>
                </c:pt>
                <c:pt idx="3">
                  <c:v>39.021999999999998</c:v>
                </c:pt>
                <c:pt idx="4">
                  <c:v>67.852500000000006</c:v>
                </c:pt>
                <c:pt idx="5">
                  <c:v>40.439</c:v>
                </c:pt>
                <c:pt idx="6">
                  <c:v>55.917000000000002</c:v>
                </c:pt>
                <c:pt idx="7">
                  <c:v>61</c:v>
                </c:pt>
              </c:numCache>
            </c:numRef>
          </c:val>
          <c:extLst>
            <c:ext xmlns:c16="http://schemas.microsoft.com/office/drawing/2014/chart" uri="{C3380CC4-5D6E-409C-BE32-E72D297353CC}">
              <c16:uniqueId val="{00000001-6FC0-4DCA-9348-C28D7F386DFF}"/>
            </c:ext>
          </c:extLst>
        </c:ser>
        <c:ser>
          <c:idx val="3"/>
          <c:order val="2"/>
          <c:tx>
            <c:strRef>
              <c:f>NFV!$I$5</c:f>
              <c:strCache>
                <c:ptCount val="1"/>
                <c:pt idx="0">
                  <c:v>Forecast kW</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20.388449999999999</c:v>
                </c:pt>
                <c:pt idx="2">
                  <c:v>16.393600000000003</c:v>
                </c:pt>
                <c:pt idx="3">
                  <c:v>38.040999999999997</c:v>
                </c:pt>
                <c:pt idx="4">
                  <c:v>3.488</c:v>
                </c:pt>
                <c:pt idx="5">
                  <c:v>23.326000000000001</c:v>
                </c:pt>
                <c:pt idx="6">
                  <c:v>6.1040000000000001</c:v>
                </c:pt>
                <c:pt idx="7">
                  <c:v>88</c:v>
                </c:pt>
              </c:numCache>
            </c:numRef>
          </c:val>
          <c:extLst>
            <c:ext xmlns:c16="http://schemas.microsoft.com/office/drawing/2014/chart" uri="{C3380CC4-5D6E-409C-BE32-E72D297353CC}">
              <c16:uniqueId val="{00000002-6FC0-4DCA-9348-C28D7F386DFF}"/>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27.168249999999944</c:v>
                </c:pt>
                <c:pt idx="1">
                  <c:v>42.668049999999994</c:v>
                </c:pt>
                <c:pt idx="2">
                  <c:v>23.135249999999985</c:v>
                </c:pt>
                <c:pt idx="3">
                  <c:v>-10.790999999999997</c:v>
                </c:pt>
                <c:pt idx="4">
                  <c:v>-2.5696750000000179</c:v>
                </c:pt>
                <c:pt idx="5">
                  <c:v>-21.113300000000038</c:v>
                </c:pt>
                <c:pt idx="6">
                  <c:v>25.883399999999995</c:v>
                </c:pt>
                <c:pt idx="7">
                  <c:v>1.5</c:v>
                </c:pt>
              </c:numCache>
            </c:numRef>
          </c:val>
          <c:extLst>
            <c:ext xmlns:c16="http://schemas.microsoft.com/office/drawing/2014/chart" uri="{C3380CC4-5D6E-409C-BE32-E72D297353CC}">
              <c16:uniqueId val="{00000003-6FC0-4DCA-9348-C28D7F386DFF}"/>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46.472149999999999</c:v>
                </c:pt>
                <c:pt idx="3">
                  <c:v>50.358000000000004</c:v>
                </c:pt>
                <c:pt idx="4">
                  <c:v>22.661099999999998</c:v>
                </c:pt>
                <c:pt idx="5">
                  <c:v>47.9818</c:v>
                </c:pt>
                <c:pt idx="6">
                  <c:v>46.875600000000006</c:v>
                </c:pt>
                <c:pt idx="7">
                  <c:v>34.5</c:v>
                </c:pt>
              </c:numCache>
            </c:numRef>
          </c:val>
          <c:extLst>
            <c:ext xmlns:c16="http://schemas.microsoft.com/office/drawing/2014/chart" uri="{C3380CC4-5D6E-409C-BE32-E72D297353CC}">
              <c16:uniqueId val="{00000004-6FC0-4DCA-9348-C28D7F386DFF}"/>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29291156714893052"/>
          <c:y val="9.4350484620673598E-3"/>
          <c:w val="0.41658788173384131"/>
          <c:h val="3.15606246916671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785601847216476E-2"/>
          <c:y val="3.51335316946179E-2"/>
          <c:w val="0.72841223323956084"/>
          <c:h val="0.88087488869855135"/>
        </c:manualLayout>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figures'!$B$20:$B$27</c15:sqref>
                  </c15:fullRef>
                </c:ext>
              </c:extLst>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524B-4C19-A240-ACBD6CBE97B5}"/>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figures'!$C$20:$C$27</c15:sqref>
                  </c15:fullRef>
                </c:ext>
              </c:extLst>
              <c:f>'Power figures'!$C$20:$C$26</c:f>
              <c:numCache>
                <c:formatCode>0</c:formatCode>
                <c:ptCount val="7"/>
                <c:pt idx="0">
                  <c:v>305.2</c:v>
                </c:pt>
                <c:pt idx="1">
                  <c:v>317.24450000000002</c:v>
                </c:pt>
                <c:pt idx="2">
                  <c:v>283.83600000000001</c:v>
                </c:pt>
                <c:pt idx="3">
                  <c:v>255.14150000000001</c:v>
                </c:pt>
                <c:pt idx="4">
                  <c:v>237.12949999999998</c:v>
                </c:pt>
                <c:pt idx="5">
                  <c:v>244.18289000000001</c:v>
                </c:pt>
                <c:pt idx="6">
                  <c:v>228.08250000000004</c:v>
                </c:pt>
              </c:numCache>
            </c:numRef>
          </c:val>
          <c:extLst>
            <c:ext xmlns:c16="http://schemas.microsoft.com/office/drawing/2014/chart" uri="{C3380CC4-5D6E-409C-BE32-E72D297353CC}">
              <c16:uniqueId val="{00000001-524B-4C19-A240-ACBD6CBE97B5}"/>
            </c:ext>
          </c:extLst>
        </c:ser>
        <c:ser>
          <c:idx val="3"/>
          <c:order val="2"/>
          <c:tx>
            <c:strRef>
              <c:f>'Power figures'!$E$19</c:f>
              <c:strCache>
                <c:ptCount val="1"/>
                <c:pt idx="0">
                  <c:v>Forecast (kW)</c:v>
                </c:pt>
              </c:strCache>
            </c:strRef>
          </c:tx>
          <c:spPr>
            <a:solidFill>
              <a:srgbClr val="80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figures'!$E$20:$E$27</c15:sqref>
                  </c15:fullRef>
                </c:ext>
              </c:extLst>
              <c:f>'Power figures'!$E$20:$E$26</c:f>
              <c:numCache>
                <c:formatCode>0</c:formatCode>
                <c:ptCount val="7"/>
                <c:pt idx="0">
                  <c:v>38.040999999999997</c:v>
                </c:pt>
                <c:pt idx="1">
                  <c:v>23.326000000000001</c:v>
                </c:pt>
                <c:pt idx="2">
                  <c:v>6.1040000000000001</c:v>
                </c:pt>
                <c:pt idx="3">
                  <c:v>3.488</c:v>
                </c:pt>
                <c:pt idx="4">
                  <c:v>20.388449999999999</c:v>
                </c:pt>
                <c:pt idx="5">
                  <c:v>16.393600000000003</c:v>
                </c:pt>
                <c:pt idx="6">
                  <c:v>7.194</c:v>
                </c:pt>
              </c:numCache>
            </c:numRef>
          </c:val>
          <c:extLst>
            <c:ext xmlns:c16="http://schemas.microsoft.com/office/drawing/2014/chart" uri="{C3380CC4-5D6E-409C-BE32-E72D297353CC}">
              <c16:uniqueId val="{00000003-524B-4C19-A240-ACBD6CBE97B5}"/>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figures'!$D$20:$D$27</c15:sqref>
                  </c15:fullRef>
                </c:ext>
              </c:extLst>
              <c:f>'Power figures'!$D$20:$D$26</c:f>
              <c:numCache>
                <c:formatCode>0</c:formatCode>
                <c:ptCount val="7"/>
                <c:pt idx="0">
                  <c:v>39.021999999999998</c:v>
                </c:pt>
                <c:pt idx="1">
                  <c:v>40.439</c:v>
                </c:pt>
                <c:pt idx="2">
                  <c:v>55.917000000000002</c:v>
                </c:pt>
                <c:pt idx="3">
                  <c:v>53.082999999999998</c:v>
                </c:pt>
                <c:pt idx="4">
                  <c:v>67.307500000000005</c:v>
                </c:pt>
                <c:pt idx="5">
                  <c:v>103.877</c:v>
                </c:pt>
                <c:pt idx="6">
                  <c:v>105.5665</c:v>
                </c:pt>
              </c:numCache>
            </c:numRef>
          </c:val>
          <c:extLst>
            <c:ext xmlns:c16="http://schemas.microsoft.com/office/drawing/2014/chart" uri="{C3380CC4-5D6E-409C-BE32-E72D297353CC}">
              <c16:uniqueId val="{00000002-524B-4C19-A240-ACBD6CBE97B5}"/>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figures'!$G$20:$G$27</c15:sqref>
                  </c15:fullRef>
                </c:ext>
              </c:extLst>
              <c:f>'Power figures'!$G$20:$G$26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524B-4C19-A240-ACBD6CBE97B5}"/>
            </c:ext>
          </c:extLst>
        </c:ser>
        <c:dLbls>
          <c:showLegendKey val="0"/>
          <c:showVal val="0"/>
          <c:showCatName val="0"/>
          <c:showSerName val="0"/>
          <c:showPercent val="0"/>
          <c:showBubbleSize val="0"/>
        </c:dLbls>
        <c:gapWidth val="50"/>
        <c:overlap val="100"/>
        <c:axId val="205530624"/>
        <c:axId val="205532160"/>
      </c:barChart>
      <c:catAx>
        <c:axId val="205530624"/>
        <c:scaling>
          <c:orientation val="minMax"/>
        </c:scaling>
        <c:delete val="0"/>
        <c:axPos val="b"/>
        <c:numFmt formatCode="General" sourceLinked="0"/>
        <c:majorTickMark val="out"/>
        <c:minorTickMark val="none"/>
        <c:tickLblPos val="nextTo"/>
        <c:txPr>
          <a:bodyPr/>
          <a:lstStyle/>
          <a:p>
            <a:pPr>
              <a:defRPr sz="1400">
                <a:latin typeface="Vodafone Rg" panose="020B0606080202020204" pitchFamily="34" charset="0"/>
              </a:defRPr>
            </a:pPr>
            <a:endParaRPr lang="en-US"/>
          </a:p>
        </c:txPr>
        <c:crossAx val="205532160"/>
        <c:crosses val="autoZero"/>
        <c:auto val="1"/>
        <c:lblAlgn val="ctr"/>
        <c:lblOffset val="100"/>
        <c:noMultiLvlLbl val="0"/>
      </c:catAx>
      <c:valAx>
        <c:axId val="205532160"/>
        <c:scaling>
          <c:orientation val="minMax"/>
        </c:scaling>
        <c:delete val="0"/>
        <c:axPos val="l"/>
        <c:majorGridlines/>
        <c:numFmt formatCode="0" sourceLinked="1"/>
        <c:majorTickMark val="out"/>
        <c:minorTickMark val="none"/>
        <c:tickLblPos val="nextTo"/>
        <c:txPr>
          <a:bodyPr/>
          <a:lstStyle/>
          <a:p>
            <a:pPr>
              <a:defRPr sz="1400">
                <a:latin typeface="Vodafone Rg" panose="020B0606080202020204" pitchFamily="34" charset="0"/>
              </a:defRPr>
            </a:pPr>
            <a:endParaRPr lang="en-US"/>
          </a:p>
        </c:txPr>
        <c:crossAx val="205530624"/>
        <c:crosses val="autoZero"/>
        <c:crossBetween val="between"/>
      </c:valAx>
      <c:spPr>
        <a:solidFill>
          <a:schemeClr val="bg1">
            <a:lumMod val="95000"/>
          </a:schemeClr>
        </a:solidFill>
      </c:spPr>
    </c:plotArea>
    <c:legend>
      <c:legendPos val="r"/>
      <c:layout>
        <c:manualLayout>
          <c:xMode val="edge"/>
          <c:yMode val="edge"/>
          <c:x val="0.79332433947886782"/>
          <c:y val="0.33456452869434866"/>
          <c:w val="0.1975460196203411"/>
          <c:h val="0.432331382239315"/>
        </c:manualLayout>
      </c:layout>
      <c:overlay val="0"/>
      <c:txPr>
        <a:bodyPr/>
        <a:lstStyle/>
        <a:p>
          <a:pPr>
            <a:defRPr sz="1400">
              <a:latin typeface="Vodafone Rg" panose="020B0606080202020204" pitchFamily="34" charset="0"/>
            </a:defRPr>
          </a:pPr>
          <a:endParaRPr lang="en-US"/>
        </a:p>
      </c:txPr>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figures'!$B$28:$B$35</c:f>
              <c:numCache>
                <c:formatCode>0</c:formatCode>
                <c:ptCount val="8"/>
                <c:pt idx="0">
                  <c:v>17.440000000000001</c:v>
                </c:pt>
                <c:pt idx="1">
                  <c:v>7.6300000000000008</c:v>
                </c:pt>
                <c:pt idx="2">
                  <c:v>0</c:v>
                </c:pt>
                <c:pt idx="3">
                  <c:v>39.24</c:v>
                </c:pt>
                <c:pt idx="4">
                  <c:v>0</c:v>
                </c:pt>
                <c:pt idx="5">
                  <c:v>8.7200000000000006</c:v>
                </c:pt>
                <c:pt idx="6">
                  <c:v>7.6300000000000008</c:v>
                </c:pt>
                <c:pt idx="7">
                  <c:v>7.6300000000000008</c:v>
                </c:pt>
              </c:numCache>
            </c:numRef>
          </c:val>
          <c:extLst>
            <c:ext xmlns:c16="http://schemas.microsoft.com/office/drawing/2014/chart" uri="{C3380CC4-5D6E-409C-BE32-E72D297353CC}">
              <c16:uniqueId val="{00000000-701D-4954-82DF-9E265EFD15E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figures'!$C$28:$C$35</c:f>
              <c:numCache>
                <c:formatCode>0</c:formatCode>
                <c:ptCount val="8"/>
                <c:pt idx="0">
                  <c:v>106.0025</c:v>
                </c:pt>
                <c:pt idx="1">
                  <c:v>74.992000000000004</c:v>
                </c:pt>
                <c:pt idx="2">
                  <c:v>36.624000000000002</c:v>
                </c:pt>
                <c:pt idx="3">
                  <c:v>25.342499999999994</c:v>
                </c:pt>
                <c:pt idx="4">
                  <c:v>21.582000000000001</c:v>
                </c:pt>
                <c:pt idx="5">
                  <c:v>97.664000000000001</c:v>
                </c:pt>
                <c:pt idx="6">
                  <c:v>85.238</c:v>
                </c:pt>
                <c:pt idx="7">
                  <c:v>102.1875</c:v>
                </c:pt>
              </c:numCache>
            </c:numRef>
          </c:val>
          <c:extLst>
            <c:ext xmlns:c16="http://schemas.microsoft.com/office/drawing/2014/chart" uri="{C3380CC4-5D6E-409C-BE32-E72D297353CC}">
              <c16:uniqueId val="{00000001-701D-4954-82DF-9E265EFD15E0}"/>
            </c:ext>
          </c:extLst>
        </c:ser>
        <c:ser>
          <c:idx val="3"/>
          <c:order val="2"/>
          <c:tx>
            <c:strRef>
              <c:f>'Power figures'!$E$19</c:f>
              <c:strCache>
                <c:ptCount val="1"/>
                <c:pt idx="0">
                  <c:v>Forecast (kW)</c:v>
                </c:pt>
              </c:strCache>
            </c:strRef>
          </c:tx>
          <c:spPr>
            <a:solidFill>
              <a:srgbClr val="990033"/>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figures'!$E$28:$E$35</c:f>
              <c:numCache>
                <c:formatCode>0</c:formatCode>
                <c:ptCount val="8"/>
                <c:pt idx="0">
                  <c:v>5.7770000000000001</c:v>
                </c:pt>
                <c:pt idx="1">
                  <c:v>0</c:v>
                </c:pt>
                <c:pt idx="2">
                  <c:v>0</c:v>
                </c:pt>
                <c:pt idx="3">
                  <c:v>0</c:v>
                </c:pt>
                <c:pt idx="4">
                  <c:v>0</c:v>
                </c:pt>
                <c:pt idx="5">
                  <c:v>12.06085</c:v>
                </c:pt>
                <c:pt idx="6">
                  <c:v>19.292999999999999</c:v>
                </c:pt>
                <c:pt idx="7">
                  <c:v>0</c:v>
                </c:pt>
              </c:numCache>
            </c:numRef>
          </c:val>
          <c:extLst>
            <c:ext xmlns:c16="http://schemas.microsoft.com/office/drawing/2014/chart" uri="{C3380CC4-5D6E-409C-BE32-E72D297353CC}">
              <c16:uniqueId val="{00000003-701D-4954-82DF-9E265EFD15E0}"/>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figures'!$D$28:$D$35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701D-4954-82DF-9E265EFD15E0}"/>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figures'!$G$28:$G$35</c:f>
              <c:numCache>
                <c:formatCode>0</c:formatCode>
                <c:ptCount val="8"/>
                <c:pt idx="0">
                  <c:v>0</c:v>
                </c:pt>
                <c:pt idx="1">
                  <c:v>48</c:v>
                </c:pt>
                <c:pt idx="2">
                  <c:v>28</c:v>
                </c:pt>
                <c:pt idx="3">
                  <c:v>28</c:v>
                </c:pt>
                <c:pt idx="4">
                  <c:v>28</c:v>
                </c:pt>
                <c:pt idx="5">
                  <c:v>0</c:v>
                </c:pt>
                <c:pt idx="6">
                  <c:v>48</c:v>
                </c:pt>
                <c:pt idx="7">
                  <c:v>0</c:v>
                </c:pt>
              </c:numCache>
            </c:numRef>
          </c:val>
          <c:extLst>
            <c:ext xmlns:c16="http://schemas.microsoft.com/office/drawing/2014/chart" uri="{C3380CC4-5D6E-409C-BE32-E72D297353CC}">
              <c16:uniqueId val="{00000004-701D-4954-82DF-9E265EFD15E0}"/>
            </c:ext>
          </c:extLst>
        </c:ser>
        <c:dLbls>
          <c:showLegendKey val="0"/>
          <c:showVal val="0"/>
          <c:showCatName val="0"/>
          <c:showSerName val="0"/>
          <c:showPercent val="0"/>
          <c:showBubbleSize val="0"/>
        </c:dLbls>
        <c:gapWidth val="42"/>
        <c:overlap val="100"/>
        <c:axId val="205584640"/>
        <c:axId val="205586432"/>
      </c:barChart>
      <c:catAx>
        <c:axId val="205584640"/>
        <c:scaling>
          <c:orientation val="minMax"/>
        </c:scaling>
        <c:delete val="0"/>
        <c:axPos val="b"/>
        <c:numFmt formatCode="General" sourceLinked="0"/>
        <c:majorTickMark val="out"/>
        <c:minorTickMark val="none"/>
        <c:tickLblPos val="nextTo"/>
        <c:spPr>
          <a:ln>
            <a:solidFill>
              <a:sysClr val="windowText" lastClr="000000">
                <a:alpha val="88000"/>
              </a:sysClr>
            </a:solidFill>
          </a:ln>
        </c:spPr>
        <c:txPr>
          <a:bodyPr rot="0" vert="horz"/>
          <a:lstStyle/>
          <a:p>
            <a:pPr>
              <a:defRPr/>
            </a:pPr>
            <a:endParaRPr lang="en-US"/>
          </a:p>
        </c:txPr>
        <c:crossAx val="205586432"/>
        <c:crosses val="autoZero"/>
        <c:auto val="1"/>
        <c:lblAlgn val="ctr"/>
        <c:lblOffset val="100"/>
        <c:noMultiLvlLbl val="0"/>
      </c:catAx>
      <c:valAx>
        <c:axId val="205586432"/>
        <c:scaling>
          <c:orientation val="minMax"/>
        </c:scaling>
        <c:delete val="0"/>
        <c:axPos val="l"/>
        <c:majorGridlines/>
        <c:numFmt formatCode="0" sourceLinked="1"/>
        <c:majorTickMark val="out"/>
        <c:minorTickMark val="none"/>
        <c:tickLblPos val="nextTo"/>
        <c:crossAx val="205584640"/>
        <c:crosses val="autoZero"/>
        <c:crossBetween val="between"/>
      </c:valAx>
      <c:spPr>
        <a:solidFill>
          <a:schemeClr val="bg1">
            <a:lumMod val="95000"/>
          </a:schemeClr>
        </a:solidFill>
      </c:spPr>
    </c:plotArea>
    <c:legend>
      <c:legendPos val="r"/>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325044843062788E-2"/>
          <c:y val="0.13426225596923821"/>
          <c:w val="0.90417729107693579"/>
          <c:h val="0.72788383456353978"/>
        </c:manualLayout>
      </c:layout>
      <c:barChart>
        <c:barDir val="col"/>
        <c:grouping val="stacked"/>
        <c:varyColors val="0"/>
        <c:ser>
          <c:idx val="0"/>
          <c:order val="0"/>
          <c:tx>
            <c:strRef>
              <c:f>'Cab Floorspace'!$J$21</c:f>
              <c:strCache>
                <c:ptCount val="1"/>
                <c:pt idx="0">
                  <c:v>Used (m²) </c:v>
                </c:pt>
              </c:strCache>
            </c:strRef>
          </c:tx>
          <c:spPr>
            <a:solidFill>
              <a:schemeClr val="tx1"/>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Floorspace'!$J$22:$J$33</c15:sqref>
                  </c15:fullRef>
                </c:ext>
              </c:extLst>
              <c:f>'Cab Floorspace'!$J$22:$J$28</c:f>
              <c:numCache>
                <c:formatCode>0</c:formatCode>
                <c:ptCount val="7"/>
                <c:pt idx="0">
                  <c:v>1713.28</c:v>
                </c:pt>
                <c:pt idx="1">
                  <c:v>1120.32</c:v>
                </c:pt>
                <c:pt idx="2">
                  <c:v>1336.3200000000002</c:v>
                </c:pt>
                <c:pt idx="3">
                  <c:v>1058.24</c:v>
                </c:pt>
                <c:pt idx="4">
                  <c:v>1266.8800000000001</c:v>
                </c:pt>
                <c:pt idx="5">
                  <c:v>1228.8</c:v>
                </c:pt>
                <c:pt idx="6">
                  <c:v>1532.48</c:v>
                </c:pt>
              </c:numCache>
            </c:numRef>
          </c:val>
          <c:extLst>
            <c:ext xmlns:c16="http://schemas.microsoft.com/office/drawing/2014/chart" uri="{C3380CC4-5D6E-409C-BE32-E72D297353CC}">
              <c16:uniqueId val="{00000000-2756-48F8-BDB1-3C4F4190B137}"/>
            </c:ext>
          </c:extLst>
        </c:ser>
        <c:ser>
          <c:idx val="2"/>
          <c:order val="1"/>
          <c:tx>
            <c:strRef>
              <c:f>'Cab Floorspace'!$L$21</c:f>
              <c:strCache>
                <c:ptCount val="1"/>
                <c:pt idx="0">
                  <c:v>Forecast (m²) </c:v>
                </c:pt>
              </c:strCache>
            </c:strRef>
          </c:tx>
          <c:spPr>
            <a:solidFill>
              <a:srgbClr val="FFC00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Floorspace'!$L$22:$L$33</c15:sqref>
                  </c15:fullRef>
                </c:ext>
              </c:extLst>
              <c:f>'Cab Floorspace'!$L$22:$L$28</c:f>
              <c:numCache>
                <c:formatCode>0</c:formatCode>
                <c:ptCount val="7"/>
                <c:pt idx="0">
                  <c:v>12.8</c:v>
                </c:pt>
                <c:pt idx="1">
                  <c:v>15.360000000000001</c:v>
                </c:pt>
                <c:pt idx="2">
                  <c:v>0</c:v>
                </c:pt>
                <c:pt idx="3">
                  <c:v>3.84</c:v>
                </c:pt>
                <c:pt idx="4">
                  <c:v>0</c:v>
                </c:pt>
                <c:pt idx="5">
                  <c:v>12.8</c:v>
                </c:pt>
                <c:pt idx="6">
                  <c:v>0</c:v>
                </c:pt>
              </c:numCache>
            </c:numRef>
          </c:val>
          <c:extLst>
            <c:ext xmlns:c16="http://schemas.microsoft.com/office/drawing/2014/chart" uri="{C3380CC4-5D6E-409C-BE32-E72D297353CC}">
              <c16:uniqueId val="{00000002-2756-48F8-BDB1-3C4F4190B137}"/>
            </c:ext>
          </c:extLst>
        </c:ser>
        <c:ser>
          <c:idx val="1"/>
          <c:order val="2"/>
          <c:tx>
            <c:strRef>
              <c:f>'Cab Floorspace'!$K$21</c:f>
              <c:strCache>
                <c:ptCount val="1"/>
                <c:pt idx="0">
                  <c:v>Reserved (m²)</c:v>
                </c:pt>
              </c:strCache>
            </c:strRef>
          </c:tx>
          <c:spPr>
            <a:solidFill>
              <a:srgbClr val="990033"/>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Floorspace'!$K$22:$K$33</c15:sqref>
                  </c15:fullRef>
                </c:ext>
              </c:extLst>
              <c:f>'Cab Floorspace'!$K$22:$K$28</c:f>
              <c:numCache>
                <c:formatCode>0</c:formatCode>
                <c:ptCount val="7"/>
                <c:pt idx="0">
                  <c:v>1.6</c:v>
                </c:pt>
                <c:pt idx="1">
                  <c:v>1.92</c:v>
                </c:pt>
                <c:pt idx="2">
                  <c:v>20.16</c:v>
                </c:pt>
                <c:pt idx="3">
                  <c:v>7.3599999999999994</c:v>
                </c:pt>
                <c:pt idx="4">
                  <c:v>13.12</c:v>
                </c:pt>
                <c:pt idx="5">
                  <c:v>0</c:v>
                </c:pt>
                <c:pt idx="6">
                  <c:v>10.559999999999999</c:v>
                </c:pt>
              </c:numCache>
            </c:numRef>
          </c:val>
          <c:extLst>
            <c:ext xmlns:c16="http://schemas.microsoft.com/office/drawing/2014/chart" uri="{C3380CC4-5D6E-409C-BE32-E72D297353CC}">
              <c16:uniqueId val="{00000001-2756-48F8-BDB1-3C4F4190B137}"/>
            </c:ext>
          </c:extLst>
        </c:ser>
        <c:ser>
          <c:idx val="3"/>
          <c:order val="3"/>
          <c:tx>
            <c:strRef>
              <c:f>'Cab Floorspace'!$O$21</c:f>
              <c:strCache>
                <c:ptCount val="1"/>
                <c:pt idx="0">
                  <c:v>Remaining (m²) </c:v>
                </c:pt>
              </c:strCache>
            </c:strRef>
          </c:tx>
          <c:spPr>
            <a:solidFill>
              <a:srgbClr val="92D05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Floorspace'!$O$22:$O$33</c15:sqref>
                  </c15:fullRef>
                </c:ext>
              </c:extLst>
              <c:f>'Cab Floorspace'!$O$22:$O$28</c:f>
              <c:numCache>
                <c:formatCode>0</c:formatCode>
                <c:ptCount val="7"/>
                <c:pt idx="0">
                  <c:v>759.36000000000013</c:v>
                </c:pt>
                <c:pt idx="1">
                  <c:v>483.20000000000005</c:v>
                </c:pt>
                <c:pt idx="2">
                  <c:v>375.3599999999999</c:v>
                </c:pt>
                <c:pt idx="3">
                  <c:v>273.2800000000002</c:v>
                </c:pt>
                <c:pt idx="4">
                  <c:v>361.59999999999991</c:v>
                </c:pt>
                <c:pt idx="5">
                  <c:v>584.6400000000001</c:v>
                </c:pt>
                <c:pt idx="6">
                  <c:v>672.96</c:v>
                </c:pt>
              </c:numCache>
            </c:numRef>
          </c:val>
          <c:extLst>
            <c:ext xmlns:c16="http://schemas.microsoft.com/office/drawing/2014/chart" uri="{C3380CC4-5D6E-409C-BE32-E72D297353CC}">
              <c16:uniqueId val="{00000003-2756-48F8-BDB1-3C4F4190B137}"/>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out"/>
        <c:minorTickMark val="none"/>
        <c:tickLblPos val="nextTo"/>
        <c:txPr>
          <a:bodyPr/>
          <a:lstStyle/>
          <a:p>
            <a:pPr>
              <a:defRPr sz="800"/>
            </a:pPr>
            <a:endParaRPr lang="en-US"/>
          </a:p>
        </c:txPr>
        <c:crossAx val="205614464"/>
        <c:crosses val="autoZero"/>
        <c:auto val="1"/>
        <c:lblAlgn val="ctr"/>
        <c:lblOffset val="100"/>
        <c:tickLblSkip val="1"/>
        <c:noMultiLvlLbl val="0"/>
      </c:catAx>
      <c:valAx>
        <c:axId val="205614464"/>
        <c:scaling>
          <c:orientation val="minMax"/>
        </c:scaling>
        <c:delete val="0"/>
        <c:axPos val="l"/>
        <c:majorGridlines>
          <c:spPr>
            <a:ln>
              <a:noFill/>
            </a:ln>
          </c:spPr>
        </c:majorGridlines>
        <c:numFmt formatCode="0" sourceLinked="1"/>
        <c:majorTickMark val="out"/>
        <c:minorTickMark val="none"/>
        <c:tickLblPos val="nextTo"/>
        <c:txPr>
          <a:bodyPr/>
          <a:lstStyle/>
          <a:p>
            <a:pPr>
              <a:defRPr sz="800"/>
            </a:pPr>
            <a:endParaRPr lang="en-US"/>
          </a:p>
        </c:txPr>
        <c:crossAx val="205612928"/>
        <c:crosses val="autoZero"/>
        <c:crossBetween val="between"/>
      </c:valAx>
      <c:spPr>
        <a:noFill/>
      </c:spPr>
    </c:plotArea>
    <c:legend>
      <c:legendPos val="b"/>
      <c:overlay val="0"/>
      <c:txPr>
        <a:bodyPr/>
        <a:lstStyle/>
        <a:p>
          <a:pPr>
            <a:defRPr sz="800"/>
          </a:pPr>
          <a:endParaRPr lang="en-US"/>
        </a:p>
      </c:txPr>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5.0479074667097341E-2"/>
          <c:y val="5.944773175542406E-2"/>
          <c:w val="0.78530519143290034"/>
          <c:h val="0.82841572318253121"/>
        </c:manualLayout>
      </c:layout>
      <c:barChart>
        <c:barDir val="col"/>
        <c:grouping val="stacked"/>
        <c:varyColors val="0"/>
        <c:ser>
          <c:idx val="2"/>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Calc'!$O$22:$O$28</c:f>
              <c:numCache>
                <c:formatCode>0</c:formatCode>
                <c:ptCount val="7"/>
                <c:pt idx="0">
                  <c:v>76.800000000000011</c:v>
                </c:pt>
                <c:pt idx="1">
                  <c:v>92.800000000000011</c:v>
                </c:pt>
                <c:pt idx="2">
                  <c:v>81.600000000000009</c:v>
                </c:pt>
                <c:pt idx="3">
                  <c:v>89.600000000000009</c:v>
                </c:pt>
                <c:pt idx="4">
                  <c:v>32</c:v>
                </c:pt>
                <c:pt idx="5">
                  <c:v>12.8</c:v>
                </c:pt>
                <c:pt idx="6">
                  <c:v>11.200000000000001</c:v>
                </c:pt>
              </c:numCache>
            </c:numRef>
          </c:val>
          <c:extLst>
            <c:ext xmlns:c16="http://schemas.microsoft.com/office/drawing/2014/chart" uri="{C3380CC4-5D6E-409C-BE32-E72D297353CC}">
              <c16:uniqueId val="{00000000-AD32-4468-94BA-D33C45C1A826}"/>
            </c:ext>
          </c:extLst>
        </c:ser>
        <c:ser>
          <c:idx val="1"/>
          <c:order val="1"/>
          <c:tx>
            <c:strRef>
              <c:f>'Floorspace Calc'!$N$21</c:f>
              <c:strCache>
                <c:ptCount val="1"/>
                <c:pt idx="0">
                  <c:v>Forecast (m²) </c:v>
                </c:pt>
              </c:strCache>
            </c:strRef>
          </c:tx>
          <c:spPr>
            <a:solidFill>
              <a:srgbClr val="800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Calc'!$N$22:$N$28</c:f>
              <c:numCache>
                <c:formatCode>0</c:formatCode>
                <c:ptCount val="7"/>
                <c:pt idx="0">
                  <c:v>3.2</c:v>
                </c:pt>
                <c:pt idx="1">
                  <c:v>1.6</c:v>
                </c:pt>
                <c:pt idx="2">
                  <c:v>0</c:v>
                </c:pt>
                <c:pt idx="3">
                  <c:v>4.8000000000000007</c:v>
                </c:pt>
                <c:pt idx="4">
                  <c:v>9.6000000000000014</c:v>
                </c:pt>
                <c:pt idx="5">
                  <c:v>6.4</c:v>
                </c:pt>
                <c:pt idx="6">
                  <c:v>0</c:v>
                </c:pt>
              </c:numCache>
            </c:numRef>
          </c:val>
          <c:extLst>
            <c:ext xmlns:c16="http://schemas.microsoft.com/office/drawing/2014/chart" uri="{C3380CC4-5D6E-409C-BE32-E72D297353CC}">
              <c16:uniqueId val="{00000002-AD32-4468-94BA-D33C45C1A826}"/>
            </c:ext>
          </c:extLst>
        </c:ser>
        <c:ser>
          <c:idx val="0"/>
          <c:order val="2"/>
          <c:tx>
            <c:strRef>
              <c:f>'Floorspace Calc'!$M$21</c:f>
              <c:strCache>
                <c:ptCount val="1"/>
                <c:pt idx="0">
                  <c:v>Reserved (m²) </c:v>
                </c:pt>
              </c:strCache>
            </c:strRef>
          </c:tx>
          <c:spPr>
            <a:solidFill>
              <a:srgbClr val="E46C0A"/>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Calc'!$M$22:$M$28</c:f>
              <c:numCache>
                <c:formatCode>0</c:formatCode>
                <c:ptCount val="7"/>
                <c:pt idx="0">
                  <c:v>1.6</c:v>
                </c:pt>
                <c:pt idx="1">
                  <c:v>0</c:v>
                </c:pt>
                <c:pt idx="2">
                  <c:v>0</c:v>
                </c:pt>
                <c:pt idx="3">
                  <c:v>0</c:v>
                </c:pt>
                <c:pt idx="4">
                  <c:v>0</c:v>
                </c:pt>
                <c:pt idx="5">
                  <c:v>0</c:v>
                </c:pt>
                <c:pt idx="6">
                  <c:v>3.2</c:v>
                </c:pt>
              </c:numCache>
            </c:numRef>
          </c:val>
          <c:extLst>
            <c:ext xmlns:c16="http://schemas.microsoft.com/office/drawing/2014/chart" uri="{C3380CC4-5D6E-409C-BE32-E72D297353CC}">
              <c16:uniqueId val="{00000001-AD32-4468-94BA-D33C45C1A826}"/>
            </c:ext>
          </c:extLst>
        </c:ser>
        <c:ser>
          <c:idx val="3"/>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Calc'!$P$22:$P$28</c:f>
              <c:numCache>
                <c:formatCode>0</c:formatCode>
                <c:ptCount val="7"/>
                <c:pt idx="0">
                  <c:v>14.399999999999991</c:v>
                </c:pt>
                <c:pt idx="1">
                  <c:v>0</c:v>
                </c:pt>
                <c:pt idx="2">
                  <c:v>0</c:v>
                </c:pt>
                <c:pt idx="3">
                  <c:v>4.7999999999999972</c:v>
                </c:pt>
                <c:pt idx="4">
                  <c:v>20.800000000000004</c:v>
                </c:pt>
                <c:pt idx="5">
                  <c:v>8.0000000000000036</c:v>
                </c:pt>
                <c:pt idx="6">
                  <c:v>19.200000000000003</c:v>
                </c:pt>
              </c:numCache>
            </c:numRef>
          </c:val>
          <c:extLst>
            <c:ext xmlns:c16="http://schemas.microsoft.com/office/drawing/2014/chart" uri="{C3380CC4-5D6E-409C-BE32-E72D297353CC}">
              <c16:uniqueId val="{00000003-AD32-4468-94BA-D33C45C1A826}"/>
            </c:ext>
          </c:extLst>
        </c:ser>
        <c:dLbls>
          <c:showLegendKey val="0"/>
          <c:showVal val="0"/>
          <c:showCatName val="0"/>
          <c:showSerName val="0"/>
          <c:showPercent val="0"/>
          <c:showBubbleSize val="0"/>
        </c:dLbls>
        <c:gapWidth val="100"/>
        <c:overlap val="100"/>
        <c:axId val="207754752"/>
        <c:axId val="207756288"/>
      </c:barChart>
      <c:catAx>
        <c:axId val="207754752"/>
        <c:scaling>
          <c:orientation val="minMax"/>
        </c:scaling>
        <c:delete val="0"/>
        <c:axPos val="b"/>
        <c:numFmt formatCode="General" sourceLinked="0"/>
        <c:majorTickMark val="out"/>
        <c:minorTickMark val="none"/>
        <c:tickLblPos val="nextTo"/>
        <c:crossAx val="207756288"/>
        <c:crosses val="autoZero"/>
        <c:auto val="1"/>
        <c:lblAlgn val="ctr"/>
        <c:lblOffset val="100"/>
        <c:noMultiLvlLbl val="0"/>
      </c:catAx>
      <c:valAx>
        <c:axId val="207756288"/>
        <c:scaling>
          <c:orientation val="minMax"/>
        </c:scaling>
        <c:delete val="0"/>
        <c:axPos val="l"/>
        <c:majorGridlines/>
        <c:numFmt formatCode="0" sourceLinked="1"/>
        <c:majorTickMark val="out"/>
        <c:minorTickMark val="none"/>
        <c:tickLblPos val="nextTo"/>
        <c:crossAx val="207754752"/>
        <c:crosses val="autoZero"/>
        <c:crossBetween val="between"/>
      </c:valAx>
      <c:spPr>
        <a:solidFill>
          <a:sysClr val="window" lastClr="FFFFFF">
            <a:lumMod val="95000"/>
          </a:sysClr>
        </a:solidFill>
      </c:spPr>
    </c:plotArea>
    <c:legend>
      <c:legendPos val="r"/>
      <c:layout>
        <c:manualLayout>
          <c:xMode val="edge"/>
          <c:yMode val="edge"/>
          <c:x val="0.8347081453625852"/>
          <c:y val="0.30952964950177686"/>
          <c:w val="0.1622576439114799"/>
          <c:h val="0.38094070099644622"/>
        </c:manualLayout>
      </c:layout>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r>
              <a:rPr lang="en-US" sz="1200" b="1"/>
              <a:t>NFV Sites Power Breakdown</a:t>
            </a:r>
          </a:p>
        </c:rich>
      </c:tx>
      <c:layout>
        <c:manualLayout>
          <c:xMode val="edge"/>
          <c:yMode val="edge"/>
          <c:x val="2.6766819476794906E-2"/>
          <c:y val="1.724137540922811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9.3744301684108508E-2"/>
          <c:y val="0.10920831268740465"/>
          <c:w val="0.84530985734065756"/>
          <c:h val="0.73018084664203853"/>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FECE-42BB-9A79-9686734B0B53}"/>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figures'!$C$20:$C$26</c:f>
              <c:numCache>
                <c:formatCode>0</c:formatCode>
                <c:ptCount val="7"/>
                <c:pt idx="0">
                  <c:v>305.2</c:v>
                </c:pt>
                <c:pt idx="1">
                  <c:v>317.24450000000002</c:v>
                </c:pt>
                <c:pt idx="2">
                  <c:v>283.83600000000001</c:v>
                </c:pt>
                <c:pt idx="3">
                  <c:v>255.14150000000001</c:v>
                </c:pt>
                <c:pt idx="4">
                  <c:v>237.12949999999998</c:v>
                </c:pt>
                <c:pt idx="5">
                  <c:v>244.18289000000001</c:v>
                </c:pt>
                <c:pt idx="6">
                  <c:v>228.08250000000004</c:v>
                </c:pt>
              </c:numCache>
            </c:numRef>
          </c:val>
          <c:extLst>
            <c:ext xmlns:c16="http://schemas.microsoft.com/office/drawing/2014/chart" uri="{C3380CC4-5D6E-409C-BE32-E72D297353CC}">
              <c16:uniqueId val="{00000001-FECE-42BB-9A79-9686734B0B53}"/>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figures'!$E$20:$E$26</c:f>
              <c:numCache>
                <c:formatCode>0</c:formatCode>
                <c:ptCount val="7"/>
                <c:pt idx="0">
                  <c:v>38.040999999999997</c:v>
                </c:pt>
                <c:pt idx="1">
                  <c:v>23.326000000000001</c:v>
                </c:pt>
                <c:pt idx="2">
                  <c:v>6.1040000000000001</c:v>
                </c:pt>
                <c:pt idx="3">
                  <c:v>3.488</c:v>
                </c:pt>
                <c:pt idx="4">
                  <c:v>20.388449999999999</c:v>
                </c:pt>
                <c:pt idx="5">
                  <c:v>16.393600000000003</c:v>
                </c:pt>
                <c:pt idx="6">
                  <c:v>7.194</c:v>
                </c:pt>
              </c:numCache>
            </c:numRef>
          </c:val>
          <c:extLst>
            <c:ext xmlns:c16="http://schemas.microsoft.com/office/drawing/2014/chart" uri="{C3380CC4-5D6E-409C-BE32-E72D297353CC}">
              <c16:uniqueId val="{00000003-FECE-42BB-9A79-9686734B0B53}"/>
            </c:ext>
          </c:extLst>
        </c:ser>
        <c:ser>
          <c:idx val="2"/>
          <c:order val="3"/>
          <c:tx>
            <c:strRef>
              <c:f>'Power figures'!$D$19</c:f>
              <c:strCache>
                <c:ptCount val="1"/>
                <c:pt idx="0">
                  <c:v>Reserved (kW)</c:v>
                </c:pt>
              </c:strCache>
            </c:strRef>
          </c:tx>
          <c:spPr>
            <a:solidFill>
              <a:srgbClr val="C00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figures'!$D$20:$D$26</c:f>
              <c:numCache>
                <c:formatCode>0</c:formatCode>
                <c:ptCount val="7"/>
                <c:pt idx="0">
                  <c:v>39.021999999999998</c:v>
                </c:pt>
                <c:pt idx="1">
                  <c:v>40.439</c:v>
                </c:pt>
                <c:pt idx="2">
                  <c:v>55.917000000000002</c:v>
                </c:pt>
                <c:pt idx="3">
                  <c:v>53.082999999999998</c:v>
                </c:pt>
                <c:pt idx="4">
                  <c:v>67.307500000000005</c:v>
                </c:pt>
                <c:pt idx="5">
                  <c:v>103.877</c:v>
                </c:pt>
                <c:pt idx="6">
                  <c:v>105.5665</c:v>
                </c:pt>
              </c:numCache>
            </c:numRef>
          </c:val>
          <c:extLst>
            <c:ext xmlns:c16="http://schemas.microsoft.com/office/drawing/2014/chart" uri="{C3380CC4-5D6E-409C-BE32-E72D297353CC}">
              <c16:uniqueId val="{00000002-FECE-42BB-9A79-9686734B0B53}"/>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figures'!$F$20:$F$26</c:f>
              <c:numCache>
                <c:formatCode>0</c:formatCode>
                <c:ptCount val="7"/>
                <c:pt idx="0">
                  <c:v>39.987000000000023</c:v>
                </c:pt>
                <c:pt idx="1">
                  <c:v>30.050499999999985</c:v>
                </c:pt>
                <c:pt idx="2">
                  <c:v>105.003</c:v>
                </c:pt>
                <c:pt idx="3">
                  <c:v>33.287499999999994</c:v>
                </c:pt>
                <c:pt idx="4">
                  <c:v>110.21454999999997</c:v>
                </c:pt>
                <c:pt idx="5">
                  <c:v>72.885899999999964</c:v>
                </c:pt>
                <c:pt idx="6">
                  <c:v>98.016999999999967</c:v>
                </c:pt>
              </c:numCache>
            </c:numRef>
          </c:val>
          <c:extLst>
            <c:ext xmlns:c16="http://schemas.microsoft.com/office/drawing/2014/chart" uri="{C3380CC4-5D6E-409C-BE32-E72D297353CC}">
              <c16:uniqueId val="{00000004-FECE-42BB-9A79-9686734B0B53}"/>
            </c:ext>
          </c:extLst>
        </c:ser>
        <c:dLbls>
          <c:showLegendKey val="0"/>
          <c:showVal val="0"/>
          <c:showCatName val="0"/>
          <c:showSerName val="0"/>
          <c:showPercent val="0"/>
          <c:showBubbleSize val="0"/>
        </c:dLbls>
        <c:gapWidth val="17"/>
        <c:overlap val="100"/>
        <c:axId val="2043085136"/>
        <c:axId val="1660246544"/>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w="3175">
                    <a:noFill/>
                    <a:prstDash val="dash"/>
                  </a:ln>
                  <a:effectLst/>
                </c:spPr>
                <c:invertIfNegative val="0"/>
                <c:cat>
                  <c:strRef>
                    <c:extLst>
                      <c:ext uri="{02D57815-91ED-43cb-92C2-25804820EDAC}">
                        <c15:formulaRef>
                          <c15:sqref>'Power figures'!$A$20:$A$26</c15:sqref>
                        </c15:formulaRef>
                      </c:ext>
                    </c:extLst>
                    <c:strCache>
                      <c:ptCount val="7"/>
                      <c:pt idx="0">
                        <c:v> XBE</c:v>
                      </c:pt>
                      <c:pt idx="1">
                        <c:v> XMS</c:v>
                      </c:pt>
                      <c:pt idx="2">
                        <c:v> XLD</c:v>
                      </c:pt>
                      <c:pt idx="3">
                        <c:v>XEH</c:v>
                      </c:pt>
                      <c:pt idx="4">
                        <c:v> XGL</c:v>
                      </c:pt>
                      <c:pt idx="5">
                        <c:v>XGR</c:v>
                      </c:pt>
                      <c:pt idx="6">
                        <c:v>XOM</c:v>
                      </c:pt>
                    </c:strCache>
                  </c:strRef>
                </c:cat>
                <c:val>
                  <c:numRef>
                    <c:extLst>
                      <c:ext uri="{02D57815-91ED-43cb-92C2-25804820EDAC}">
                        <c15:formulaRef>
                          <c15:sqref>'Power figures'!$G$20:$G$26</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FECE-42BB-9A79-9686734B0B53}"/>
                  </c:ext>
                </c:extLst>
              </c15:ser>
            </c15:filteredBarSeries>
          </c:ext>
        </c:extLst>
      </c:barChart>
      <c:catAx>
        <c:axId val="204308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1660246544"/>
        <c:crosses val="autoZero"/>
        <c:auto val="1"/>
        <c:lblAlgn val="ctr"/>
        <c:lblOffset val="100"/>
        <c:noMultiLvlLbl val="0"/>
      </c:catAx>
      <c:valAx>
        <c:axId val="1660246544"/>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r>
                  <a:rPr lang="en-US"/>
                  <a:t>kW</a:t>
                </a:r>
              </a:p>
            </c:rich>
          </c:tx>
          <c:layout>
            <c:manualLayout>
              <c:xMode val="edge"/>
              <c:yMode val="edge"/>
              <c:x val="4.3614982400779691E-2"/>
              <c:y val="0.50222136876353529"/>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2043085136"/>
        <c:crosses val="autoZero"/>
        <c:crossBetween val="between"/>
      </c:valAx>
      <c:spPr>
        <a:noFill/>
        <a:ln>
          <a:noFill/>
        </a:ln>
        <a:effectLst/>
      </c:spPr>
    </c:plotArea>
    <c:legend>
      <c:legendPos val="b"/>
      <c:layout>
        <c:manualLayout>
          <c:xMode val="edge"/>
          <c:yMode val="edge"/>
          <c:x val="2.22746645417118E-2"/>
          <c:y val="0.84872091274435402"/>
          <c:w val="0.92028985246791173"/>
          <c:h val="0.1340376853312440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r>
              <a:rPr lang="en-GB" sz="1200" b="1"/>
              <a:t>CORE Sites Power Breakdown</a:t>
            </a:r>
          </a:p>
        </c:rich>
      </c:tx>
      <c:layout>
        <c:manualLayout>
          <c:xMode val="edge"/>
          <c:yMode val="edge"/>
          <c:x val="2.1226028469064597E-2"/>
          <c:y val="2.405531396328107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7.4183323383005553E-2"/>
          <c:y val="0.10799288207261888"/>
          <c:w val="0.88200702351259752"/>
          <c:h val="0.7145922233621137"/>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figures'!$B$27:$B$35</c:f>
              <c:numCache>
                <c:formatCode>0</c:formatCode>
                <c:ptCount val="9"/>
                <c:pt idx="0">
                  <c:v>30.520000000000003</c:v>
                </c:pt>
                <c:pt idx="1">
                  <c:v>17.440000000000001</c:v>
                </c:pt>
                <c:pt idx="2">
                  <c:v>7.6300000000000008</c:v>
                </c:pt>
                <c:pt idx="3">
                  <c:v>0</c:v>
                </c:pt>
                <c:pt idx="4">
                  <c:v>39.24</c:v>
                </c:pt>
                <c:pt idx="5">
                  <c:v>0</c:v>
                </c:pt>
                <c:pt idx="6">
                  <c:v>8.7200000000000006</c:v>
                </c:pt>
                <c:pt idx="7">
                  <c:v>7.6300000000000008</c:v>
                </c:pt>
                <c:pt idx="8">
                  <c:v>7.6300000000000008</c:v>
                </c:pt>
              </c:numCache>
            </c:numRef>
          </c:val>
          <c:extLst>
            <c:ext xmlns:c16="http://schemas.microsoft.com/office/drawing/2014/chart" uri="{C3380CC4-5D6E-409C-BE32-E72D297353CC}">
              <c16:uniqueId val="{00000000-495F-4C24-82F4-4CAABD81C28A}"/>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figures'!$C$27:$C$35</c:f>
              <c:numCache>
                <c:formatCode>0</c:formatCode>
                <c:ptCount val="9"/>
                <c:pt idx="0">
                  <c:v>140.392</c:v>
                </c:pt>
                <c:pt idx="1">
                  <c:v>106.0025</c:v>
                </c:pt>
                <c:pt idx="2">
                  <c:v>74.992000000000004</c:v>
                </c:pt>
                <c:pt idx="3">
                  <c:v>36.624000000000002</c:v>
                </c:pt>
                <c:pt idx="4">
                  <c:v>25.342499999999994</c:v>
                </c:pt>
                <c:pt idx="5">
                  <c:v>21.582000000000001</c:v>
                </c:pt>
                <c:pt idx="6">
                  <c:v>97.664000000000001</c:v>
                </c:pt>
                <c:pt idx="7">
                  <c:v>85.238</c:v>
                </c:pt>
                <c:pt idx="8">
                  <c:v>102.1875</c:v>
                </c:pt>
              </c:numCache>
            </c:numRef>
          </c:val>
          <c:extLst>
            <c:ext xmlns:c16="http://schemas.microsoft.com/office/drawing/2014/chart" uri="{C3380CC4-5D6E-409C-BE32-E72D297353CC}">
              <c16:uniqueId val="{00000001-495F-4C24-82F4-4CAABD81C28A}"/>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figures'!$E$27:$E$35</c:f>
              <c:numCache>
                <c:formatCode>0</c:formatCode>
                <c:ptCount val="9"/>
                <c:pt idx="0">
                  <c:v>1.0900000000000001</c:v>
                </c:pt>
                <c:pt idx="1">
                  <c:v>5.7770000000000001</c:v>
                </c:pt>
                <c:pt idx="2">
                  <c:v>0</c:v>
                </c:pt>
                <c:pt idx="3">
                  <c:v>0</c:v>
                </c:pt>
                <c:pt idx="4">
                  <c:v>0</c:v>
                </c:pt>
                <c:pt idx="5">
                  <c:v>0</c:v>
                </c:pt>
                <c:pt idx="6">
                  <c:v>12.06085</c:v>
                </c:pt>
                <c:pt idx="7">
                  <c:v>19.292999999999999</c:v>
                </c:pt>
                <c:pt idx="8">
                  <c:v>0</c:v>
                </c:pt>
              </c:numCache>
            </c:numRef>
          </c:val>
          <c:extLst>
            <c:ext xmlns:c16="http://schemas.microsoft.com/office/drawing/2014/chart" uri="{C3380CC4-5D6E-409C-BE32-E72D297353CC}">
              <c16:uniqueId val="{00000003-495F-4C24-82F4-4CAABD81C28A}"/>
            </c:ext>
          </c:extLst>
        </c:ser>
        <c:ser>
          <c:idx val="2"/>
          <c:order val="3"/>
          <c:tx>
            <c:strRef>
              <c:f>'Power figures'!$D$19</c:f>
              <c:strCache>
                <c:ptCount val="1"/>
                <c:pt idx="0">
                  <c:v>Reserved (kW)</c:v>
                </c:pt>
              </c:strCache>
            </c:strRef>
          </c:tx>
          <c:spPr>
            <a:solidFill>
              <a:srgbClr val="990033"/>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figures'!$D$27:$D$35</c:f>
              <c:numCache>
                <c:formatCode>0</c:formatCode>
                <c:ptCount val="9"/>
                <c:pt idx="0">
                  <c:v>13.897500000000001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495F-4C24-82F4-4CAABD81C28A}"/>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figures'!$F$27:$F$35</c:f>
              <c:numCache>
                <c:formatCode>0</c:formatCode>
                <c:ptCount val="9"/>
                <c:pt idx="0">
                  <c:v>129.10050000000001</c:v>
                </c:pt>
                <c:pt idx="1">
                  <c:v>185.78050000000002</c:v>
                </c:pt>
                <c:pt idx="2">
                  <c:v>169.37799999999999</c:v>
                </c:pt>
                <c:pt idx="3">
                  <c:v>96.376000000000005</c:v>
                </c:pt>
                <c:pt idx="4">
                  <c:v>68.41749999999999</c:v>
                </c:pt>
                <c:pt idx="5">
                  <c:v>111.41800000000001</c:v>
                </c:pt>
                <c:pt idx="6">
                  <c:v>196.55515</c:v>
                </c:pt>
                <c:pt idx="7">
                  <c:v>139.839</c:v>
                </c:pt>
                <c:pt idx="8">
                  <c:v>194.6825</c:v>
                </c:pt>
              </c:numCache>
            </c:numRef>
          </c:val>
          <c:extLst>
            <c:ext xmlns:c16="http://schemas.microsoft.com/office/drawing/2014/chart" uri="{C3380CC4-5D6E-409C-BE32-E72D297353CC}">
              <c16:uniqueId val="{00000004-495F-4C24-82F4-4CAABD81C28A}"/>
            </c:ext>
          </c:extLst>
        </c:ser>
        <c:dLbls>
          <c:showLegendKey val="0"/>
          <c:showVal val="0"/>
          <c:showCatName val="0"/>
          <c:showSerName val="0"/>
          <c:showPercent val="0"/>
          <c:showBubbleSize val="0"/>
        </c:dLbls>
        <c:gapWidth val="17"/>
        <c:overlap val="100"/>
        <c:axId val="1939488448"/>
        <c:axId val="1940412832"/>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a:noFill/>
                    <a:prstDash val="dash"/>
                  </a:ln>
                  <a:effectLst/>
                </c:spPr>
                <c:invertIfNegative val="0"/>
                <c:cat>
                  <c:strRef>
                    <c:extLst>
                      <c:ext uri="{02D57815-91ED-43cb-92C2-25804820EDAC}">
                        <c15:formulaRef>
                          <c15:sqref>'Power figures'!$A$27:$A$35</c15:sqref>
                        </c15:formulaRef>
                      </c:ext>
                    </c:extLst>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extLst>
                      <c:ext uri="{02D57815-91ED-43cb-92C2-25804820EDAC}">
                        <c15:formulaRef>
                          <c15:sqref>'Power figures'!$G$27:$G$35</c15:sqref>
                        </c15:formulaRef>
                      </c:ext>
                    </c:extLst>
                    <c:numCache>
                      <c:formatCode>0</c:formatCode>
                      <c:ptCount val="9"/>
                      <c:pt idx="0">
                        <c:v>0</c:v>
                      </c:pt>
                      <c:pt idx="1">
                        <c:v>0</c:v>
                      </c:pt>
                      <c:pt idx="2">
                        <c:v>48</c:v>
                      </c:pt>
                      <c:pt idx="3">
                        <c:v>28</c:v>
                      </c:pt>
                      <c:pt idx="4">
                        <c:v>28</c:v>
                      </c:pt>
                      <c:pt idx="5">
                        <c:v>28</c:v>
                      </c:pt>
                      <c:pt idx="6">
                        <c:v>0</c:v>
                      </c:pt>
                      <c:pt idx="7">
                        <c:v>48</c:v>
                      </c:pt>
                      <c:pt idx="8">
                        <c:v>0</c:v>
                      </c:pt>
                    </c:numCache>
                  </c:numRef>
                </c:val>
                <c:extLst>
                  <c:ext xmlns:c16="http://schemas.microsoft.com/office/drawing/2014/chart" uri="{C3380CC4-5D6E-409C-BE32-E72D297353CC}">
                    <c16:uniqueId val="{00000005-495F-4C24-82F4-4CAABD81C28A}"/>
                  </c:ext>
                </c:extLst>
              </c15:ser>
            </c15:filteredBarSeries>
          </c:ext>
        </c:extLst>
      </c:barChart>
      <c:catAx>
        <c:axId val="19394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40412832"/>
        <c:crosses val="autoZero"/>
        <c:auto val="1"/>
        <c:lblAlgn val="ctr"/>
        <c:lblOffset val="100"/>
        <c:noMultiLvlLbl val="0"/>
      </c:catAx>
      <c:valAx>
        <c:axId val="194041283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r>
                  <a:rPr lang="en-US"/>
                  <a:t>kW</a:t>
                </a:r>
              </a:p>
            </c:rich>
          </c:tx>
          <c:overlay val="0"/>
          <c:spPr>
            <a:noFill/>
            <a:ln>
              <a:noFill/>
            </a:ln>
            <a:effectLst/>
          </c:spPr>
          <c:txPr>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39488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800">
          <a:solidFill>
            <a:sysClr val="windowText" lastClr="000000"/>
          </a:solidFill>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168202342374773E-2"/>
          <c:y val="7.9346310308978485E-2"/>
          <c:w val="0.88777785977254664"/>
          <c:h val="0.80694324794128003"/>
        </c:manualLayout>
      </c:layout>
      <c:barChart>
        <c:barDir val="col"/>
        <c:grouping val="stacked"/>
        <c:varyColors val="0"/>
        <c:ser>
          <c:idx val="0"/>
          <c:order val="0"/>
          <c:tx>
            <c:strRef>
              <c:f>'12 Monthly Graph'!$C$1</c:f>
              <c:strCache>
                <c:ptCount val="1"/>
                <c:pt idx="0">
                  <c:v>Actual Load (kW)</c:v>
                </c:pt>
              </c:strCache>
            </c:strRef>
          </c:tx>
          <c:spPr>
            <a:solidFill>
              <a:schemeClr val="tx1"/>
            </a:solidFill>
            <a:ln>
              <a:solidFill>
                <a:schemeClr val="bg1"/>
              </a:solidFill>
            </a:ln>
          </c:spPr>
          <c:invertIfNegative val="0"/>
          <c:cat>
            <c:multiLvlStrRef>
              <c:f>'12 Monthly Graph'!$A$2:$B$98</c:f>
              <c:multiLvlStrCache>
                <c:ptCount val="97"/>
                <c:lvl>
                  <c:pt idx="0">
                    <c:v>Aug-23</c:v>
                  </c:pt>
                  <c:pt idx="1">
                    <c:v>Sep-23</c:v>
                  </c:pt>
                  <c:pt idx="2">
                    <c:v>Oct-23</c:v>
                  </c:pt>
                  <c:pt idx="3">
                    <c:v>Nov-23</c:v>
                  </c:pt>
                  <c:pt idx="4">
                    <c:v>Dec-23</c:v>
                  </c:pt>
                  <c:pt idx="5">
                    <c:v>Jan-24</c:v>
                  </c:pt>
                  <c:pt idx="6">
                    <c:v>Feb-24</c:v>
                  </c:pt>
                  <c:pt idx="7">
                    <c:v>Mar-24</c:v>
                  </c:pt>
                  <c:pt idx="8">
                    <c:v>Apr-24</c:v>
                  </c:pt>
                  <c:pt idx="9">
                    <c:v>May-24</c:v>
                  </c:pt>
                  <c:pt idx="10">
                    <c:v>Jun-24</c:v>
                  </c:pt>
                  <c:pt idx="11">
                    <c:v>Jul-24</c:v>
                  </c:pt>
                  <c:pt idx="12">
                    <c:v>Aug-24</c:v>
                  </c:pt>
                  <c:pt idx="14">
                    <c:v>Aug-23</c:v>
                  </c:pt>
                  <c:pt idx="15">
                    <c:v>Sep-23</c:v>
                  </c:pt>
                  <c:pt idx="16">
                    <c:v>Oct-23</c:v>
                  </c:pt>
                  <c:pt idx="17">
                    <c:v>Nov-23</c:v>
                  </c:pt>
                  <c:pt idx="18">
                    <c:v>Dec-23</c:v>
                  </c:pt>
                  <c:pt idx="19">
                    <c:v>Jan-24</c:v>
                  </c:pt>
                  <c:pt idx="20">
                    <c:v>Feb-24</c:v>
                  </c:pt>
                  <c:pt idx="21">
                    <c:v>Mar-24</c:v>
                  </c:pt>
                  <c:pt idx="22">
                    <c:v>Apr-24</c:v>
                  </c:pt>
                  <c:pt idx="23">
                    <c:v>May-24</c:v>
                  </c:pt>
                  <c:pt idx="24">
                    <c:v>Jun-24</c:v>
                  </c:pt>
                  <c:pt idx="25">
                    <c:v>Jul-24</c:v>
                  </c:pt>
                  <c:pt idx="26">
                    <c:v>Aug-24</c:v>
                  </c:pt>
                  <c:pt idx="28">
                    <c:v>Aug-23</c:v>
                  </c:pt>
                  <c:pt idx="29">
                    <c:v>Sep-23</c:v>
                  </c:pt>
                  <c:pt idx="30">
                    <c:v>Oct-23</c:v>
                  </c:pt>
                  <c:pt idx="31">
                    <c:v>Nov-23</c:v>
                  </c:pt>
                  <c:pt idx="32">
                    <c:v>Dec-23</c:v>
                  </c:pt>
                  <c:pt idx="33">
                    <c:v>Jan-24</c:v>
                  </c:pt>
                  <c:pt idx="34">
                    <c:v>Feb-24</c:v>
                  </c:pt>
                  <c:pt idx="35">
                    <c:v>Mar-24</c:v>
                  </c:pt>
                  <c:pt idx="36">
                    <c:v>Apr-24</c:v>
                  </c:pt>
                  <c:pt idx="37">
                    <c:v>May-24</c:v>
                  </c:pt>
                  <c:pt idx="38">
                    <c:v>Jun-24</c:v>
                  </c:pt>
                  <c:pt idx="39">
                    <c:v>Jul-24</c:v>
                  </c:pt>
                  <c:pt idx="40">
                    <c:v>Aug-24</c:v>
                  </c:pt>
                  <c:pt idx="42">
                    <c:v>Aug-23</c:v>
                  </c:pt>
                  <c:pt idx="43">
                    <c:v>Sep-23</c:v>
                  </c:pt>
                  <c:pt idx="44">
                    <c:v>Oct-23</c:v>
                  </c:pt>
                  <c:pt idx="45">
                    <c:v>Nov-23</c:v>
                  </c:pt>
                  <c:pt idx="46">
                    <c:v>Dec-23</c:v>
                  </c:pt>
                  <c:pt idx="47">
                    <c:v>Jan-24</c:v>
                  </c:pt>
                  <c:pt idx="48">
                    <c:v>Feb-24</c:v>
                  </c:pt>
                  <c:pt idx="49">
                    <c:v>Mar-24</c:v>
                  </c:pt>
                  <c:pt idx="50">
                    <c:v>Apr-24</c:v>
                  </c:pt>
                  <c:pt idx="51">
                    <c:v>May-24</c:v>
                  </c:pt>
                  <c:pt idx="52">
                    <c:v>Jun-24</c:v>
                  </c:pt>
                  <c:pt idx="53">
                    <c:v>Jul-24</c:v>
                  </c:pt>
                  <c:pt idx="54">
                    <c:v>Aug-24</c:v>
                  </c:pt>
                  <c:pt idx="56">
                    <c:v>Aug-23</c:v>
                  </c:pt>
                  <c:pt idx="57">
                    <c:v>Sep-23</c:v>
                  </c:pt>
                  <c:pt idx="58">
                    <c:v>Oct-23</c:v>
                  </c:pt>
                  <c:pt idx="59">
                    <c:v>Nov-23</c:v>
                  </c:pt>
                  <c:pt idx="60">
                    <c:v>Dec-23</c:v>
                  </c:pt>
                  <c:pt idx="61">
                    <c:v>Jan-24</c:v>
                  </c:pt>
                  <c:pt idx="62">
                    <c:v>Feb-24</c:v>
                  </c:pt>
                  <c:pt idx="63">
                    <c:v>Mar-24</c:v>
                  </c:pt>
                  <c:pt idx="64">
                    <c:v>Apr-24</c:v>
                  </c:pt>
                  <c:pt idx="65">
                    <c:v>May-24</c:v>
                  </c:pt>
                  <c:pt idx="66">
                    <c:v>Jun-24</c:v>
                  </c:pt>
                  <c:pt idx="67">
                    <c:v>Jul-24</c:v>
                  </c:pt>
                  <c:pt idx="68">
                    <c:v>Aug-24</c:v>
                  </c:pt>
                  <c:pt idx="70">
                    <c:v>Aug-23</c:v>
                  </c:pt>
                  <c:pt idx="71">
                    <c:v>Sep-23</c:v>
                  </c:pt>
                  <c:pt idx="72">
                    <c:v>Oct-23</c:v>
                  </c:pt>
                  <c:pt idx="73">
                    <c:v>Nov-23</c:v>
                  </c:pt>
                  <c:pt idx="74">
                    <c:v>Dec-23</c:v>
                  </c:pt>
                  <c:pt idx="75">
                    <c:v>Jan-24</c:v>
                  </c:pt>
                  <c:pt idx="76">
                    <c:v>Feb-24</c:v>
                  </c:pt>
                  <c:pt idx="77">
                    <c:v>Mar-24</c:v>
                  </c:pt>
                  <c:pt idx="78">
                    <c:v>Apr-24</c:v>
                  </c:pt>
                  <c:pt idx="79">
                    <c:v>May-24</c:v>
                  </c:pt>
                  <c:pt idx="80">
                    <c:v>Jun-24</c:v>
                  </c:pt>
                  <c:pt idx="81">
                    <c:v>Jul-24</c:v>
                  </c:pt>
                  <c:pt idx="82">
                    <c:v>Aug-24</c:v>
                  </c:pt>
                  <c:pt idx="84">
                    <c:v>Aug-23</c:v>
                  </c:pt>
                  <c:pt idx="85">
                    <c:v>Sep-23</c:v>
                  </c:pt>
                  <c:pt idx="86">
                    <c:v>Oct-23</c:v>
                  </c:pt>
                  <c:pt idx="87">
                    <c:v>Nov-23</c:v>
                  </c:pt>
                  <c:pt idx="88">
                    <c:v>Dec-23</c:v>
                  </c:pt>
                  <c:pt idx="89">
                    <c:v>Jan-24</c:v>
                  </c:pt>
                  <c:pt idx="90">
                    <c:v>Feb-24</c:v>
                  </c:pt>
                  <c:pt idx="91">
                    <c:v>Mar-24</c:v>
                  </c:pt>
                  <c:pt idx="92">
                    <c:v>Apr-24</c:v>
                  </c:pt>
                  <c:pt idx="93">
                    <c:v>May-24</c:v>
                  </c:pt>
                  <c:pt idx="94">
                    <c:v>Jun-24</c:v>
                  </c:pt>
                  <c:pt idx="95">
                    <c:v>Jul-24</c:v>
                  </c:pt>
                  <c:pt idx="96">
                    <c:v>Aug-24</c:v>
                  </c:pt>
                </c:lvl>
                <c:lvl>
                  <c:pt idx="0">
                    <c:v>XBE</c:v>
                  </c:pt>
                  <c:pt idx="13">
                    <c:v>XMS</c:v>
                  </c:pt>
                  <c:pt idx="27">
                    <c:v>XLD</c:v>
                  </c:pt>
                  <c:pt idx="41">
                    <c:v>XEH</c:v>
                  </c:pt>
                  <c:pt idx="55">
                    <c:v>XGL</c:v>
                  </c:pt>
                  <c:pt idx="69">
                    <c:v>XGR</c:v>
                  </c:pt>
                  <c:pt idx="83">
                    <c:v>XOM</c:v>
                  </c:pt>
                </c:lvl>
              </c:multiLvlStrCache>
            </c:multiLvlStrRef>
          </c:cat>
          <c:val>
            <c:numRef>
              <c:f>'12 Monthly Graph'!$C$2:$C$98</c:f>
              <c:numCache>
                <c:formatCode>0</c:formatCode>
                <c:ptCount val="97"/>
                <c:pt idx="0">
                  <c:v>376.54050000000001</c:v>
                </c:pt>
                <c:pt idx="1">
                  <c:v>376.32249999999999</c:v>
                </c:pt>
                <c:pt idx="2">
                  <c:v>376.75850000000003</c:v>
                </c:pt>
                <c:pt idx="3">
                  <c:v>376.97649999999999</c:v>
                </c:pt>
                <c:pt idx="4">
                  <c:v>376.64949999999999</c:v>
                </c:pt>
                <c:pt idx="5">
                  <c:v>378.91272027587888</c:v>
                </c:pt>
                <c:pt idx="6">
                  <c:v>372.67099999999999</c:v>
                </c:pt>
                <c:pt idx="7">
                  <c:v>367.548</c:v>
                </c:pt>
                <c:pt idx="8">
                  <c:v>370.6</c:v>
                </c:pt>
                <c:pt idx="9">
                  <c:v>385.80549999999999</c:v>
                </c:pt>
                <c:pt idx="10">
                  <c:v>386.89550000000003</c:v>
                </c:pt>
                <c:pt idx="11">
                  <c:v>386.89550000000003</c:v>
                </c:pt>
                <c:pt idx="12">
                  <c:v>386.95</c:v>
                </c:pt>
                <c:pt idx="13" formatCode="General">
                  <c:v>0</c:v>
                </c:pt>
                <c:pt idx="14">
                  <c:v>389.63049999999998</c:v>
                </c:pt>
                <c:pt idx="15">
                  <c:v>385.43400000000003</c:v>
                </c:pt>
                <c:pt idx="16">
                  <c:v>381.18299999999999</c:v>
                </c:pt>
                <c:pt idx="17">
                  <c:v>377.85849999999999</c:v>
                </c:pt>
                <c:pt idx="18">
                  <c:v>379.43900000000002</c:v>
                </c:pt>
                <c:pt idx="19">
                  <c:v>380.27982815551775</c:v>
                </c:pt>
                <c:pt idx="20">
                  <c:v>379.76600000000002</c:v>
                </c:pt>
                <c:pt idx="21">
                  <c:v>380.09300000000002</c:v>
                </c:pt>
                <c:pt idx="22">
                  <c:v>383.14749999999998</c:v>
                </c:pt>
                <c:pt idx="23">
                  <c:v>401.76749999999998</c:v>
                </c:pt>
                <c:pt idx="24">
                  <c:v>399.36950000000002</c:v>
                </c:pt>
                <c:pt idx="25">
                  <c:v>399.36950000000002</c:v>
                </c:pt>
                <c:pt idx="26">
                  <c:v>401.18450000000001</c:v>
                </c:pt>
                <c:pt idx="27" formatCode="General">
                  <c:v>0</c:v>
                </c:pt>
                <c:pt idx="28">
                  <c:v>344.6035</c:v>
                </c:pt>
                <c:pt idx="29">
                  <c:v>340.84300000000002</c:v>
                </c:pt>
                <c:pt idx="30">
                  <c:v>327.59949999999998</c:v>
                </c:pt>
                <c:pt idx="31">
                  <c:v>330.815</c:v>
                </c:pt>
                <c:pt idx="32">
                  <c:v>330.70600000000002</c:v>
                </c:pt>
                <c:pt idx="33">
                  <c:v>331.52350000000001</c:v>
                </c:pt>
                <c:pt idx="34">
                  <c:v>331.25099999999998</c:v>
                </c:pt>
                <c:pt idx="35">
                  <c:v>335.82900000000001</c:v>
                </c:pt>
                <c:pt idx="36">
                  <c:v>335.55650000000003</c:v>
                </c:pt>
                <c:pt idx="37">
                  <c:v>336.91899999999998</c:v>
                </c:pt>
                <c:pt idx="38">
                  <c:v>333.649</c:v>
                </c:pt>
                <c:pt idx="39">
                  <c:v>333.649</c:v>
                </c:pt>
                <c:pt idx="40">
                  <c:v>333.976</c:v>
                </c:pt>
                <c:pt idx="41" formatCode="General">
                  <c:v>0</c:v>
                </c:pt>
                <c:pt idx="42">
                  <c:v>296.97050000000002</c:v>
                </c:pt>
                <c:pt idx="43">
                  <c:v>294.19099999999997</c:v>
                </c:pt>
                <c:pt idx="44">
                  <c:v>293.2645</c:v>
                </c:pt>
                <c:pt idx="45">
                  <c:v>292.99200000000002</c:v>
                </c:pt>
                <c:pt idx="46">
                  <c:v>287.16050000000001</c:v>
                </c:pt>
                <c:pt idx="47">
                  <c:v>286.98931265258801</c:v>
                </c:pt>
                <c:pt idx="48">
                  <c:v>285.6345</c:v>
                </c:pt>
                <c:pt idx="49">
                  <c:v>286.9425</c:v>
                </c:pt>
                <c:pt idx="50">
                  <c:v>290.1035</c:v>
                </c:pt>
                <c:pt idx="51">
                  <c:v>287.76</c:v>
                </c:pt>
                <c:pt idx="52">
                  <c:v>288.03250000000003</c:v>
                </c:pt>
                <c:pt idx="53">
                  <c:v>288.03250000000003</c:v>
                </c:pt>
                <c:pt idx="54">
                  <c:v>288.14150000000001</c:v>
                </c:pt>
                <c:pt idx="55" formatCode="General">
                  <c:v>0</c:v>
                </c:pt>
                <c:pt idx="56">
                  <c:v>293.97300000000001</c:v>
                </c:pt>
                <c:pt idx="57">
                  <c:v>295.17200000000003</c:v>
                </c:pt>
                <c:pt idx="58">
                  <c:v>292.55599999999998</c:v>
                </c:pt>
                <c:pt idx="59">
                  <c:v>293.53699999999998</c:v>
                </c:pt>
                <c:pt idx="60">
                  <c:v>289.50400000000002</c:v>
                </c:pt>
                <c:pt idx="61">
                  <c:v>290.37599999999998</c:v>
                </c:pt>
                <c:pt idx="62">
                  <c:v>295.17200000000003</c:v>
                </c:pt>
                <c:pt idx="63">
                  <c:v>295.22649999999999</c:v>
                </c:pt>
                <c:pt idx="64">
                  <c:v>285.798</c:v>
                </c:pt>
                <c:pt idx="65">
                  <c:v>287.32400000000001</c:v>
                </c:pt>
                <c:pt idx="66">
                  <c:v>285.36200000000002</c:v>
                </c:pt>
                <c:pt idx="67">
                  <c:v>285.36200000000002</c:v>
                </c:pt>
                <c:pt idx="68">
                  <c:v>285.08949999999999</c:v>
                </c:pt>
                <c:pt idx="69" formatCode="General">
                  <c:v>0</c:v>
                </c:pt>
                <c:pt idx="70">
                  <c:v>284.05399999999997</c:v>
                </c:pt>
                <c:pt idx="71">
                  <c:v>263.72550000000001</c:v>
                </c:pt>
                <c:pt idx="72">
                  <c:v>262.90800000000002</c:v>
                </c:pt>
                <c:pt idx="73">
                  <c:v>260.78250000000003</c:v>
                </c:pt>
                <c:pt idx="74">
                  <c:v>260.01949999999999</c:v>
                </c:pt>
                <c:pt idx="75">
                  <c:v>260.48231423950193</c:v>
                </c:pt>
                <c:pt idx="76">
                  <c:v>260.18299999999999</c:v>
                </c:pt>
                <c:pt idx="77">
                  <c:v>260.34649999999999</c:v>
                </c:pt>
                <c:pt idx="78">
                  <c:v>260.51</c:v>
                </c:pt>
                <c:pt idx="79">
                  <c:v>271.6825</c:v>
                </c:pt>
                <c:pt idx="80">
                  <c:v>274.68</c:v>
                </c:pt>
                <c:pt idx="81">
                  <c:v>274.68</c:v>
                </c:pt>
                <c:pt idx="82">
                  <c:v>274.84350000000001</c:v>
                </c:pt>
                <c:pt idx="83" formatCode="General">
                  <c:v>0</c:v>
                </c:pt>
                <c:pt idx="84">
                  <c:v>296.262</c:v>
                </c:pt>
                <c:pt idx="85">
                  <c:v>289.72199999999998</c:v>
                </c:pt>
                <c:pt idx="86">
                  <c:v>284.49</c:v>
                </c:pt>
                <c:pt idx="87">
                  <c:v>282.69150000000002</c:v>
                </c:pt>
                <c:pt idx="88">
                  <c:v>283.72699999999998</c:v>
                </c:pt>
                <c:pt idx="89">
                  <c:v>292.55599999999998</c:v>
                </c:pt>
                <c:pt idx="90">
                  <c:v>293.20999999999998</c:v>
                </c:pt>
                <c:pt idx="91">
                  <c:v>293.97300000000001</c:v>
                </c:pt>
                <c:pt idx="92">
                  <c:v>294.57249999999999</c:v>
                </c:pt>
                <c:pt idx="93">
                  <c:v>277.73200000000003</c:v>
                </c:pt>
                <c:pt idx="94">
                  <c:v>277.51400000000001</c:v>
                </c:pt>
                <c:pt idx="95">
                  <c:v>277.51400000000001</c:v>
                </c:pt>
                <c:pt idx="96">
                  <c:v>278.22250000000003</c:v>
                </c:pt>
              </c:numCache>
            </c:numRef>
          </c:val>
          <c:extLst>
            <c:ext xmlns:c16="http://schemas.microsoft.com/office/drawing/2014/chart" uri="{C3380CC4-5D6E-409C-BE32-E72D297353CC}">
              <c16:uniqueId val="{00000000-1933-4F16-B5BD-1F32102F7C00}"/>
            </c:ext>
          </c:extLst>
        </c:ser>
        <c:ser>
          <c:idx val="1"/>
          <c:order val="1"/>
          <c:tx>
            <c:strRef>
              <c:f>'12 Monthly Graph'!$D$1</c:f>
              <c:strCache>
                <c:ptCount val="1"/>
                <c:pt idx="0">
                  <c:v>Remaining Deployed Usable Capability (kW)</c:v>
                </c:pt>
              </c:strCache>
            </c:strRef>
          </c:tx>
          <c:spPr>
            <a:solidFill>
              <a:srgbClr val="00B050"/>
            </a:solidFill>
            <a:ln>
              <a:solidFill>
                <a:schemeClr val="bg1"/>
              </a:solidFill>
            </a:ln>
          </c:spPr>
          <c:invertIfNegative val="0"/>
          <c:cat>
            <c:multiLvlStrRef>
              <c:f>'12 Monthly Graph'!$A$2:$B$98</c:f>
              <c:multiLvlStrCache>
                <c:ptCount val="97"/>
                <c:lvl>
                  <c:pt idx="0">
                    <c:v>Aug-23</c:v>
                  </c:pt>
                  <c:pt idx="1">
                    <c:v>Sep-23</c:v>
                  </c:pt>
                  <c:pt idx="2">
                    <c:v>Oct-23</c:v>
                  </c:pt>
                  <c:pt idx="3">
                    <c:v>Nov-23</c:v>
                  </c:pt>
                  <c:pt idx="4">
                    <c:v>Dec-23</c:v>
                  </c:pt>
                  <c:pt idx="5">
                    <c:v>Jan-24</c:v>
                  </c:pt>
                  <c:pt idx="6">
                    <c:v>Feb-24</c:v>
                  </c:pt>
                  <c:pt idx="7">
                    <c:v>Mar-24</c:v>
                  </c:pt>
                  <c:pt idx="8">
                    <c:v>Apr-24</c:v>
                  </c:pt>
                  <c:pt idx="9">
                    <c:v>May-24</c:v>
                  </c:pt>
                  <c:pt idx="10">
                    <c:v>Jun-24</c:v>
                  </c:pt>
                  <c:pt idx="11">
                    <c:v>Jul-24</c:v>
                  </c:pt>
                  <c:pt idx="12">
                    <c:v>Aug-24</c:v>
                  </c:pt>
                  <c:pt idx="14">
                    <c:v>Aug-23</c:v>
                  </c:pt>
                  <c:pt idx="15">
                    <c:v>Sep-23</c:v>
                  </c:pt>
                  <c:pt idx="16">
                    <c:v>Oct-23</c:v>
                  </c:pt>
                  <c:pt idx="17">
                    <c:v>Nov-23</c:v>
                  </c:pt>
                  <c:pt idx="18">
                    <c:v>Dec-23</c:v>
                  </c:pt>
                  <c:pt idx="19">
                    <c:v>Jan-24</c:v>
                  </c:pt>
                  <c:pt idx="20">
                    <c:v>Feb-24</c:v>
                  </c:pt>
                  <c:pt idx="21">
                    <c:v>Mar-24</c:v>
                  </c:pt>
                  <c:pt idx="22">
                    <c:v>Apr-24</c:v>
                  </c:pt>
                  <c:pt idx="23">
                    <c:v>May-24</c:v>
                  </c:pt>
                  <c:pt idx="24">
                    <c:v>Jun-24</c:v>
                  </c:pt>
                  <c:pt idx="25">
                    <c:v>Jul-24</c:v>
                  </c:pt>
                  <c:pt idx="26">
                    <c:v>Aug-24</c:v>
                  </c:pt>
                  <c:pt idx="28">
                    <c:v>Aug-23</c:v>
                  </c:pt>
                  <c:pt idx="29">
                    <c:v>Sep-23</c:v>
                  </c:pt>
                  <c:pt idx="30">
                    <c:v>Oct-23</c:v>
                  </c:pt>
                  <c:pt idx="31">
                    <c:v>Nov-23</c:v>
                  </c:pt>
                  <c:pt idx="32">
                    <c:v>Dec-23</c:v>
                  </c:pt>
                  <c:pt idx="33">
                    <c:v>Jan-24</c:v>
                  </c:pt>
                  <c:pt idx="34">
                    <c:v>Feb-24</c:v>
                  </c:pt>
                  <c:pt idx="35">
                    <c:v>Mar-24</c:v>
                  </c:pt>
                  <c:pt idx="36">
                    <c:v>Apr-24</c:v>
                  </c:pt>
                  <c:pt idx="37">
                    <c:v>May-24</c:v>
                  </c:pt>
                  <c:pt idx="38">
                    <c:v>Jun-24</c:v>
                  </c:pt>
                  <c:pt idx="39">
                    <c:v>Jul-24</c:v>
                  </c:pt>
                  <c:pt idx="40">
                    <c:v>Aug-24</c:v>
                  </c:pt>
                  <c:pt idx="42">
                    <c:v>Aug-23</c:v>
                  </c:pt>
                  <c:pt idx="43">
                    <c:v>Sep-23</c:v>
                  </c:pt>
                  <c:pt idx="44">
                    <c:v>Oct-23</c:v>
                  </c:pt>
                  <c:pt idx="45">
                    <c:v>Nov-23</c:v>
                  </c:pt>
                  <c:pt idx="46">
                    <c:v>Dec-23</c:v>
                  </c:pt>
                  <c:pt idx="47">
                    <c:v>Jan-24</c:v>
                  </c:pt>
                  <c:pt idx="48">
                    <c:v>Feb-24</c:v>
                  </c:pt>
                  <c:pt idx="49">
                    <c:v>Mar-24</c:v>
                  </c:pt>
                  <c:pt idx="50">
                    <c:v>Apr-24</c:v>
                  </c:pt>
                  <c:pt idx="51">
                    <c:v>May-24</c:v>
                  </c:pt>
                  <c:pt idx="52">
                    <c:v>Jun-24</c:v>
                  </c:pt>
                  <c:pt idx="53">
                    <c:v>Jul-24</c:v>
                  </c:pt>
                  <c:pt idx="54">
                    <c:v>Aug-24</c:v>
                  </c:pt>
                  <c:pt idx="56">
                    <c:v>Aug-23</c:v>
                  </c:pt>
                  <c:pt idx="57">
                    <c:v>Sep-23</c:v>
                  </c:pt>
                  <c:pt idx="58">
                    <c:v>Oct-23</c:v>
                  </c:pt>
                  <c:pt idx="59">
                    <c:v>Nov-23</c:v>
                  </c:pt>
                  <c:pt idx="60">
                    <c:v>Dec-23</c:v>
                  </c:pt>
                  <c:pt idx="61">
                    <c:v>Jan-24</c:v>
                  </c:pt>
                  <c:pt idx="62">
                    <c:v>Feb-24</c:v>
                  </c:pt>
                  <c:pt idx="63">
                    <c:v>Mar-24</c:v>
                  </c:pt>
                  <c:pt idx="64">
                    <c:v>Apr-24</c:v>
                  </c:pt>
                  <c:pt idx="65">
                    <c:v>May-24</c:v>
                  </c:pt>
                  <c:pt idx="66">
                    <c:v>Jun-24</c:v>
                  </c:pt>
                  <c:pt idx="67">
                    <c:v>Jul-24</c:v>
                  </c:pt>
                  <c:pt idx="68">
                    <c:v>Aug-24</c:v>
                  </c:pt>
                  <c:pt idx="70">
                    <c:v>Aug-23</c:v>
                  </c:pt>
                  <c:pt idx="71">
                    <c:v>Sep-23</c:v>
                  </c:pt>
                  <c:pt idx="72">
                    <c:v>Oct-23</c:v>
                  </c:pt>
                  <c:pt idx="73">
                    <c:v>Nov-23</c:v>
                  </c:pt>
                  <c:pt idx="74">
                    <c:v>Dec-23</c:v>
                  </c:pt>
                  <c:pt idx="75">
                    <c:v>Jan-24</c:v>
                  </c:pt>
                  <c:pt idx="76">
                    <c:v>Feb-24</c:v>
                  </c:pt>
                  <c:pt idx="77">
                    <c:v>Mar-24</c:v>
                  </c:pt>
                  <c:pt idx="78">
                    <c:v>Apr-24</c:v>
                  </c:pt>
                  <c:pt idx="79">
                    <c:v>May-24</c:v>
                  </c:pt>
                  <c:pt idx="80">
                    <c:v>Jun-24</c:v>
                  </c:pt>
                  <c:pt idx="81">
                    <c:v>Jul-24</c:v>
                  </c:pt>
                  <c:pt idx="82">
                    <c:v>Aug-24</c:v>
                  </c:pt>
                  <c:pt idx="84">
                    <c:v>Aug-23</c:v>
                  </c:pt>
                  <c:pt idx="85">
                    <c:v>Sep-23</c:v>
                  </c:pt>
                  <c:pt idx="86">
                    <c:v>Oct-23</c:v>
                  </c:pt>
                  <c:pt idx="87">
                    <c:v>Nov-23</c:v>
                  </c:pt>
                  <c:pt idx="88">
                    <c:v>Dec-23</c:v>
                  </c:pt>
                  <c:pt idx="89">
                    <c:v>Jan-24</c:v>
                  </c:pt>
                  <c:pt idx="90">
                    <c:v>Feb-24</c:v>
                  </c:pt>
                  <c:pt idx="91">
                    <c:v>Mar-24</c:v>
                  </c:pt>
                  <c:pt idx="92">
                    <c:v>Apr-24</c:v>
                  </c:pt>
                  <c:pt idx="93">
                    <c:v>May-24</c:v>
                  </c:pt>
                  <c:pt idx="94">
                    <c:v>Jun-24</c:v>
                  </c:pt>
                  <c:pt idx="95">
                    <c:v>Jul-24</c:v>
                  </c:pt>
                  <c:pt idx="96">
                    <c:v>Aug-24</c:v>
                  </c:pt>
                </c:lvl>
                <c:lvl>
                  <c:pt idx="0">
                    <c:v>XBE</c:v>
                  </c:pt>
                  <c:pt idx="13">
                    <c:v>XMS</c:v>
                  </c:pt>
                  <c:pt idx="27">
                    <c:v>XLD</c:v>
                  </c:pt>
                  <c:pt idx="41">
                    <c:v>XEH</c:v>
                  </c:pt>
                  <c:pt idx="55">
                    <c:v>XGL</c:v>
                  </c:pt>
                  <c:pt idx="69">
                    <c:v>XGR</c:v>
                  </c:pt>
                  <c:pt idx="83">
                    <c:v>XOM</c:v>
                  </c:pt>
                </c:lvl>
              </c:multiLvlStrCache>
            </c:multiLvlStrRef>
          </c:cat>
          <c:val>
            <c:numRef>
              <c:f>'12 Monthly Graph'!$D$2:$D$98</c:f>
              <c:numCache>
                <c:formatCode>0</c:formatCode>
                <c:ptCount val="97"/>
                <c:pt idx="0">
                  <c:v>127.45949999999999</c:v>
                </c:pt>
                <c:pt idx="1">
                  <c:v>127.67750000000001</c:v>
                </c:pt>
                <c:pt idx="2">
                  <c:v>127.24149999999997</c:v>
                </c:pt>
                <c:pt idx="3">
                  <c:v>127.02350000000001</c:v>
                </c:pt>
                <c:pt idx="4">
                  <c:v>127.35050000000001</c:v>
                </c:pt>
                <c:pt idx="5">
                  <c:v>125.08727972412112</c:v>
                </c:pt>
                <c:pt idx="6">
                  <c:v>131.32900000000001</c:v>
                </c:pt>
                <c:pt idx="7">
                  <c:v>136.452</c:v>
                </c:pt>
                <c:pt idx="8">
                  <c:v>133.39999999999998</c:v>
                </c:pt>
                <c:pt idx="9">
                  <c:v>118.19450000000001</c:v>
                </c:pt>
                <c:pt idx="10">
                  <c:v>117.10449999999997</c:v>
                </c:pt>
                <c:pt idx="11">
                  <c:v>117.10449999999997</c:v>
                </c:pt>
                <c:pt idx="12">
                  <c:v>117.05000000000001</c:v>
                </c:pt>
                <c:pt idx="13" formatCode="General">
                  <c:v>0</c:v>
                </c:pt>
                <c:pt idx="14">
                  <c:v>90.369500000000016</c:v>
                </c:pt>
                <c:pt idx="15">
                  <c:v>94.565999999999974</c:v>
                </c:pt>
                <c:pt idx="16">
                  <c:v>98.817000000000007</c:v>
                </c:pt>
                <c:pt idx="17">
                  <c:v>102.14150000000001</c:v>
                </c:pt>
                <c:pt idx="18">
                  <c:v>100.56099999999998</c:v>
                </c:pt>
                <c:pt idx="19">
                  <c:v>99.720171844482252</c:v>
                </c:pt>
                <c:pt idx="20">
                  <c:v>100.23399999999998</c:v>
                </c:pt>
                <c:pt idx="21">
                  <c:v>99.906999999999982</c:v>
                </c:pt>
                <c:pt idx="22">
                  <c:v>96.85250000000002</c:v>
                </c:pt>
                <c:pt idx="23">
                  <c:v>78.232500000000016</c:v>
                </c:pt>
                <c:pt idx="24">
                  <c:v>80.630499999999984</c:v>
                </c:pt>
                <c:pt idx="25">
                  <c:v>80.630499999999984</c:v>
                </c:pt>
                <c:pt idx="26">
                  <c:v>78.815499999999986</c:v>
                </c:pt>
                <c:pt idx="27" formatCode="General">
                  <c:v>0</c:v>
                </c:pt>
                <c:pt idx="28">
                  <c:v>135.3965</c:v>
                </c:pt>
                <c:pt idx="29">
                  <c:v>139.15699999999998</c:v>
                </c:pt>
                <c:pt idx="30">
                  <c:v>152.40050000000002</c:v>
                </c:pt>
                <c:pt idx="31">
                  <c:v>149.185</c:v>
                </c:pt>
                <c:pt idx="32">
                  <c:v>149.29399999999998</c:v>
                </c:pt>
                <c:pt idx="33">
                  <c:v>148.47649999999999</c:v>
                </c:pt>
                <c:pt idx="34">
                  <c:v>148.74900000000002</c:v>
                </c:pt>
                <c:pt idx="35">
                  <c:v>144.17099999999999</c:v>
                </c:pt>
                <c:pt idx="36">
                  <c:v>144.44349999999997</c:v>
                </c:pt>
                <c:pt idx="37">
                  <c:v>143.08100000000002</c:v>
                </c:pt>
                <c:pt idx="38">
                  <c:v>146.351</c:v>
                </c:pt>
                <c:pt idx="39">
                  <c:v>146.351</c:v>
                </c:pt>
                <c:pt idx="40">
                  <c:v>146.024</c:v>
                </c:pt>
                <c:pt idx="41" formatCode="General">
                  <c:v>0</c:v>
                </c:pt>
                <c:pt idx="42">
                  <c:v>81.029499999999985</c:v>
                </c:pt>
                <c:pt idx="43">
                  <c:v>83.809000000000026</c:v>
                </c:pt>
                <c:pt idx="44">
                  <c:v>84.735500000000002</c:v>
                </c:pt>
                <c:pt idx="45">
                  <c:v>85.007999999999981</c:v>
                </c:pt>
                <c:pt idx="46">
                  <c:v>90.839499999999987</c:v>
                </c:pt>
                <c:pt idx="47">
                  <c:v>91.010687347411988</c:v>
                </c:pt>
                <c:pt idx="48">
                  <c:v>92.365499999999997</c:v>
                </c:pt>
                <c:pt idx="49">
                  <c:v>91.057500000000005</c:v>
                </c:pt>
                <c:pt idx="50">
                  <c:v>87.896500000000003</c:v>
                </c:pt>
                <c:pt idx="51">
                  <c:v>90.240000000000009</c:v>
                </c:pt>
                <c:pt idx="52">
                  <c:v>89.967499999999973</c:v>
                </c:pt>
                <c:pt idx="53">
                  <c:v>89.967499999999973</c:v>
                </c:pt>
                <c:pt idx="54">
                  <c:v>89.858499999999992</c:v>
                </c:pt>
                <c:pt idx="55" formatCode="General">
                  <c:v>0</c:v>
                </c:pt>
                <c:pt idx="56">
                  <c:v>168.02699999999999</c:v>
                </c:pt>
                <c:pt idx="57">
                  <c:v>166.82799999999997</c:v>
                </c:pt>
                <c:pt idx="58">
                  <c:v>169.44400000000002</c:v>
                </c:pt>
                <c:pt idx="59">
                  <c:v>168.46300000000002</c:v>
                </c:pt>
                <c:pt idx="60">
                  <c:v>172.49599999999998</c:v>
                </c:pt>
                <c:pt idx="61">
                  <c:v>171.62400000000002</c:v>
                </c:pt>
                <c:pt idx="62">
                  <c:v>166.82799999999997</c:v>
                </c:pt>
                <c:pt idx="63">
                  <c:v>166.77350000000001</c:v>
                </c:pt>
                <c:pt idx="64">
                  <c:v>176.202</c:v>
                </c:pt>
                <c:pt idx="65">
                  <c:v>174.67599999999999</c:v>
                </c:pt>
                <c:pt idx="66">
                  <c:v>176.63799999999998</c:v>
                </c:pt>
                <c:pt idx="67">
                  <c:v>176.63799999999998</c:v>
                </c:pt>
                <c:pt idx="68">
                  <c:v>176.91050000000001</c:v>
                </c:pt>
                <c:pt idx="69" formatCode="General">
                  <c:v>0</c:v>
                </c:pt>
                <c:pt idx="70">
                  <c:v>180.94600000000003</c:v>
                </c:pt>
                <c:pt idx="71">
                  <c:v>201.27449999999999</c:v>
                </c:pt>
                <c:pt idx="72">
                  <c:v>202.09199999999998</c:v>
                </c:pt>
                <c:pt idx="73">
                  <c:v>204.21749999999997</c:v>
                </c:pt>
                <c:pt idx="74">
                  <c:v>204.98050000000001</c:v>
                </c:pt>
                <c:pt idx="75">
                  <c:v>204.51768576049807</c:v>
                </c:pt>
                <c:pt idx="76">
                  <c:v>204.81700000000001</c:v>
                </c:pt>
                <c:pt idx="77">
                  <c:v>204.65350000000001</c:v>
                </c:pt>
                <c:pt idx="78">
                  <c:v>204.49</c:v>
                </c:pt>
                <c:pt idx="79">
                  <c:v>193.3175</c:v>
                </c:pt>
                <c:pt idx="80">
                  <c:v>190.32</c:v>
                </c:pt>
                <c:pt idx="81">
                  <c:v>190.32</c:v>
                </c:pt>
                <c:pt idx="82">
                  <c:v>190.15649999999999</c:v>
                </c:pt>
                <c:pt idx="83" formatCode="General">
                  <c:v>0</c:v>
                </c:pt>
                <c:pt idx="84">
                  <c:v>169.738</c:v>
                </c:pt>
                <c:pt idx="85">
                  <c:v>176.27800000000002</c:v>
                </c:pt>
                <c:pt idx="86">
                  <c:v>181.51</c:v>
                </c:pt>
                <c:pt idx="87">
                  <c:v>183.30849999999998</c:v>
                </c:pt>
                <c:pt idx="88">
                  <c:v>182.27300000000002</c:v>
                </c:pt>
                <c:pt idx="89">
                  <c:v>173.44400000000002</c:v>
                </c:pt>
                <c:pt idx="90">
                  <c:v>172.79000000000002</c:v>
                </c:pt>
                <c:pt idx="91">
                  <c:v>172.02699999999999</c:v>
                </c:pt>
                <c:pt idx="92">
                  <c:v>171.42750000000001</c:v>
                </c:pt>
                <c:pt idx="93">
                  <c:v>188.26799999999997</c:v>
                </c:pt>
                <c:pt idx="94">
                  <c:v>188.48599999999999</c:v>
                </c:pt>
                <c:pt idx="95">
                  <c:v>188.48599999999999</c:v>
                </c:pt>
                <c:pt idx="96">
                  <c:v>187.77749999999997</c:v>
                </c:pt>
              </c:numCache>
            </c:numRef>
          </c:val>
          <c:extLst>
            <c:ext xmlns:c16="http://schemas.microsoft.com/office/drawing/2014/chart" uri="{C3380CC4-5D6E-409C-BE32-E72D297353CC}">
              <c16:uniqueId val="{00000001-1933-4F16-B5BD-1F32102F7C00}"/>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majorGridlines>
          <c:spPr>
            <a:ln>
              <a:noFill/>
            </a:ln>
          </c:spPr>
        </c:majorGridlines>
        <c:title>
          <c:tx>
            <c:rich>
              <a:bodyPr rot="-5400000" vert="horz"/>
              <a:lstStyle/>
              <a:p>
                <a:pPr>
                  <a:defRPr/>
                </a:pPr>
                <a:r>
                  <a:rPr lang="en-US"/>
                  <a:t>kW</a:t>
                </a:r>
              </a:p>
            </c:rich>
          </c:tx>
          <c:layout>
            <c:manualLayout>
              <c:xMode val="edge"/>
              <c:yMode val="edge"/>
              <c:x val="3.0641497041427216E-2"/>
              <c:y val="0.51997855279076444"/>
            </c:manualLayout>
          </c:layout>
          <c:overlay val="0"/>
        </c:title>
        <c:numFmt formatCode="0"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overlay val="0"/>
    </c:legend>
    <c:plotVisOnly val="1"/>
    <c:dispBlanksAs val="gap"/>
    <c:showDLblsOverMax val="0"/>
  </c:chart>
  <c:spPr>
    <a:ln>
      <a:solidFill>
        <a:sysClr val="windowText" lastClr="000000"/>
      </a:solidFill>
    </a:ln>
  </c:spPr>
  <c:txPr>
    <a:bodyPr/>
    <a:lstStyle/>
    <a:p>
      <a:pPr>
        <a:defRPr sz="8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Core Sites Load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'12 Monthly Graph'!$F$80</c:f>
              <c:strCache>
                <c:ptCount val="1"/>
                <c:pt idx="0">
                  <c:v>XAN</c:v>
                </c:pt>
              </c:strCache>
            </c:strRef>
          </c:tx>
          <c:spPr>
            <a:ln w="28575" cap="rnd">
              <a:solidFill>
                <a:schemeClr val="accent1"/>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Graph'!$G$80:$AE$80</c:f>
              <c:numCache>
                <c:formatCode>0</c:formatCode>
                <c:ptCount val="25"/>
                <c:pt idx="0">
                  <c:v>175.8715</c:v>
                </c:pt>
                <c:pt idx="1">
                  <c:v>164.20849999999999</c:v>
                </c:pt>
                <c:pt idx="2">
                  <c:v>166.77</c:v>
                </c:pt>
                <c:pt idx="3">
                  <c:v>171.45699999999999</c:v>
                </c:pt>
                <c:pt idx="4">
                  <c:v>172.32900000000001</c:v>
                </c:pt>
                <c:pt idx="5">
                  <c:v>165.244</c:v>
                </c:pt>
                <c:pt idx="6">
                  <c:v>167.26050000000001</c:v>
                </c:pt>
                <c:pt idx="7">
                  <c:v>168.18700000000001</c:v>
                </c:pt>
                <c:pt idx="8">
                  <c:v>172.874</c:v>
                </c:pt>
                <c:pt idx="9">
                  <c:v>179.08699999999999</c:v>
                </c:pt>
                <c:pt idx="10">
                  <c:v>180.286</c:v>
                </c:pt>
                <c:pt idx="11">
                  <c:v>182.684</c:v>
                </c:pt>
                <c:pt idx="12">
                  <c:v>188.29750000000001</c:v>
                </c:pt>
                <c:pt idx="13">
                  <c:v>190</c:v>
                </c:pt>
                <c:pt idx="14">
                  <c:v>200</c:v>
                </c:pt>
                <c:pt idx="15">
                  <c:v>200</c:v>
                </c:pt>
                <c:pt idx="16">
                  <c:v>198</c:v>
                </c:pt>
              </c:numCache>
            </c:numRef>
          </c:val>
          <c:smooth val="0"/>
          <c:extLst>
            <c:ext xmlns:c16="http://schemas.microsoft.com/office/drawing/2014/chart" uri="{C3380CC4-5D6E-409C-BE32-E72D297353CC}">
              <c16:uniqueId val="{00000000-61FD-462F-9DF5-DF89BFDB7468}"/>
            </c:ext>
          </c:extLst>
        </c:ser>
        <c:ser>
          <c:idx val="1"/>
          <c:order val="1"/>
          <c:tx>
            <c:strRef>
              <c:f>'12 Monthly Graph'!$F$81</c:f>
              <c:strCache>
                <c:ptCount val="1"/>
                <c:pt idx="0">
                  <c:v>XBE</c:v>
                </c:pt>
              </c:strCache>
            </c:strRef>
          </c:tx>
          <c:spPr>
            <a:ln w="28575" cap="rnd">
              <a:solidFill>
                <a:schemeClr val="accent2"/>
              </a:solidFill>
              <a:round/>
            </a:ln>
            <a:effectLst/>
          </c:spPr>
          <c:marker>
            <c:symbol val="none"/>
          </c:marker>
          <c:trendline>
            <c:spPr>
              <a:ln w="19050" cap="rnd">
                <a:solidFill>
                  <a:schemeClr val="accent6"/>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Graph'!$G$81:$AE$81</c:f>
              <c:numCache>
                <c:formatCode>0</c:formatCode>
                <c:ptCount val="25"/>
                <c:pt idx="0">
                  <c:v>294.40899999999999</c:v>
                </c:pt>
                <c:pt idx="1">
                  <c:v>299.2595</c:v>
                </c:pt>
                <c:pt idx="2">
                  <c:v>285.74349999999998</c:v>
                </c:pt>
                <c:pt idx="3">
                  <c:v>286.452</c:v>
                </c:pt>
                <c:pt idx="4">
                  <c:v>305.25450000000001</c:v>
                </c:pt>
                <c:pt idx="5">
                  <c:v>321.11399999999998</c:v>
                </c:pt>
                <c:pt idx="6">
                  <c:v>329.77949999999998</c:v>
                </c:pt>
                <c:pt idx="7">
                  <c:v>330.92399999999998</c:v>
                </c:pt>
                <c:pt idx="8">
                  <c:v>323.56650000000002</c:v>
                </c:pt>
                <c:pt idx="9">
                  <c:v>350.16250000000002</c:v>
                </c:pt>
                <c:pt idx="10">
                  <c:v>340.51600000000002</c:v>
                </c:pt>
                <c:pt idx="11">
                  <c:v>343.24099999999999</c:v>
                </c:pt>
                <c:pt idx="12">
                  <c:v>369.12849999999997</c:v>
                </c:pt>
                <c:pt idx="13">
                  <c:v>369</c:v>
                </c:pt>
                <c:pt idx="14">
                  <c:v>376</c:v>
                </c:pt>
                <c:pt idx="15">
                  <c:v>419</c:v>
                </c:pt>
                <c:pt idx="16">
                  <c:v>406</c:v>
                </c:pt>
              </c:numCache>
            </c:numRef>
          </c:val>
          <c:smooth val="0"/>
          <c:extLst>
            <c:ext xmlns:c16="http://schemas.microsoft.com/office/drawing/2014/chart" uri="{C3380CC4-5D6E-409C-BE32-E72D297353CC}">
              <c16:uniqueId val="{00000001-61FD-462F-9DF5-DF89BFDB7468}"/>
            </c:ext>
          </c:extLst>
        </c:ser>
        <c:ser>
          <c:idx val="2"/>
          <c:order val="2"/>
          <c:tx>
            <c:strRef>
              <c:f>'12 Monthly Graph'!$F$82</c:f>
              <c:strCache>
                <c:ptCount val="1"/>
                <c:pt idx="0">
                  <c:v>XCY</c:v>
                </c:pt>
              </c:strCache>
            </c:strRef>
          </c:tx>
          <c:spPr>
            <a:ln w="28575" cap="rnd">
              <a:solidFill>
                <a:schemeClr val="accent3"/>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Graph'!$G$82:$AE$82</c:f>
              <c:numCache>
                <c:formatCode>0</c:formatCode>
                <c:ptCount val="25"/>
                <c:pt idx="0">
                  <c:v>143.44399999999999</c:v>
                </c:pt>
                <c:pt idx="1">
                  <c:v>145.18799999999999</c:v>
                </c:pt>
                <c:pt idx="2">
                  <c:v>146.65950000000001</c:v>
                </c:pt>
                <c:pt idx="3">
                  <c:v>146.76849999999999</c:v>
                </c:pt>
                <c:pt idx="4">
                  <c:v>146.00550000000001</c:v>
                </c:pt>
                <c:pt idx="5">
                  <c:v>140.93700000000001</c:v>
                </c:pt>
                <c:pt idx="6">
                  <c:v>137.55799999999999</c:v>
                </c:pt>
                <c:pt idx="7">
                  <c:v>140.01050000000001</c:v>
                </c:pt>
                <c:pt idx="8">
                  <c:v>141.482</c:v>
                </c:pt>
                <c:pt idx="9">
                  <c:v>141.42750000000001</c:v>
                </c:pt>
                <c:pt idx="10">
                  <c:v>137.72149999999999</c:v>
                </c:pt>
                <c:pt idx="11">
                  <c:v>141.86349999999999</c:v>
                </c:pt>
                <c:pt idx="12">
                  <c:v>145.624</c:v>
                </c:pt>
                <c:pt idx="13">
                  <c:v>146</c:v>
                </c:pt>
                <c:pt idx="14">
                  <c:v>146</c:v>
                </c:pt>
                <c:pt idx="15">
                  <c:v>147</c:v>
                </c:pt>
                <c:pt idx="16">
                  <c:v>150</c:v>
                </c:pt>
              </c:numCache>
            </c:numRef>
          </c:val>
          <c:smooth val="0"/>
          <c:extLst>
            <c:ext xmlns:c16="http://schemas.microsoft.com/office/drawing/2014/chart" uri="{C3380CC4-5D6E-409C-BE32-E72D297353CC}">
              <c16:uniqueId val="{00000002-61FD-462F-9DF5-DF89BFDB7468}"/>
            </c:ext>
          </c:extLst>
        </c:ser>
        <c:ser>
          <c:idx val="3"/>
          <c:order val="3"/>
          <c:tx>
            <c:strRef>
              <c:f>'12 Monthly Graph'!$F$83</c:f>
              <c:strCache>
                <c:ptCount val="1"/>
                <c:pt idx="0">
                  <c:v>XEH</c:v>
                </c:pt>
              </c:strCache>
            </c:strRef>
          </c:tx>
          <c:spPr>
            <a:ln w="28575" cap="rnd">
              <a:solidFill>
                <a:schemeClr val="accent4"/>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Graph'!$G$83:$AE$83</c:f>
              <c:numCache>
                <c:formatCode>0</c:formatCode>
                <c:ptCount val="25"/>
                <c:pt idx="0">
                  <c:v>148.51249999999999</c:v>
                </c:pt>
                <c:pt idx="1">
                  <c:v>148.785</c:v>
                </c:pt>
                <c:pt idx="2">
                  <c:v>138.1575</c:v>
                </c:pt>
                <c:pt idx="3">
                  <c:v>137.93950000000001</c:v>
                </c:pt>
                <c:pt idx="4">
                  <c:v>137.994</c:v>
                </c:pt>
                <c:pt idx="5">
                  <c:v>130.90899999999999</c:v>
                </c:pt>
                <c:pt idx="6">
                  <c:v>128.72900000000001</c:v>
                </c:pt>
                <c:pt idx="7">
                  <c:v>128.83799999999999</c:v>
                </c:pt>
                <c:pt idx="8">
                  <c:v>196.636</c:v>
                </c:pt>
                <c:pt idx="9">
                  <c:v>189.38749999999999</c:v>
                </c:pt>
                <c:pt idx="10">
                  <c:v>196.52699999999999</c:v>
                </c:pt>
                <c:pt idx="11">
                  <c:v>199.143</c:v>
                </c:pt>
                <c:pt idx="12">
                  <c:v>215.7655</c:v>
                </c:pt>
                <c:pt idx="13">
                  <c:v>207</c:v>
                </c:pt>
                <c:pt idx="14">
                  <c:v>239</c:v>
                </c:pt>
                <c:pt idx="15">
                  <c:v>246</c:v>
                </c:pt>
                <c:pt idx="16">
                  <c:v>246</c:v>
                </c:pt>
              </c:numCache>
            </c:numRef>
          </c:val>
          <c:smooth val="0"/>
          <c:extLst>
            <c:ext xmlns:c16="http://schemas.microsoft.com/office/drawing/2014/chart" uri="{C3380CC4-5D6E-409C-BE32-E72D297353CC}">
              <c16:uniqueId val="{00000003-61FD-462F-9DF5-DF89BFDB7468}"/>
            </c:ext>
          </c:extLst>
        </c:ser>
        <c:ser>
          <c:idx val="4"/>
          <c:order val="4"/>
          <c:tx>
            <c:strRef>
              <c:f>'12 Monthly Graph'!$F$84</c:f>
              <c:strCache>
                <c:ptCount val="1"/>
                <c:pt idx="0">
                  <c:v>XER</c:v>
                </c:pt>
              </c:strCache>
            </c:strRef>
          </c:tx>
          <c:spPr>
            <a:ln w="28575" cap="rnd">
              <a:solidFill>
                <a:schemeClr val="accent5"/>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Graph'!$G$84:$AE$84</c:f>
              <c:numCache>
                <c:formatCode>0</c:formatCode>
                <c:ptCount val="25"/>
                <c:pt idx="0">
                  <c:v>76.5</c:v>
                </c:pt>
                <c:pt idx="1">
                  <c:v>76.5</c:v>
                </c:pt>
                <c:pt idx="2">
                  <c:v>76.5</c:v>
                </c:pt>
                <c:pt idx="3">
                  <c:v>76.5</c:v>
                </c:pt>
                <c:pt idx="4">
                  <c:v>76.5</c:v>
                </c:pt>
                <c:pt idx="5">
                  <c:v>76.5</c:v>
                </c:pt>
                <c:pt idx="6">
                  <c:v>76.5</c:v>
                </c:pt>
                <c:pt idx="7">
                  <c:v>76.5</c:v>
                </c:pt>
                <c:pt idx="8">
                  <c:v>76.5</c:v>
                </c:pt>
                <c:pt idx="9">
                  <c:v>76.5</c:v>
                </c:pt>
                <c:pt idx="10">
                  <c:v>76.5</c:v>
                </c:pt>
                <c:pt idx="11">
                  <c:v>76.5</c:v>
                </c:pt>
                <c:pt idx="12">
                  <c:v>76.5</c:v>
                </c:pt>
                <c:pt idx="13">
                  <c:v>77</c:v>
                </c:pt>
                <c:pt idx="14">
                  <c:v>77</c:v>
                </c:pt>
                <c:pt idx="15">
                  <c:v>77</c:v>
                </c:pt>
                <c:pt idx="16">
                  <c:v>77</c:v>
                </c:pt>
              </c:numCache>
            </c:numRef>
          </c:val>
          <c:smooth val="0"/>
          <c:extLst>
            <c:ext xmlns:c16="http://schemas.microsoft.com/office/drawing/2014/chart" uri="{C3380CC4-5D6E-409C-BE32-E72D297353CC}">
              <c16:uniqueId val="{00000004-61FD-462F-9DF5-DF89BFDB7468}"/>
            </c:ext>
          </c:extLst>
        </c:ser>
        <c:ser>
          <c:idx val="5"/>
          <c:order val="5"/>
          <c:tx>
            <c:strRef>
              <c:f>'12 Monthly Graph'!$F$85</c:f>
              <c:strCache>
                <c:ptCount val="1"/>
                <c:pt idx="0">
                  <c:v>XGR</c:v>
                </c:pt>
              </c:strCache>
            </c:strRef>
          </c:tx>
          <c:spPr>
            <a:ln w="28575" cap="rnd">
              <a:solidFill>
                <a:schemeClr val="accent6"/>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Graph'!$G$85:$AE$85</c:f>
              <c:numCache>
                <c:formatCode>0</c:formatCode>
                <c:ptCount val="25"/>
                <c:pt idx="0">
                  <c:v>161.2655</c:v>
                </c:pt>
                <c:pt idx="1">
                  <c:v>165.0805</c:v>
                </c:pt>
                <c:pt idx="2">
                  <c:v>159.685</c:v>
                </c:pt>
                <c:pt idx="3">
                  <c:v>159.358</c:v>
                </c:pt>
                <c:pt idx="4">
                  <c:v>155.87</c:v>
                </c:pt>
                <c:pt idx="5">
                  <c:v>151.89150000000001</c:v>
                </c:pt>
                <c:pt idx="6">
                  <c:v>151.946</c:v>
                </c:pt>
                <c:pt idx="7">
                  <c:v>152.32749999999999</c:v>
                </c:pt>
                <c:pt idx="8">
                  <c:v>154.2895</c:v>
                </c:pt>
                <c:pt idx="9">
                  <c:v>151.7825</c:v>
                </c:pt>
                <c:pt idx="10">
                  <c:v>142.4085</c:v>
                </c:pt>
                <c:pt idx="11">
                  <c:v>143.77099999999999</c:v>
                </c:pt>
                <c:pt idx="12">
                  <c:v>145.4605</c:v>
                </c:pt>
                <c:pt idx="13">
                  <c:v>147</c:v>
                </c:pt>
                <c:pt idx="14">
                  <c:v>146</c:v>
                </c:pt>
                <c:pt idx="15">
                  <c:v>147</c:v>
                </c:pt>
                <c:pt idx="16">
                  <c:v>157</c:v>
                </c:pt>
              </c:numCache>
            </c:numRef>
          </c:val>
          <c:smooth val="0"/>
          <c:extLst>
            <c:ext xmlns:c16="http://schemas.microsoft.com/office/drawing/2014/chart" uri="{C3380CC4-5D6E-409C-BE32-E72D297353CC}">
              <c16:uniqueId val="{00000005-61FD-462F-9DF5-DF89BFDB7468}"/>
            </c:ext>
          </c:extLst>
        </c:ser>
        <c:ser>
          <c:idx val="6"/>
          <c:order val="6"/>
          <c:tx>
            <c:strRef>
              <c:f>'12 Monthly Graph'!$F$86</c:f>
              <c:strCache>
                <c:ptCount val="1"/>
                <c:pt idx="0">
                  <c:v> XGL</c:v>
                </c:pt>
              </c:strCache>
            </c:strRef>
          </c:tx>
          <c:spPr>
            <a:ln w="28575" cap="rnd">
              <a:solidFill>
                <a:schemeClr val="accent1">
                  <a:lumMod val="60000"/>
                </a:schemeClr>
              </a:solidFill>
              <a:round/>
            </a:ln>
            <a:effectLst/>
          </c:spPr>
          <c:marker>
            <c:symbol val="none"/>
          </c:marker>
          <c:trendline>
            <c:spPr>
              <a:ln w="19050" cap="rnd">
                <a:solidFill>
                  <a:srgbClr val="558ED5"/>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Graph'!$G$86:$AE$86</c:f>
              <c:numCache>
                <c:formatCode>0</c:formatCode>
                <c:ptCount val="25"/>
                <c:pt idx="0">
                  <c:v>294.12200000000001</c:v>
                </c:pt>
                <c:pt idx="1">
                  <c:v>285.767</c:v>
                </c:pt>
                <c:pt idx="2">
                  <c:v>273.43100000000004</c:v>
                </c:pt>
                <c:pt idx="3">
                  <c:v>276.82900000000001</c:v>
                </c:pt>
                <c:pt idx="4">
                  <c:v>279.55399999999997</c:v>
                </c:pt>
                <c:pt idx="5">
                  <c:v>278.6275</c:v>
                </c:pt>
                <c:pt idx="6">
                  <c:v>276.28399999999999</c:v>
                </c:pt>
                <c:pt idx="7">
                  <c:v>275.79349999999999</c:v>
                </c:pt>
                <c:pt idx="8">
                  <c:v>273.77699999999999</c:v>
                </c:pt>
                <c:pt idx="9">
                  <c:v>278.99250000000001</c:v>
                </c:pt>
                <c:pt idx="10">
                  <c:v>277.22950000000003</c:v>
                </c:pt>
                <c:pt idx="11">
                  <c:v>269.43600000000004</c:v>
                </c:pt>
                <c:pt idx="12">
                  <c:v>268.38149999999996</c:v>
                </c:pt>
                <c:pt idx="13">
                  <c:v>268</c:v>
                </c:pt>
                <c:pt idx="14">
                  <c:v>271</c:v>
                </c:pt>
                <c:pt idx="15">
                  <c:v>274</c:v>
                </c:pt>
                <c:pt idx="16">
                  <c:v>296</c:v>
                </c:pt>
              </c:numCache>
            </c:numRef>
          </c:val>
          <c:smooth val="0"/>
          <c:extLst>
            <c:ext xmlns:c16="http://schemas.microsoft.com/office/drawing/2014/chart" uri="{C3380CC4-5D6E-409C-BE32-E72D297353CC}">
              <c16:uniqueId val="{00000006-61FD-462F-9DF5-DF89BFDB7468}"/>
            </c:ext>
          </c:extLst>
        </c:ser>
        <c:ser>
          <c:idx val="7"/>
          <c:order val="7"/>
          <c:tx>
            <c:strRef>
              <c:f>'12 Monthly Graph'!$F$87</c:f>
              <c:strCache>
                <c:ptCount val="1"/>
                <c:pt idx="0">
                  <c:v>XKS</c:v>
                </c:pt>
              </c:strCache>
            </c:strRef>
          </c:tx>
          <c:spPr>
            <a:ln w="28575" cap="rnd">
              <a:solidFill>
                <a:schemeClr val="accent2">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Graph'!$G$87:$AE$87</c:f>
              <c:numCache>
                <c:formatCode>0</c:formatCode>
                <c:ptCount val="25"/>
                <c:pt idx="0">
                  <c:v>209.607</c:v>
                </c:pt>
                <c:pt idx="1">
                  <c:v>208.19</c:v>
                </c:pt>
                <c:pt idx="2">
                  <c:v>201.0505</c:v>
                </c:pt>
                <c:pt idx="3">
                  <c:v>201.214</c:v>
                </c:pt>
                <c:pt idx="4">
                  <c:v>199.57900000000001</c:v>
                </c:pt>
                <c:pt idx="5">
                  <c:v>197.45349999999999</c:v>
                </c:pt>
                <c:pt idx="6">
                  <c:v>188.24299999999999</c:v>
                </c:pt>
                <c:pt idx="7">
                  <c:v>187.262</c:v>
                </c:pt>
                <c:pt idx="8">
                  <c:v>187.262</c:v>
                </c:pt>
                <c:pt idx="9">
                  <c:v>188.29750000000001</c:v>
                </c:pt>
                <c:pt idx="10">
                  <c:v>191.94900000000001</c:v>
                </c:pt>
                <c:pt idx="11">
                  <c:v>185.08199999999999</c:v>
                </c:pt>
                <c:pt idx="12">
                  <c:v>141.91800000000001</c:v>
                </c:pt>
                <c:pt idx="13">
                  <c:v>186</c:v>
                </c:pt>
                <c:pt idx="14">
                  <c:v>184</c:v>
                </c:pt>
                <c:pt idx="15">
                  <c:v>187</c:v>
                </c:pt>
                <c:pt idx="16">
                  <c:v>183</c:v>
                </c:pt>
              </c:numCache>
            </c:numRef>
          </c:val>
          <c:smooth val="0"/>
          <c:extLst>
            <c:ext xmlns:c16="http://schemas.microsoft.com/office/drawing/2014/chart" uri="{C3380CC4-5D6E-409C-BE32-E72D297353CC}">
              <c16:uniqueId val="{00000007-61FD-462F-9DF5-DF89BFDB7468}"/>
            </c:ext>
          </c:extLst>
        </c:ser>
        <c:ser>
          <c:idx val="8"/>
          <c:order val="8"/>
          <c:tx>
            <c:strRef>
              <c:f>'12 Monthly Graph'!$F$88</c:f>
              <c:strCache>
                <c:ptCount val="1"/>
                <c:pt idx="0">
                  <c:v> XLD</c:v>
                </c:pt>
              </c:strCache>
            </c:strRef>
          </c:tx>
          <c:spPr>
            <a:ln w="28575" cap="rnd">
              <a:solidFill>
                <a:schemeClr val="accent3">
                  <a:lumMod val="60000"/>
                </a:schemeClr>
              </a:solidFill>
              <a:round/>
            </a:ln>
            <a:effectLst/>
          </c:spPr>
          <c:marker>
            <c:symbol val="none"/>
          </c:marker>
          <c:trendline>
            <c:spPr>
              <a:ln w="19050" cap="rnd">
                <a:solidFill>
                  <a:schemeClr val="accent3">
                    <a:lumMod val="60000"/>
                  </a:schemeClr>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Graph'!$G$88:$AE$88</c:f>
              <c:numCache>
                <c:formatCode>0</c:formatCode>
                <c:ptCount val="25"/>
                <c:pt idx="0">
                  <c:v>237.34950000000001</c:v>
                </c:pt>
                <c:pt idx="1">
                  <c:v>248.41550000000001</c:v>
                </c:pt>
                <c:pt idx="2">
                  <c:v>238.80449999999999</c:v>
                </c:pt>
                <c:pt idx="3">
                  <c:v>239.29499999999999</c:v>
                </c:pt>
                <c:pt idx="4">
                  <c:v>239.73099999999999</c:v>
                </c:pt>
                <c:pt idx="5">
                  <c:v>235.679</c:v>
                </c:pt>
                <c:pt idx="6">
                  <c:v>235.97049999999999</c:v>
                </c:pt>
                <c:pt idx="7">
                  <c:v>233.89949999999999</c:v>
                </c:pt>
                <c:pt idx="8">
                  <c:v>226.3785</c:v>
                </c:pt>
                <c:pt idx="9">
                  <c:v>234.73599999999999</c:v>
                </c:pt>
                <c:pt idx="10">
                  <c:v>283.98500000000001</c:v>
                </c:pt>
                <c:pt idx="11">
                  <c:v>297.68349999999998</c:v>
                </c:pt>
                <c:pt idx="12">
                  <c:v>300.553</c:v>
                </c:pt>
                <c:pt idx="13">
                  <c:v>311</c:v>
                </c:pt>
                <c:pt idx="14">
                  <c:v>324</c:v>
                </c:pt>
                <c:pt idx="15">
                  <c:v>333</c:v>
                </c:pt>
                <c:pt idx="16">
                  <c:v>382</c:v>
                </c:pt>
              </c:numCache>
            </c:numRef>
          </c:val>
          <c:smooth val="0"/>
          <c:extLst>
            <c:ext xmlns:c16="http://schemas.microsoft.com/office/drawing/2014/chart" uri="{C3380CC4-5D6E-409C-BE32-E72D297353CC}">
              <c16:uniqueId val="{00000008-61FD-462F-9DF5-DF89BFDB7468}"/>
            </c:ext>
          </c:extLst>
        </c:ser>
        <c:ser>
          <c:idx val="9"/>
          <c:order val="9"/>
          <c:tx>
            <c:strRef>
              <c:f>'12 Monthly Graph'!$F$89</c:f>
              <c:strCache>
                <c:ptCount val="1"/>
                <c:pt idx="0">
                  <c:v> XMS</c:v>
                </c:pt>
              </c:strCache>
            </c:strRef>
          </c:tx>
          <c:spPr>
            <a:ln w="28575" cap="rnd">
              <a:solidFill>
                <a:schemeClr val="accent4">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Graph'!$G$89:$AE$89</c:f>
              <c:numCache>
                <c:formatCode>0</c:formatCode>
                <c:ptCount val="25"/>
                <c:pt idx="0">
                  <c:v>241.87100000000001</c:v>
                </c:pt>
                <c:pt idx="1">
                  <c:v>244.65049999999999</c:v>
                </c:pt>
                <c:pt idx="2">
                  <c:v>243.3425</c:v>
                </c:pt>
                <c:pt idx="3">
                  <c:v>246.12200000000001</c:v>
                </c:pt>
                <c:pt idx="4">
                  <c:v>270.75599999999997</c:v>
                </c:pt>
                <c:pt idx="5">
                  <c:v>290.21249999999998</c:v>
                </c:pt>
                <c:pt idx="6">
                  <c:v>299.75</c:v>
                </c:pt>
                <c:pt idx="7">
                  <c:v>302.47500000000002</c:v>
                </c:pt>
                <c:pt idx="8">
                  <c:v>294.46350000000001</c:v>
                </c:pt>
                <c:pt idx="9">
                  <c:v>335.39299999999997</c:v>
                </c:pt>
                <c:pt idx="10">
                  <c:v>318.66149999999999</c:v>
                </c:pt>
                <c:pt idx="11">
                  <c:v>334.35750000000002</c:v>
                </c:pt>
                <c:pt idx="12">
                  <c:v>340.84300000000002</c:v>
                </c:pt>
                <c:pt idx="13">
                  <c:v>346</c:v>
                </c:pt>
                <c:pt idx="14">
                  <c:v>352</c:v>
                </c:pt>
                <c:pt idx="15">
                  <c:v>380</c:v>
                </c:pt>
                <c:pt idx="16">
                  <c:v>380</c:v>
                </c:pt>
              </c:numCache>
            </c:numRef>
          </c:val>
          <c:smooth val="0"/>
          <c:extLst>
            <c:ext xmlns:c16="http://schemas.microsoft.com/office/drawing/2014/chart" uri="{C3380CC4-5D6E-409C-BE32-E72D297353CC}">
              <c16:uniqueId val="{00000009-61FD-462F-9DF5-DF89BFDB7468}"/>
            </c:ext>
          </c:extLst>
        </c:ser>
        <c:ser>
          <c:idx val="10"/>
          <c:order val="10"/>
          <c:tx>
            <c:strRef>
              <c:f>'12 Monthly Graph'!$F$90</c:f>
              <c:strCache>
                <c:ptCount val="1"/>
                <c:pt idx="0">
                  <c:v>XOM</c:v>
                </c:pt>
              </c:strCache>
            </c:strRef>
          </c:tx>
          <c:spPr>
            <a:ln w="28575" cap="rnd">
              <a:solidFill>
                <a:schemeClr val="accent5">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Graph'!$G$90:$AE$90</c:f>
              <c:numCache>
                <c:formatCode>0</c:formatCode>
                <c:ptCount val="25"/>
                <c:pt idx="0">
                  <c:v>228.9</c:v>
                </c:pt>
                <c:pt idx="1">
                  <c:v>231.02549999999999</c:v>
                </c:pt>
                <c:pt idx="2">
                  <c:v>220.61600000000001</c:v>
                </c:pt>
                <c:pt idx="3">
                  <c:v>219.85300000000001</c:v>
                </c:pt>
                <c:pt idx="4">
                  <c:v>225.84800000000001</c:v>
                </c:pt>
                <c:pt idx="5">
                  <c:v>222.30549999999999</c:v>
                </c:pt>
                <c:pt idx="6">
                  <c:v>214.0215</c:v>
                </c:pt>
                <c:pt idx="7">
                  <c:v>211.73249999999999</c:v>
                </c:pt>
                <c:pt idx="8">
                  <c:v>199.9605</c:v>
                </c:pt>
                <c:pt idx="9">
                  <c:v>200.233</c:v>
                </c:pt>
                <c:pt idx="10">
                  <c:v>203.83</c:v>
                </c:pt>
                <c:pt idx="11">
                  <c:v>202.7945</c:v>
                </c:pt>
                <c:pt idx="12">
                  <c:v>203.1215</c:v>
                </c:pt>
                <c:pt idx="13">
                  <c:v>208</c:v>
                </c:pt>
                <c:pt idx="14">
                  <c:v>204</c:v>
                </c:pt>
                <c:pt idx="15">
                  <c:v>205</c:v>
                </c:pt>
                <c:pt idx="16">
                  <c:v>208</c:v>
                </c:pt>
              </c:numCache>
            </c:numRef>
          </c:val>
          <c:smooth val="0"/>
          <c:extLst>
            <c:ext xmlns:c16="http://schemas.microsoft.com/office/drawing/2014/chart" uri="{C3380CC4-5D6E-409C-BE32-E72D297353CC}">
              <c16:uniqueId val="{0000000A-61FD-462F-9DF5-DF89BFDB7468}"/>
            </c:ext>
          </c:extLst>
        </c:ser>
        <c:ser>
          <c:idx val="11"/>
          <c:order val="11"/>
          <c:tx>
            <c:strRef>
              <c:f>'12 Monthly Graph'!$F$91</c:f>
              <c:strCache>
                <c:ptCount val="1"/>
                <c:pt idx="0">
                  <c:v>XRM</c:v>
                </c:pt>
              </c:strCache>
            </c:strRef>
          </c:tx>
          <c:spPr>
            <a:ln w="28575" cap="rnd">
              <a:solidFill>
                <a:schemeClr val="accent6">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Graph'!$G$91:$AE$91</c:f>
              <c:numCache>
                <c:formatCode>0</c:formatCode>
                <c:ptCount val="25"/>
                <c:pt idx="0">
                  <c:v>164.59</c:v>
                </c:pt>
                <c:pt idx="1">
                  <c:v>168.2415</c:v>
                </c:pt>
                <c:pt idx="2">
                  <c:v>159.249</c:v>
                </c:pt>
                <c:pt idx="3">
                  <c:v>152.8725</c:v>
                </c:pt>
                <c:pt idx="4">
                  <c:v>153.8535</c:v>
                </c:pt>
                <c:pt idx="5">
                  <c:v>151.18299999999999</c:v>
                </c:pt>
                <c:pt idx="6">
                  <c:v>153.09049999999999</c:v>
                </c:pt>
                <c:pt idx="7">
                  <c:v>150.965</c:v>
                </c:pt>
                <c:pt idx="8">
                  <c:v>154.453</c:v>
                </c:pt>
                <c:pt idx="9">
                  <c:v>154.23500000000001</c:v>
                </c:pt>
                <c:pt idx="10">
                  <c:v>157.614</c:v>
                </c:pt>
                <c:pt idx="11">
                  <c:v>144.75200000000001</c:v>
                </c:pt>
                <c:pt idx="12">
                  <c:v>144.91550000000001</c:v>
                </c:pt>
                <c:pt idx="13">
                  <c:v>146</c:v>
                </c:pt>
                <c:pt idx="14">
                  <c:v>143</c:v>
                </c:pt>
                <c:pt idx="15">
                  <c:v>142</c:v>
                </c:pt>
                <c:pt idx="16">
                  <c:v>143</c:v>
                </c:pt>
              </c:numCache>
            </c:numRef>
          </c:val>
          <c:smooth val="0"/>
          <c:extLst>
            <c:ext xmlns:c16="http://schemas.microsoft.com/office/drawing/2014/chart" uri="{C3380CC4-5D6E-409C-BE32-E72D297353CC}">
              <c16:uniqueId val="{0000000B-61FD-462F-9DF5-DF89BFDB7468}"/>
            </c:ext>
          </c:extLst>
        </c:ser>
        <c:ser>
          <c:idx val="12"/>
          <c:order val="12"/>
          <c:tx>
            <c:strRef>
              <c:f>'12 Monthly Graph'!$F$92</c:f>
              <c:strCache>
                <c:ptCount val="1"/>
                <c:pt idx="0">
                  <c:v>XSN</c:v>
                </c:pt>
              </c:strCache>
            </c:strRef>
          </c:tx>
          <c:spPr>
            <a:ln w="28575" cap="rnd">
              <a:solidFill>
                <a:schemeClr val="accent1">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Graph'!$G$92:$AE$92</c:f>
              <c:numCache>
                <c:formatCode>0</c:formatCode>
                <c:ptCount val="25"/>
                <c:pt idx="0">
                  <c:v>133.6885</c:v>
                </c:pt>
                <c:pt idx="1">
                  <c:v>132.5985</c:v>
                </c:pt>
                <c:pt idx="2">
                  <c:v>128.72900000000001</c:v>
                </c:pt>
                <c:pt idx="3">
                  <c:v>129.4375</c:v>
                </c:pt>
                <c:pt idx="4">
                  <c:v>130.255</c:v>
                </c:pt>
                <c:pt idx="5">
                  <c:v>126.113</c:v>
                </c:pt>
                <c:pt idx="6">
                  <c:v>125.7315</c:v>
                </c:pt>
                <c:pt idx="7">
                  <c:v>128.40199999999999</c:v>
                </c:pt>
                <c:pt idx="8">
                  <c:v>127.639</c:v>
                </c:pt>
                <c:pt idx="9">
                  <c:v>123.8785</c:v>
                </c:pt>
                <c:pt idx="10">
                  <c:v>126.22199999999999</c:v>
                </c:pt>
                <c:pt idx="11">
                  <c:v>128.89250000000001</c:v>
                </c:pt>
                <c:pt idx="12">
                  <c:v>128.40199999999999</c:v>
                </c:pt>
                <c:pt idx="13">
                  <c:v>132</c:v>
                </c:pt>
                <c:pt idx="14">
                  <c:v>132</c:v>
                </c:pt>
                <c:pt idx="15">
                  <c:v>133</c:v>
                </c:pt>
                <c:pt idx="16">
                  <c:v>133</c:v>
                </c:pt>
              </c:numCache>
            </c:numRef>
          </c:val>
          <c:smooth val="0"/>
          <c:extLst>
            <c:ext xmlns:c16="http://schemas.microsoft.com/office/drawing/2014/chart" uri="{C3380CC4-5D6E-409C-BE32-E72D297353CC}">
              <c16:uniqueId val="{0000000C-61FD-462F-9DF5-DF89BFDB7468}"/>
            </c:ext>
          </c:extLst>
        </c:ser>
        <c:ser>
          <c:idx val="13"/>
          <c:order val="13"/>
          <c:tx>
            <c:strRef>
              <c:f>'12 Monthly Graph'!$F$93</c:f>
              <c:strCache>
                <c:ptCount val="1"/>
                <c:pt idx="0">
                  <c:v>XSY</c:v>
                </c:pt>
              </c:strCache>
            </c:strRef>
          </c:tx>
          <c:spPr>
            <a:ln w="28575" cap="rnd">
              <a:solidFill>
                <a:schemeClr val="accent2">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Graph'!$G$93:$AE$93</c:f>
              <c:numCache>
                <c:formatCode>0</c:formatCode>
                <c:ptCount val="25"/>
                <c:pt idx="0">
                  <c:v>160.99299999999999</c:v>
                </c:pt>
                <c:pt idx="1">
                  <c:v>163.28200000000001</c:v>
                </c:pt>
                <c:pt idx="2">
                  <c:v>158.595</c:v>
                </c:pt>
                <c:pt idx="3">
                  <c:v>158.595</c:v>
                </c:pt>
                <c:pt idx="4">
                  <c:v>157.0145</c:v>
                </c:pt>
                <c:pt idx="5">
                  <c:v>153.363</c:v>
                </c:pt>
                <c:pt idx="6">
                  <c:v>152.4365</c:v>
                </c:pt>
                <c:pt idx="7">
                  <c:v>150.202</c:v>
                </c:pt>
                <c:pt idx="8">
                  <c:v>152.4365</c:v>
                </c:pt>
                <c:pt idx="9">
                  <c:v>151.7825</c:v>
                </c:pt>
                <c:pt idx="10">
                  <c:v>143.33500000000001</c:v>
                </c:pt>
                <c:pt idx="11">
                  <c:v>143.28049999999999</c:v>
                </c:pt>
                <c:pt idx="12">
                  <c:v>143.00800000000001</c:v>
                </c:pt>
                <c:pt idx="13">
                  <c:v>144</c:v>
                </c:pt>
                <c:pt idx="14">
                  <c:v>145</c:v>
                </c:pt>
                <c:pt idx="15">
                  <c:v>146</c:v>
                </c:pt>
                <c:pt idx="16">
                  <c:v>145</c:v>
                </c:pt>
              </c:numCache>
            </c:numRef>
          </c:val>
          <c:smooth val="0"/>
          <c:extLst>
            <c:ext xmlns:c16="http://schemas.microsoft.com/office/drawing/2014/chart" uri="{C3380CC4-5D6E-409C-BE32-E72D297353CC}">
              <c16:uniqueId val="{00000003-D9A2-4657-A305-0F98027DA846}"/>
            </c:ext>
          </c:extLst>
        </c:ser>
        <c:dLbls>
          <c:showLegendKey val="0"/>
          <c:showVal val="0"/>
          <c:showCatName val="0"/>
          <c:showSerName val="0"/>
          <c:showPercent val="0"/>
          <c:showBubbleSize val="0"/>
        </c:dLbls>
        <c:smooth val="0"/>
        <c:axId val="766596447"/>
        <c:axId val="766598527"/>
      </c:lineChart>
      <c:dateAx>
        <c:axId val="76659644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8527"/>
        <c:crosses val="autoZero"/>
        <c:auto val="1"/>
        <c:lblOffset val="100"/>
        <c:baseTimeUnit val="months"/>
        <c:majorUnit val="3"/>
        <c:majorTimeUnit val="months"/>
      </c:dateAx>
      <c:valAx>
        <c:axId val="766598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6447"/>
        <c:crosses val="autoZero"/>
        <c:crossBetween val="between"/>
      </c:valAx>
      <c:spPr>
        <a:solidFill>
          <a:schemeClr val="bg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r>
              <a:rPr lang="en-GB">
                <a:solidFill>
                  <a:schemeClr val="tx1"/>
                </a:solidFill>
                <a:latin typeface="Vodafone Rg" panose="020B0606080202020204" pitchFamily="34" charset="0"/>
              </a:rPr>
              <a:t>NFV Sites</a:t>
            </a:r>
            <a:r>
              <a:rPr lang="en-GB" baseline="0">
                <a:solidFill>
                  <a:schemeClr val="tx1"/>
                </a:solidFill>
                <a:latin typeface="Vodafone Rg" panose="020B0606080202020204" pitchFamily="34" charset="0"/>
              </a:rPr>
              <a:t> Load Trend</a:t>
            </a:r>
            <a:endParaRPr lang="en-GB">
              <a:solidFill>
                <a:schemeClr val="tx1"/>
              </a:solidFill>
              <a:latin typeface="Vodafone Rg" panose="020B060608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endParaRPr lang="en-GB"/>
        </a:p>
      </c:txPr>
    </c:title>
    <c:autoTitleDeleted val="0"/>
    <c:plotArea>
      <c:layout>
        <c:manualLayout>
          <c:layoutTarget val="inner"/>
          <c:xMode val="edge"/>
          <c:yMode val="edge"/>
          <c:x val="8.4579663581577577E-2"/>
          <c:y val="9.1746738542873796E-2"/>
          <c:w val="0.87880409604023302"/>
          <c:h val="0.82522366460949126"/>
        </c:manualLayout>
      </c:layout>
      <c:lineChart>
        <c:grouping val="standard"/>
        <c:varyColors val="0"/>
        <c:ser>
          <c:idx val="0"/>
          <c:order val="0"/>
          <c:tx>
            <c:strRef>
              <c:f>'12 Monthly Graph'!$C$155</c:f>
              <c:strCache>
                <c:ptCount val="1"/>
                <c:pt idx="0">
                  <c:v>XBE</c:v>
                </c:pt>
              </c:strCache>
            </c:strRef>
          </c:tx>
          <c:spPr>
            <a:ln w="28575" cap="rnd">
              <a:solidFill>
                <a:schemeClr val="accent1"/>
              </a:solidFill>
              <a:round/>
            </a:ln>
            <a:effectLst/>
          </c:spPr>
          <c:marker>
            <c:symbol val="none"/>
          </c:marker>
          <c:dLbls>
            <c:dLbl>
              <c:idx val="6"/>
              <c:layout>
                <c:manualLayout>
                  <c:x val="0.39911165282328087"/>
                  <c:y val="-7.2298574164715898E-2"/>
                </c:manualLayout>
              </c:layout>
              <c:tx>
                <c:rich>
                  <a:bodyPr/>
                  <a:lstStyle/>
                  <a:p>
                    <a:fld id="{0B751426-5BBE-4D91-9F4F-E8FBB6075103}"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Graph'!$C$156:$C$168</c:f>
              <c:numCache>
                <c:formatCode>0</c:formatCode>
                <c:ptCount val="13"/>
                <c:pt idx="0">
                  <c:v>376.54050000000001</c:v>
                </c:pt>
                <c:pt idx="1">
                  <c:v>376.32249999999999</c:v>
                </c:pt>
                <c:pt idx="2">
                  <c:v>376.75850000000003</c:v>
                </c:pt>
                <c:pt idx="3">
                  <c:v>376.97649999999999</c:v>
                </c:pt>
                <c:pt idx="4">
                  <c:v>376.64949999999999</c:v>
                </c:pt>
                <c:pt idx="5">
                  <c:v>378.91272027587888</c:v>
                </c:pt>
                <c:pt idx="6">
                  <c:v>372.67099999999999</c:v>
                </c:pt>
                <c:pt idx="7">
                  <c:v>367.548</c:v>
                </c:pt>
                <c:pt idx="8">
                  <c:v>370.6</c:v>
                </c:pt>
                <c:pt idx="9">
                  <c:v>385.80549999999999</c:v>
                </c:pt>
                <c:pt idx="10">
                  <c:v>386.89550000000003</c:v>
                </c:pt>
                <c:pt idx="11">
                  <c:v>386.89550000000003</c:v>
                </c:pt>
                <c:pt idx="12">
                  <c:v>386.95</c:v>
                </c:pt>
              </c:numCache>
            </c:numRef>
          </c:val>
          <c:smooth val="0"/>
          <c:extLst>
            <c:ext xmlns:c16="http://schemas.microsoft.com/office/drawing/2014/chart" uri="{C3380CC4-5D6E-409C-BE32-E72D297353CC}">
              <c16:uniqueId val="{00000001-185D-43A5-9251-67693D0306B0}"/>
            </c:ext>
          </c:extLst>
        </c:ser>
        <c:ser>
          <c:idx val="1"/>
          <c:order val="1"/>
          <c:tx>
            <c:strRef>
              <c:f>'12 Monthly Graph'!$D$155</c:f>
              <c:strCache>
                <c:ptCount val="1"/>
                <c:pt idx="0">
                  <c:v>XMS</c:v>
                </c:pt>
              </c:strCache>
            </c:strRef>
          </c:tx>
          <c:spPr>
            <a:ln w="28575" cap="rnd">
              <a:solidFill>
                <a:schemeClr val="accent2"/>
              </a:solidFill>
              <a:round/>
            </a:ln>
            <a:effectLst/>
          </c:spPr>
          <c:marker>
            <c:symbol val="none"/>
          </c:marker>
          <c:dLbls>
            <c:dLbl>
              <c:idx val="0"/>
              <c:layout>
                <c:manualLayout>
                  <c:x val="0.79903244550230024"/>
                  <c:y val="-8.8864439242392054E-2"/>
                </c:manualLayout>
              </c:layout>
              <c:tx>
                <c:rich>
                  <a:bodyPr/>
                  <a:lstStyle/>
                  <a:p>
                    <a:fld id="{0D31E1ED-D0F4-45D3-AB46-B4FB5C99E78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E6000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Graph'!$D$156:$D$168</c:f>
              <c:numCache>
                <c:formatCode>0</c:formatCode>
                <c:ptCount val="13"/>
                <c:pt idx="0">
                  <c:v>389.63049999999998</c:v>
                </c:pt>
                <c:pt idx="1">
                  <c:v>385.43400000000003</c:v>
                </c:pt>
                <c:pt idx="2">
                  <c:v>381.18299999999999</c:v>
                </c:pt>
                <c:pt idx="3">
                  <c:v>377.85849999999999</c:v>
                </c:pt>
                <c:pt idx="4">
                  <c:v>379.43900000000002</c:v>
                </c:pt>
                <c:pt idx="5">
                  <c:v>380.27982815551775</c:v>
                </c:pt>
                <c:pt idx="6">
                  <c:v>379.76600000000002</c:v>
                </c:pt>
                <c:pt idx="7">
                  <c:v>380.09300000000002</c:v>
                </c:pt>
                <c:pt idx="8">
                  <c:v>383.14749999999998</c:v>
                </c:pt>
                <c:pt idx="9">
                  <c:v>401.76749999999998</c:v>
                </c:pt>
                <c:pt idx="10">
                  <c:v>399.36950000000002</c:v>
                </c:pt>
                <c:pt idx="11">
                  <c:v>399.36950000000002</c:v>
                </c:pt>
                <c:pt idx="12">
                  <c:v>401.18450000000001</c:v>
                </c:pt>
              </c:numCache>
            </c:numRef>
          </c:val>
          <c:smooth val="0"/>
          <c:extLst>
            <c:ext xmlns:c16="http://schemas.microsoft.com/office/drawing/2014/chart" uri="{C3380CC4-5D6E-409C-BE32-E72D297353CC}">
              <c16:uniqueId val="{00000003-185D-43A5-9251-67693D0306B0}"/>
            </c:ext>
          </c:extLst>
        </c:ser>
        <c:ser>
          <c:idx val="2"/>
          <c:order val="2"/>
          <c:tx>
            <c:strRef>
              <c:f>'12 Monthly Graph'!$E$155</c:f>
              <c:strCache>
                <c:ptCount val="1"/>
                <c:pt idx="0">
                  <c:v>XLD</c:v>
                </c:pt>
              </c:strCache>
            </c:strRef>
          </c:tx>
          <c:spPr>
            <a:ln w="28575" cap="rnd">
              <a:solidFill>
                <a:schemeClr val="accent3"/>
              </a:solidFill>
              <a:round/>
            </a:ln>
            <a:effectLst/>
          </c:spPr>
          <c:marker>
            <c:symbol val="none"/>
          </c:marker>
          <c:dLbls>
            <c:dLbl>
              <c:idx val="0"/>
              <c:layout>
                <c:manualLayout>
                  <c:x val="0.80342738938976788"/>
                  <c:y val="-0.13066397105767186"/>
                </c:manualLayout>
              </c:layout>
              <c:tx>
                <c:rich>
                  <a:bodyPr/>
                  <a:lstStyle/>
                  <a:p>
                    <a:fld id="{3B8EE11B-29F7-4B19-A5A5-8FDB6304484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Graph'!$E$156:$E$168</c:f>
              <c:numCache>
                <c:formatCode>0</c:formatCode>
                <c:ptCount val="13"/>
                <c:pt idx="0">
                  <c:v>344.6035</c:v>
                </c:pt>
                <c:pt idx="1">
                  <c:v>340.84300000000002</c:v>
                </c:pt>
                <c:pt idx="2">
                  <c:v>327.59949999999998</c:v>
                </c:pt>
                <c:pt idx="3">
                  <c:v>330.815</c:v>
                </c:pt>
                <c:pt idx="4">
                  <c:v>330.70600000000002</c:v>
                </c:pt>
                <c:pt idx="5">
                  <c:v>331.52350000000001</c:v>
                </c:pt>
                <c:pt idx="6">
                  <c:v>331.25099999999998</c:v>
                </c:pt>
                <c:pt idx="7">
                  <c:v>335.82900000000001</c:v>
                </c:pt>
                <c:pt idx="8">
                  <c:v>335.55650000000003</c:v>
                </c:pt>
                <c:pt idx="9">
                  <c:v>336.91899999999998</c:v>
                </c:pt>
                <c:pt idx="10">
                  <c:v>333.649</c:v>
                </c:pt>
                <c:pt idx="11">
                  <c:v>333.649</c:v>
                </c:pt>
                <c:pt idx="12">
                  <c:v>333.976</c:v>
                </c:pt>
              </c:numCache>
            </c:numRef>
          </c:val>
          <c:smooth val="0"/>
          <c:extLst>
            <c:ext xmlns:c16="http://schemas.microsoft.com/office/drawing/2014/chart" uri="{C3380CC4-5D6E-409C-BE32-E72D297353CC}">
              <c16:uniqueId val="{00000005-185D-43A5-9251-67693D0306B0}"/>
            </c:ext>
          </c:extLst>
        </c:ser>
        <c:ser>
          <c:idx val="3"/>
          <c:order val="3"/>
          <c:tx>
            <c:strRef>
              <c:f>'12 Monthly Graph'!$F$155</c:f>
              <c:strCache>
                <c:ptCount val="1"/>
                <c:pt idx="0">
                  <c:v>XEH</c:v>
                </c:pt>
              </c:strCache>
            </c:strRef>
          </c:tx>
          <c:spPr>
            <a:ln w="28575" cap="rnd">
              <a:solidFill>
                <a:schemeClr val="accent4"/>
              </a:solidFill>
              <a:round/>
            </a:ln>
            <a:effectLst/>
          </c:spPr>
          <c:marker>
            <c:symbol val="none"/>
          </c:marker>
          <c:dLbls>
            <c:dLbl>
              <c:idx val="0"/>
              <c:layout>
                <c:manualLayout>
                  <c:x val="0.80193354926219518"/>
                  <c:y val="-0.24399255160672484"/>
                </c:manualLayout>
              </c:layout>
              <c:tx>
                <c:rich>
                  <a:bodyPr/>
                  <a:lstStyle/>
                  <a:p>
                    <a:fld id="{A07E78D6-C9A6-46B8-B9BE-E73316A46E0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7030A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Graph'!$F$156:$F$168</c:f>
              <c:numCache>
                <c:formatCode>0</c:formatCode>
                <c:ptCount val="13"/>
                <c:pt idx="0">
                  <c:v>296.97050000000002</c:v>
                </c:pt>
                <c:pt idx="1">
                  <c:v>294.19099999999997</c:v>
                </c:pt>
                <c:pt idx="2">
                  <c:v>293.2645</c:v>
                </c:pt>
                <c:pt idx="3">
                  <c:v>292.99200000000002</c:v>
                </c:pt>
                <c:pt idx="4">
                  <c:v>287.16050000000001</c:v>
                </c:pt>
                <c:pt idx="5">
                  <c:v>286.98931265258801</c:v>
                </c:pt>
                <c:pt idx="6">
                  <c:v>285.6345</c:v>
                </c:pt>
                <c:pt idx="7">
                  <c:v>286.9425</c:v>
                </c:pt>
                <c:pt idx="8">
                  <c:v>290.1035</c:v>
                </c:pt>
                <c:pt idx="9">
                  <c:v>287.76</c:v>
                </c:pt>
                <c:pt idx="10">
                  <c:v>288.03250000000003</c:v>
                </c:pt>
                <c:pt idx="11">
                  <c:v>288.03250000000003</c:v>
                </c:pt>
                <c:pt idx="12">
                  <c:v>288.14150000000001</c:v>
                </c:pt>
              </c:numCache>
            </c:numRef>
          </c:val>
          <c:smooth val="0"/>
          <c:extLst>
            <c:ext xmlns:c16="http://schemas.microsoft.com/office/drawing/2014/chart" uri="{C3380CC4-5D6E-409C-BE32-E72D297353CC}">
              <c16:uniqueId val="{00000007-185D-43A5-9251-67693D0306B0}"/>
            </c:ext>
          </c:extLst>
        </c:ser>
        <c:ser>
          <c:idx val="4"/>
          <c:order val="4"/>
          <c:tx>
            <c:strRef>
              <c:f>'12 Monthly Graph'!$G$155</c:f>
              <c:strCache>
                <c:ptCount val="1"/>
                <c:pt idx="0">
                  <c:v>XGL</c:v>
                </c:pt>
              </c:strCache>
            </c:strRef>
          </c:tx>
          <c:spPr>
            <a:ln w="28575" cap="rnd">
              <a:solidFill>
                <a:schemeClr val="accent5"/>
              </a:solidFill>
              <a:round/>
            </a:ln>
            <a:effectLst/>
          </c:spPr>
          <c:marker>
            <c:symbol val="none"/>
          </c:marker>
          <c:dLbls>
            <c:dLbl>
              <c:idx val="0"/>
              <c:layout>
                <c:manualLayout>
                  <c:x val="0.80196293553995646"/>
                  <c:y val="-5.2680144711640821E-2"/>
                </c:manualLayout>
              </c:layout>
              <c:tx>
                <c:rich>
                  <a:bodyPr/>
                  <a:lstStyle/>
                  <a:p>
                    <a:fld id="{0B4BBB52-871B-4218-9B1E-236A6B5EF18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Graph'!$G$156:$G$168</c:f>
              <c:numCache>
                <c:formatCode>0</c:formatCode>
                <c:ptCount val="13"/>
                <c:pt idx="0">
                  <c:v>293.97300000000001</c:v>
                </c:pt>
                <c:pt idx="1">
                  <c:v>295.17200000000003</c:v>
                </c:pt>
                <c:pt idx="2">
                  <c:v>292.55599999999998</c:v>
                </c:pt>
                <c:pt idx="3">
                  <c:v>293.53699999999998</c:v>
                </c:pt>
                <c:pt idx="4">
                  <c:v>289.50400000000002</c:v>
                </c:pt>
                <c:pt idx="5">
                  <c:v>290.37599999999998</c:v>
                </c:pt>
                <c:pt idx="6">
                  <c:v>295.17200000000003</c:v>
                </c:pt>
                <c:pt idx="7">
                  <c:v>295.22649999999999</c:v>
                </c:pt>
                <c:pt idx="8">
                  <c:v>285.798</c:v>
                </c:pt>
                <c:pt idx="9">
                  <c:v>287.32400000000001</c:v>
                </c:pt>
                <c:pt idx="10">
                  <c:v>285.36200000000002</c:v>
                </c:pt>
                <c:pt idx="11">
                  <c:v>285.36200000000002</c:v>
                </c:pt>
                <c:pt idx="12">
                  <c:v>285.08949999999999</c:v>
                </c:pt>
              </c:numCache>
            </c:numRef>
          </c:val>
          <c:smooth val="0"/>
          <c:extLst>
            <c:ext xmlns:c16="http://schemas.microsoft.com/office/drawing/2014/chart" uri="{C3380CC4-5D6E-409C-BE32-E72D297353CC}">
              <c16:uniqueId val="{00000009-185D-43A5-9251-67693D0306B0}"/>
            </c:ext>
          </c:extLst>
        </c:ser>
        <c:ser>
          <c:idx val="5"/>
          <c:order val="5"/>
          <c:tx>
            <c:strRef>
              <c:f>'12 Monthly Graph'!$H$155</c:f>
              <c:strCache>
                <c:ptCount val="1"/>
                <c:pt idx="0">
                  <c:v>XGR</c:v>
                </c:pt>
              </c:strCache>
            </c:strRef>
          </c:tx>
          <c:spPr>
            <a:ln w="28575" cap="rnd">
              <a:solidFill>
                <a:schemeClr val="accent6"/>
              </a:solidFill>
              <a:round/>
            </a:ln>
            <a:effectLst/>
          </c:spPr>
          <c:marker>
            <c:symbol val="none"/>
          </c:marker>
          <c:dLbls>
            <c:dLbl>
              <c:idx val="0"/>
              <c:layout>
                <c:manualLayout>
                  <c:x val="0.80342772846220356"/>
                  <c:y val="-3.3271759948925402E-2"/>
                </c:manualLayout>
              </c:layout>
              <c:tx>
                <c:rich>
                  <a:bodyPr/>
                  <a:lstStyle/>
                  <a:p>
                    <a:fld id="{87561A28-E8A7-417C-B34C-4B4E7256121B}"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6">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Graph'!$H$156:$H$168</c:f>
              <c:numCache>
                <c:formatCode>0</c:formatCode>
                <c:ptCount val="13"/>
                <c:pt idx="0">
                  <c:v>284.05399999999997</c:v>
                </c:pt>
                <c:pt idx="1">
                  <c:v>263.72550000000001</c:v>
                </c:pt>
                <c:pt idx="2">
                  <c:v>262.90800000000002</c:v>
                </c:pt>
                <c:pt idx="3">
                  <c:v>260.78250000000003</c:v>
                </c:pt>
                <c:pt idx="4">
                  <c:v>260.01949999999999</c:v>
                </c:pt>
                <c:pt idx="5">
                  <c:v>260.48231423950193</c:v>
                </c:pt>
                <c:pt idx="6">
                  <c:v>260.18299999999999</c:v>
                </c:pt>
                <c:pt idx="7">
                  <c:v>260.34649999999999</c:v>
                </c:pt>
                <c:pt idx="8">
                  <c:v>260.51</c:v>
                </c:pt>
                <c:pt idx="9">
                  <c:v>271.6825</c:v>
                </c:pt>
                <c:pt idx="10">
                  <c:v>274.68</c:v>
                </c:pt>
                <c:pt idx="11">
                  <c:v>274.68</c:v>
                </c:pt>
                <c:pt idx="12">
                  <c:v>274.84350000000001</c:v>
                </c:pt>
              </c:numCache>
            </c:numRef>
          </c:val>
          <c:smooth val="0"/>
          <c:extLst>
            <c:ext xmlns:c16="http://schemas.microsoft.com/office/drawing/2014/chart" uri="{C3380CC4-5D6E-409C-BE32-E72D297353CC}">
              <c16:uniqueId val="{0000000B-185D-43A5-9251-67693D0306B0}"/>
            </c:ext>
          </c:extLst>
        </c:ser>
        <c:ser>
          <c:idx val="6"/>
          <c:order val="6"/>
          <c:tx>
            <c:strRef>
              <c:f>'12 Monthly Graph'!$I$155</c:f>
              <c:strCache>
                <c:ptCount val="1"/>
                <c:pt idx="0">
                  <c:v>XOM</c:v>
                </c:pt>
              </c:strCache>
            </c:strRef>
          </c:tx>
          <c:spPr>
            <a:ln w="28575" cap="rnd">
              <a:solidFill>
                <a:schemeClr val="accent1">
                  <a:lumMod val="60000"/>
                </a:schemeClr>
              </a:solidFill>
              <a:round/>
            </a:ln>
            <a:effectLst/>
          </c:spPr>
          <c:marker>
            <c:symbol val="none"/>
          </c:marker>
          <c:dLbls>
            <c:dLbl>
              <c:idx val="0"/>
              <c:layout>
                <c:manualLayout>
                  <c:x val="0.79907234302556807"/>
                  <c:y val="-1.1090657586720579E-2"/>
                </c:manualLayout>
              </c:layout>
              <c:tx>
                <c:rich>
                  <a:bodyPr/>
                  <a:lstStyle/>
                  <a:p>
                    <a:fld id="{7D8E1483-B1C1-47C9-9397-7181ED5B8E84}"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lumMod val="5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Graph'!$I$156:$I$168</c:f>
              <c:numCache>
                <c:formatCode>0</c:formatCode>
                <c:ptCount val="13"/>
                <c:pt idx="0">
                  <c:v>296.262</c:v>
                </c:pt>
                <c:pt idx="1">
                  <c:v>289.72199999999998</c:v>
                </c:pt>
                <c:pt idx="2">
                  <c:v>284.49</c:v>
                </c:pt>
                <c:pt idx="3">
                  <c:v>282.69150000000002</c:v>
                </c:pt>
                <c:pt idx="4">
                  <c:v>283.72699999999998</c:v>
                </c:pt>
                <c:pt idx="5">
                  <c:v>292.55599999999998</c:v>
                </c:pt>
                <c:pt idx="6">
                  <c:v>293.20999999999998</c:v>
                </c:pt>
                <c:pt idx="7">
                  <c:v>293.97300000000001</c:v>
                </c:pt>
                <c:pt idx="8">
                  <c:v>294.57249999999999</c:v>
                </c:pt>
                <c:pt idx="9">
                  <c:v>277.73200000000003</c:v>
                </c:pt>
                <c:pt idx="10">
                  <c:v>277.51400000000001</c:v>
                </c:pt>
                <c:pt idx="11">
                  <c:v>277.51400000000001</c:v>
                </c:pt>
                <c:pt idx="12">
                  <c:v>278.22250000000003</c:v>
                </c:pt>
              </c:numCache>
            </c:numRef>
          </c:val>
          <c:smooth val="0"/>
          <c:extLst>
            <c:ext xmlns:c16="http://schemas.microsoft.com/office/drawing/2014/chart" uri="{C3380CC4-5D6E-409C-BE32-E72D297353CC}">
              <c16:uniqueId val="{0000000D-185D-43A5-9251-67693D0306B0}"/>
            </c:ext>
          </c:extLst>
        </c:ser>
        <c:dLbls>
          <c:showLegendKey val="0"/>
          <c:showVal val="0"/>
          <c:showCatName val="0"/>
          <c:showSerName val="0"/>
          <c:showPercent val="0"/>
          <c:showBubbleSize val="0"/>
        </c:dLbls>
        <c:smooth val="0"/>
        <c:axId val="1183924431"/>
        <c:axId val="1183938991"/>
      </c:lineChart>
      <c:dateAx>
        <c:axId val="1183924431"/>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38991"/>
        <c:crosses val="autoZero"/>
        <c:auto val="1"/>
        <c:lblOffset val="100"/>
        <c:baseTimeUnit val="months"/>
      </c:dateAx>
      <c:valAx>
        <c:axId val="1183938991"/>
        <c:scaling>
          <c:orientation val="minMax"/>
          <c:min val="1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24431"/>
        <c:crosses val="autoZero"/>
        <c:crossBetween val="between"/>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NFV Sites Power Usage</a:t>
            </a:r>
          </a:p>
        </c:rich>
      </c:tx>
      <c:layout>
        <c:manualLayout>
          <c:xMode val="edge"/>
          <c:yMode val="edge"/>
          <c:x val="0"/>
          <c:y val="4.2892554347932921E-3"/>
        </c:manualLayout>
      </c:layout>
      <c:overlay val="0"/>
    </c:title>
    <c:autoTitleDeleted val="0"/>
    <c:plotArea>
      <c:layout>
        <c:manualLayout>
          <c:layoutTarget val="inner"/>
          <c:xMode val="edge"/>
          <c:yMode val="edge"/>
          <c:x val="9.2495911385163596E-2"/>
          <c:y val="0.12464427860696517"/>
          <c:w val="0.86376623551471132"/>
          <c:h val="0.66982082082082084"/>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ysClr val="windowText" lastClr="0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1F76-40B8-8D37-EC1A0CD9FF7E}"/>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figures'!$C$20:$C$26</c:f>
              <c:numCache>
                <c:formatCode>0</c:formatCode>
                <c:ptCount val="7"/>
                <c:pt idx="0">
                  <c:v>305.2</c:v>
                </c:pt>
                <c:pt idx="1">
                  <c:v>317.24450000000002</c:v>
                </c:pt>
                <c:pt idx="2">
                  <c:v>283.83600000000001</c:v>
                </c:pt>
                <c:pt idx="3">
                  <c:v>255.14150000000001</c:v>
                </c:pt>
                <c:pt idx="4">
                  <c:v>237.12949999999998</c:v>
                </c:pt>
                <c:pt idx="5">
                  <c:v>244.18289000000001</c:v>
                </c:pt>
                <c:pt idx="6">
                  <c:v>228.08250000000004</c:v>
                </c:pt>
              </c:numCache>
            </c:numRef>
          </c:val>
          <c:extLst>
            <c:ext xmlns:c16="http://schemas.microsoft.com/office/drawing/2014/chart" uri="{C3380CC4-5D6E-409C-BE32-E72D297353CC}">
              <c16:uniqueId val="{00000001-1F76-40B8-8D37-EC1A0CD9FF7E}"/>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figures'!$E$20:$E$26</c:f>
              <c:numCache>
                <c:formatCode>0</c:formatCode>
                <c:ptCount val="7"/>
                <c:pt idx="0">
                  <c:v>38.040999999999997</c:v>
                </c:pt>
                <c:pt idx="1">
                  <c:v>23.326000000000001</c:v>
                </c:pt>
                <c:pt idx="2">
                  <c:v>6.1040000000000001</c:v>
                </c:pt>
                <c:pt idx="3">
                  <c:v>3.488</c:v>
                </c:pt>
                <c:pt idx="4">
                  <c:v>20.388449999999999</c:v>
                </c:pt>
                <c:pt idx="5">
                  <c:v>16.393600000000003</c:v>
                </c:pt>
                <c:pt idx="6">
                  <c:v>7.194</c:v>
                </c:pt>
              </c:numCache>
            </c:numRef>
          </c:val>
          <c:extLst>
            <c:ext xmlns:c16="http://schemas.microsoft.com/office/drawing/2014/chart" uri="{C3380CC4-5D6E-409C-BE32-E72D297353CC}">
              <c16:uniqueId val="{00000002-1F76-40B8-8D37-EC1A0CD9FF7E}"/>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figures'!$D$20:$D$26</c:f>
              <c:numCache>
                <c:formatCode>0</c:formatCode>
                <c:ptCount val="7"/>
                <c:pt idx="0">
                  <c:v>39.021999999999998</c:v>
                </c:pt>
                <c:pt idx="1">
                  <c:v>40.439</c:v>
                </c:pt>
                <c:pt idx="2">
                  <c:v>55.917000000000002</c:v>
                </c:pt>
                <c:pt idx="3">
                  <c:v>53.082999999999998</c:v>
                </c:pt>
                <c:pt idx="4">
                  <c:v>67.307500000000005</c:v>
                </c:pt>
                <c:pt idx="5">
                  <c:v>103.877</c:v>
                </c:pt>
                <c:pt idx="6">
                  <c:v>105.5665</c:v>
                </c:pt>
              </c:numCache>
            </c:numRef>
          </c:val>
          <c:extLst>
            <c:ext xmlns:c16="http://schemas.microsoft.com/office/drawing/2014/chart" uri="{C3380CC4-5D6E-409C-BE32-E72D297353CC}">
              <c16:uniqueId val="{00000003-1F76-40B8-8D37-EC1A0CD9FF7E}"/>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figures'!$F$20:$F$26</c:f>
              <c:numCache>
                <c:formatCode>0</c:formatCode>
                <c:ptCount val="7"/>
                <c:pt idx="0">
                  <c:v>39.987000000000023</c:v>
                </c:pt>
                <c:pt idx="1">
                  <c:v>30.050499999999985</c:v>
                </c:pt>
                <c:pt idx="2">
                  <c:v>105.003</c:v>
                </c:pt>
                <c:pt idx="3">
                  <c:v>33.287499999999994</c:v>
                </c:pt>
                <c:pt idx="4">
                  <c:v>110.21454999999997</c:v>
                </c:pt>
                <c:pt idx="5">
                  <c:v>72.885899999999964</c:v>
                </c:pt>
                <c:pt idx="6">
                  <c:v>98.016999999999967</c:v>
                </c:pt>
              </c:numCache>
            </c:numRef>
          </c:val>
          <c:extLst>
            <c:ext xmlns:c16="http://schemas.microsoft.com/office/drawing/2014/chart" uri="{C3380CC4-5D6E-409C-BE32-E72D297353CC}">
              <c16:uniqueId val="{00000004-1F76-40B8-8D37-EC1A0CD9FF7E}"/>
            </c:ext>
          </c:extLst>
        </c:ser>
        <c:dLbls>
          <c:showLegendKey val="0"/>
          <c:showVal val="0"/>
          <c:showCatName val="0"/>
          <c:showSerName val="0"/>
          <c:showPercent val="0"/>
          <c:showBubbleSize val="0"/>
        </c:dLbls>
        <c:gapWidth val="17"/>
        <c:overlap val="100"/>
        <c:axId val="205530624"/>
        <c:axId val="205532160"/>
      </c:barChart>
      <c:catAx>
        <c:axId val="205530624"/>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532160"/>
        <c:crosses val="autoZero"/>
        <c:auto val="1"/>
        <c:lblAlgn val="ctr"/>
        <c:lblOffset val="100"/>
        <c:noMultiLvlLbl val="0"/>
      </c:catAx>
      <c:valAx>
        <c:axId val="205532160"/>
        <c:scaling>
          <c:orientation val="minMax"/>
        </c:scaling>
        <c:delete val="0"/>
        <c:axPos val="l"/>
        <c:title>
          <c:tx>
            <c:rich>
              <a:bodyPr/>
              <a:lstStyle/>
              <a:p>
                <a:pPr>
                  <a:defRPr sz="800"/>
                </a:pPr>
                <a:r>
                  <a:rPr lang="en-US" sz="800"/>
                  <a:t>Kilowatts</a:t>
                </a:r>
              </a:p>
            </c:rich>
          </c:tx>
          <c:layout>
            <c:manualLayout>
              <c:xMode val="edge"/>
              <c:yMode val="edge"/>
              <c:x val="5.9263038548752851E-3"/>
              <c:y val="0.31634584584584585"/>
            </c:manualLayout>
          </c:layout>
          <c:overlay val="0"/>
        </c:title>
        <c:numFmt formatCode="0"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30624"/>
        <c:crosses val="autoZero"/>
        <c:crossBetween val="between"/>
      </c:valAx>
      <c:spPr>
        <a:noFill/>
      </c:spPr>
    </c:plotArea>
    <c:legend>
      <c:legendPos val="b"/>
      <c:layout>
        <c:manualLayout>
          <c:xMode val="edge"/>
          <c:yMode val="edge"/>
          <c:x val="0.10503197278911566"/>
          <c:y val="0.91957507507507508"/>
          <c:w val="0.77994797494672652"/>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a:latin typeface="Vodafone Rg" panose="020B060608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CORE Sites Power Breakdown</a:t>
            </a:r>
          </a:p>
        </c:rich>
      </c:tx>
      <c:layout>
        <c:manualLayout>
          <c:xMode val="edge"/>
          <c:yMode val="edge"/>
          <c:x val="4.3061224489795297E-4"/>
          <c:y val="0"/>
        </c:manualLayout>
      </c:layout>
      <c:overlay val="0"/>
    </c:title>
    <c:autoTitleDeleted val="0"/>
    <c:plotArea>
      <c:layout>
        <c:manualLayout>
          <c:layoutTarget val="inner"/>
          <c:xMode val="edge"/>
          <c:yMode val="edge"/>
          <c:x val="0.11251451247165532"/>
          <c:y val="0.1160035035035035"/>
          <c:w val="0.85580748299319731"/>
          <c:h val="0.64650600600600605"/>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chemeClr val="tx1"/>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figures'!$B$28:$B$35</c:f>
              <c:numCache>
                <c:formatCode>General</c:formatCode>
                <c:ptCount val="8"/>
                <c:pt idx="0">
                  <c:v>18.53</c:v>
                </c:pt>
                <c:pt idx="1">
                  <c:v>7.6300000000000008</c:v>
                </c:pt>
                <c:pt idx="2">
                  <c:v>0</c:v>
                </c:pt>
                <c:pt idx="3">
                  <c:v>52.320000000000007</c:v>
                </c:pt>
                <c:pt idx="4">
                  <c:v>0</c:v>
                </c:pt>
                <c:pt idx="5">
                  <c:v>8.7200000000000006</c:v>
                </c:pt>
                <c:pt idx="6">
                  <c:v>9.81</c:v>
                </c:pt>
                <c:pt idx="7">
                  <c:v>7.6300000000000008</c:v>
                </c:pt>
              </c:numCache>
            </c:numRef>
          </c:val>
          <c:extLst>
            <c:ext xmlns:c16="http://schemas.microsoft.com/office/drawing/2014/chart" uri="{C3380CC4-5D6E-409C-BE32-E72D297353CC}">
              <c16:uniqueId val="{00000000-964A-443F-9DE1-4C5A69E97EAA}"/>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figures'!$C$28:$C$35</c:f>
              <c:numCache>
                <c:formatCode>General</c:formatCode>
                <c:ptCount val="8"/>
                <c:pt idx="0">
                  <c:v>133.36150000000001</c:v>
                </c:pt>
                <c:pt idx="1">
                  <c:v>106.384</c:v>
                </c:pt>
                <c:pt idx="2">
                  <c:v>48.668500000000002</c:v>
                </c:pt>
                <c:pt idx="3">
                  <c:v>58.532999999999987</c:v>
                </c:pt>
                <c:pt idx="4">
                  <c:v>25.996500000000001</c:v>
                </c:pt>
                <c:pt idx="5">
                  <c:v>131.89000000000001</c:v>
                </c:pt>
                <c:pt idx="6">
                  <c:v>122.84299999999999</c:v>
                </c:pt>
                <c:pt idx="7">
                  <c:v>136.52250000000001</c:v>
                </c:pt>
              </c:numCache>
            </c:numRef>
          </c:val>
          <c:extLst>
            <c:ext xmlns:c16="http://schemas.microsoft.com/office/drawing/2014/chart" uri="{C3380CC4-5D6E-409C-BE32-E72D297353CC}">
              <c16:uniqueId val="{00000001-964A-443F-9DE1-4C5A69E97EAA}"/>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figures'!$E$28:$E$35</c:f>
              <c:numCache>
                <c:formatCode>General</c:formatCode>
                <c:ptCount val="8"/>
                <c:pt idx="0">
                  <c:v>7.7389999999999999</c:v>
                </c:pt>
                <c:pt idx="1">
                  <c:v>1.5232000000000001</c:v>
                </c:pt>
                <c:pt idx="2">
                  <c:v>0</c:v>
                </c:pt>
                <c:pt idx="3">
                  <c:v>0</c:v>
                </c:pt>
                <c:pt idx="4">
                  <c:v>0</c:v>
                </c:pt>
                <c:pt idx="5">
                  <c:v>12.262499999999999</c:v>
                </c:pt>
                <c:pt idx="6">
                  <c:v>18.966000000000001</c:v>
                </c:pt>
                <c:pt idx="7">
                  <c:v>1.417</c:v>
                </c:pt>
              </c:numCache>
            </c:numRef>
          </c:val>
          <c:extLst>
            <c:ext xmlns:c16="http://schemas.microsoft.com/office/drawing/2014/chart" uri="{C3380CC4-5D6E-409C-BE32-E72D297353CC}">
              <c16:uniqueId val="{00000002-964A-443F-9DE1-4C5A69E97EAA}"/>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figures'!$D$28:$D$35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964A-443F-9DE1-4C5A69E97EAA}"/>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figures'!$F$28:$F$35</c:f>
              <c:numCache>
                <c:formatCode>General</c:formatCode>
                <c:ptCount val="8"/>
                <c:pt idx="0">
                  <c:v>155.36950000000002</c:v>
                </c:pt>
                <c:pt idx="1">
                  <c:v>184.46279999999999</c:v>
                </c:pt>
                <c:pt idx="2">
                  <c:v>112.33150000000001</c:v>
                </c:pt>
                <c:pt idx="3">
                  <c:v>50.147000000000006</c:v>
                </c:pt>
                <c:pt idx="4">
                  <c:v>135.0035</c:v>
                </c:pt>
                <c:pt idx="5">
                  <c:v>162.12749999999997</c:v>
                </c:pt>
                <c:pt idx="6">
                  <c:v>148.381</c:v>
                </c:pt>
                <c:pt idx="7">
                  <c:v>158.93049999999999</c:v>
                </c:pt>
              </c:numCache>
            </c:numRef>
          </c:val>
          <c:extLst>
            <c:ext xmlns:c16="http://schemas.microsoft.com/office/drawing/2014/chart" uri="{C3380CC4-5D6E-409C-BE32-E72D297353CC}">
              <c16:uniqueId val="{00000004-964A-443F-9DE1-4C5A69E97EAA}"/>
            </c:ext>
          </c:extLst>
        </c:ser>
        <c:dLbls>
          <c:showLegendKey val="0"/>
          <c:showVal val="0"/>
          <c:showCatName val="0"/>
          <c:showSerName val="0"/>
          <c:showPercent val="0"/>
          <c:showBubbleSize val="0"/>
        </c:dLbls>
        <c:gapWidth val="17"/>
        <c:overlap val="100"/>
        <c:axId val="205584640"/>
        <c:axId val="205586432"/>
      </c:barChart>
      <c:catAx>
        <c:axId val="205584640"/>
        <c:scaling>
          <c:orientation val="minMax"/>
        </c:scaling>
        <c:delete val="0"/>
        <c:axPos val="b"/>
        <c:numFmt formatCode="General" sourceLinked="0"/>
        <c:majorTickMark val="none"/>
        <c:minorTickMark val="none"/>
        <c:tickLblPos val="nextTo"/>
        <c:spPr>
          <a:ln>
            <a:solidFill>
              <a:schemeClr val="tx1"/>
            </a:solidFill>
          </a:ln>
        </c:spPr>
        <c:txPr>
          <a:bodyPr rot="0" vert="horz"/>
          <a:lstStyle/>
          <a:p>
            <a:pPr>
              <a:defRPr sz="600">
                <a:solidFill>
                  <a:schemeClr val="tx1"/>
                </a:solidFill>
              </a:defRPr>
            </a:pPr>
            <a:endParaRPr lang="en-US"/>
          </a:p>
        </c:txPr>
        <c:crossAx val="205586432"/>
        <c:crosses val="autoZero"/>
        <c:auto val="1"/>
        <c:lblAlgn val="ctr"/>
        <c:lblOffset val="100"/>
        <c:noMultiLvlLbl val="0"/>
      </c:catAx>
      <c:valAx>
        <c:axId val="205586432"/>
        <c:scaling>
          <c:orientation val="minMax"/>
        </c:scaling>
        <c:delete val="0"/>
        <c:axPos val="l"/>
        <c:title>
          <c:tx>
            <c:rich>
              <a:bodyPr/>
              <a:lstStyle/>
              <a:p>
                <a:pPr>
                  <a:defRPr sz="800"/>
                </a:pPr>
                <a:r>
                  <a:rPr lang="en-GB" sz="800"/>
                  <a:t>Killowatts</a:t>
                </a:r>
              </a:p>
            </c:rich>
          </c:tx>
          <c:layout>
            <c:manualLayout>
              <c:xMode val="edge"/>
              <c:yMode val="edge"/>
              <c:x val="2.8798185941043084E-3"/>
              <c:y val="0.30105355355355357"/>
            </c:manualLayout>
          </c:layout>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84640"/>
        <c:crosses val="autoZero"/>
        <c:crossBetween val="between"/>
      </c:valAx>
      <c:spPr>
        <a:noFill/>
      </c:spPr>
    </c:plotArea>
    <c:legend>
      <c:legendPos val="b"/>
      <c:layout>
        <c:manualLayout>
          <c:xMode val="edge"/>
          <c:yMode val="edge"/>
          <c:x val="0.11079160997732428"/>
          <c:y val="0.9068623623623624"/>
          <c:w val="0.77841655328798187"/>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Technology Load February 20 - February 21</a:t>
            </a:r>
          </a:p>
        </c:rich>
      </c:tx>
      <c:layout>
        <c:manualLayout>
          <c:xMode val="edge"/>
          <c:yMode val="edge"/>
          <c:x val="2.8292517006802717E-3"/>
          <c:y val="3.5115115115115125E-3"/>
        </c:manualLayout>
      </c:layout>
      <c:overlay val="0"/>
    </c:title>
    <c:autoTitleDeleted val="0"/>
    <c:plotArea>
      <c:layout>
        <c:manualLayout>
          <c:layoutTarget val="inner"/>
          <c:xMode val="edge"/>
          <c:yMode val="edge"/>
          <c:x val="7.2687448381552722E-2"/>
          <c:y val="0.20206092011000867"/>
          <c:w val="0.8964017291559665"/>
          <c:h val="0.59676929543387214"/>
        </c:manualLayout>
      </c:layout>
      <c:barChart>
        <c:barDir val="col"/>
        <c:grouping val="stacked"/>
        <c:varyColors val="0"/>
        <c:ser>
          <c:idx val="0"/>
          <c:order val="0"/>
          <c:tx>
            <c:strRef>
              <c:f>'[5]12 Monthly Graph'!$C$1</c:f>
              <c:strCache>
                <c:ptCount val="1"/>
                <c:pt idx="0">
                  <c:v>Load (kW)</c:v>
                </c:pt>
              </c:strCache>
            </c:strRef>
          </c:tx>
          <c:spPr>
            <a:solidFill>
              <a:schemeClr val="tx1"/>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Graph'!$C$2:$C$98</c:f>
              <c:numCache>
                <c:formatCode>General</c:formatCode>
                <c:ptCount val="97"/>
                <c:pt idx="0">
                  <c:v>368.31099999999998</c:v>
                </c:pt>
                <c:pt idx="1">
                  <c:v>369</c:v>
                </c:pt>
                <c:pt idx="2">
                  <c:v>368.96499999999997</c:v>
                </c:pt>
                <c:pt idx="3">
                  <c:v>375.0145</c:v>
                </c:pt>
                <c:pt idx="4">
                  <c:v>375.77749999999997</c:v>
                </c:pt>
                <c:pt idx="5">
                  <c:v>379.75599999999997</c:v>
                </c:pt>
                <c:pt idx="6">
                  <c:v>381.28199999999998</c:v>
                </c:pt>
                <c:pt idx="7">
                  <c:v>419.26850000000002</c:v>
                </c:pt>
                <c:pt idx="8">
                  <c:v>411.4205</c:v>
                </c:pt>
                <c:pt idx="9">
                  <c:v>411.911</c:v>
                </c:pt>
                <c:pt idx="10">
                  <c:v>409.45850000000002</c:v>
                </c:pt>
                <c:pt idx="11">
                  <c:v>412.02</c:v>
                </c:pt>
                <c:pt idx="12">
                  <c:v>402.21</c:v>
                </c:pt>
                <c:pt idx="14">
                  <c:v>344.87599999999998</c:v>
                </c:pt>
                <c:pt idx="15">
                  <c:v>346</c:v>
                </c:pt>
                <c:pt idx="16">
                  <c:v>344.65800000000002</c:v>
                </c:pt>
                <c:pt idx="17">
                  <c:v>346.02050000000003</c:v>
                </c:pt>
                <c:pt idx="18">
                  <c:v>347.16500000000002</c:v>
                </c:pt>
                <c:pt idx="19">
                  <c:v>351.19799999999998</c:v>
                </c:pt>
                <c:pt idx="20">
                  <c:v>352.56049999999999</c:v>
                </c:pt>
                <c:pt idx="21">
                  <c:v>377.19450000000001</c:v>
                </c:pt>
                <c:pt idx="22">
                  <c:v>380.13749999999999</c:v>
                </c:pt>
                <c:pt idx="23">
                  <c:v>383.40750000000003</c:v>
                </c:pt>
                <c:pt idx="24">
                  <c:v>379.15649999999999</c:v>
                </c:pt>
                <c:pt idx="25">
                  <c:v>377.46699999999998</c:v>
                </c:pt>
                <c:pt idx="26">
                  <c:v>380.51900000000001</c:v>
                </c:pt>
                <c:pt idx="28">
                  <c:v>309.81799999999998</c:v>
                </c:pt>
                <c:pt idx="29">
                  <c:v>310</c:v>
                </c:pt>
                <c:pt idx="30">
                  <c:v>318.15649999999999</c:v>
                </c:pt>
                <c:pt idx="31">
                  <c:v>317.012</c:v>
                </c:pt>
                <c:pt idx="32">
                  <c:v>322.73450000000003</c:v>
                </c:pt>
                <c:pt idx="33">
                  <c:v>321.20850000000002</c:v>
                </c:pt>
                <c:pt idx="34">
                  <c:v>324.642</c:v>
                </c:pt>
                <c:pt idx="35">
                  <c:v>324.69650000000001</c:v>
                </c:pt>
                <c:pt idx="36">
                  <c:v>328.40249999999997</c:v>
                </c:pt>
                <c:pt idx="37">
                  <c:v>376.79849999999999</c:v>
                </c:pt>
                <c:pt idx="38">
                  <c:v>374.23700000000002</c:v>
                </c:pt>
                <c:pt idx="39">
                  <c:v>367.37</c:v>
                </c:pt>
                <c:pt idx="40">
                  <c:v>370.47649999999999</c:v>
                </c:pt>
                <c:pt idx="42">
                  <c:v>211.24199999999999</c:v>
                </c:pt>
                <c:pt idx="43">
                  <c:v>207</c:v>
                </c:pt>
                <c:pt idx="44">
                  <c:v>208.3535</c:v>
                </c:pt>
                <c:pt idx="45">
                  <c:v>210.04300000000001</c:v>
                </c:pt>
                <c:pt idx="46">
                  <c:v>239.364</c:v>
                </c:pt>
                <c:pt idx="47">
                  <c:v>240</c:v>
                </c:pt>
                <c:pt idx="48">
                  <c:v>247.04849999999999</c:v>
                </c:pt>
                <c:pt idx="49">
                  <c:v>246.1765</c:v>
                </c:pt>
                <c:pt idx="50">
                  <c:v>248.35650000000001</c:v>
                </c:pt>
                <c:pt idx="51">
                  <c:v>251.46299999999999</c:v>
                </c:pt>
                <c:pt idx="52">
                  <c:v>249.44649999999999</c:v>
                </c:pt>
                <c:pt idx="53">
                  <c:v>245.7405</c:v>
                </c:pt>
                <c:pt idx="54">
                  <c:v>286.452</c:v>
                </c:pt>
                <c:pt idx="56">
                  <c:v>267.94550000000004</c:v>
                </c:pt>
                <c:pt idx="57">
                  <c:v>268</c:v>
                </c:pt>
                <c:pt idx="58">
                  <c:v>266.85550000000001</c:v>
                </c:pt>
                <c:pt idx="59">
                  <c:v>265.43849999999998</c:v>
                </c:pt>
                <c:pt idx="60">
                  <c:v>264.512</c:v>
                </c:pt>
                <c:pt idx="61">
                  <c:v>265.11149999999998</c:v>
                </c:pt>
                <c:pt idx="62">
                  <c:v>266.52850000000001</c:v>
                </c:pt>
                <c:pt idx="63">
                  <c:v>267.23699999999997</c:v>
                </c:pt>
                <c:pt idx="64">
                  <c:v>266.58299999999997</c:v>
                </c:pt>
                <c:pt idx="65">
                  <c:v>280.75299999999999</c:v>
                </c:pt>
                <c:pt idx="66">
                  <c:v>289.69100000000003</c:v>
                </c:pt>
                <c:pt idx="67">
                  <c:v>289.03700000000003</c:v>
                </c:pt>
                <c:pt idx="68">
                  <c:v>299.82799999999997</c:v>
                </c:pt>
                <c:pt idx="70">
                  <c:v>146</c:v>
                </c:pt>
                <c:pt idx="71">
                  <c:v>147</c:v>
                </c:pt>
                <c:pt idx="72">
                  <c:v>147</c:v>
                </c:pt>
                <c:pt idx="73">
                  <c:v>147</c:v>
                </c:pt>
                <c:pt idx="74">
                  <c:v>145</c:v>
                </c:pt>
                <c:pt idx="75">
                  <c:v>145</c:v>
                </c:pt>
                <c:pt idx="76">
                  <c:v>146</c:v>
                </c:pt>
                <c:pt idx="77">
                  <c:v>147</c:v>
                </c:pt>
                <c:pt idx="78">
                  <c:v>147</c:v>
                </c:pt>
                <c:pt idx="79">
                  <c:v>146</c:v>
                </c:pt>
                <c:pt idx="80">
                  <c:v>146</c:v>
                </c:pt>
                <c:pt idx="81">
                  <c:v>156</c:v>
                </c:pt>
                <c:pt idx="82">
                  <c:v>158.70400000000001</c:v>
                </c:pt>
                <c:pt idx="84">
                  <c:v>204</c:v>
                </c:pt>
                <c:pt idx="85">
                  <c:v>205</c:v>
                </c:pt>
                <c:pt idx="86">
                  <c:v>208</c:v>
                </c:pt>
                <c:pt idx="87">
                  <c:v>208</c:v>
                </c:pt>
                <c:pt idx="88">
                  <c:v>204</c:v>
                </c:pt>
                <c:pt idx="89">
                  <c:v>204</c:v>
                </c:pt>
                <c:pt idx="90">
                  <c:v>203</c:v>
                </c:pt>
                <c:pt idx="91">
                  <c:v>203</c:v>
                </c:pt>
                <c:pt idx="92">
                  <c:v>205</c:v>
                </c:pt>
                <c:pt idx="93">
                  <c:v>197</c:v>
                </c:pt>
                <c:pt idx="94">
                  <c:v>209</c:v>
                </c:pt>
                <c:pt idx="95">
                  <c:v>208</c:v>
                </c:pt>
                <c:pt idx="96">
                  <c:v>207.42699999999999</c:v>
                </c:pt>
              </c:numCache>
            </c:numRef>
          </c:val>
          <c:extLst>
            <c:ext xmlns:c16="http://schemas.microsoft.com/office/drawing/2014/chart" uri="{C3380CC4-5D6E-409C-BE32-E72D297353CC}">
              <c16:uniqueId val="{00000000-8814-44F8-9BD4-110CF44AD7CE}"/>
            </c:ext>
          </c:extLst>
        </c:ser>
        <c:ser>
          <c:idx val="1"/>
          <c:order val="1"/>
          <c:tx>
            <c:strRef>
              <c:f>'[5]12 Monthly Graph'!$D$1</c:f>
              <c:strCache>
                <c:ptCount val="1"/>
                <c:pt idx="0">
                  <c:v>Power Capability (kW)</c:v>
                </c:pt>
              </c:strCache>
            </c:strRef>
          </c:tx>
          <c:spPr>
            <a:solidFill>
              <a:srgbClr val="92D050"/>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Graph'!$D$2:$D$98</c:f>
              <c:numCache>
                <c:formatCode>General</c:formatCode>
                <c:ptCount val="97"/>
                <c:pt idx="0">
                  <c:v>135.68900000000002</c:v>
                </c:pt>
                <c:pt idx="1">
                  <c:v>135</c:v>
                </c:pt>
                <c:pt idx="2">
                  <c:v>135.03500000000003</c:v>
                </c:pt>
                <c:pt idx="3">
                  <c:v>128.9855</c:v>
                </c:pt>
                <c:pt idx="4">
                  <c:v>128.22250000000003</c:v>
                </c:pt>
                <c:pt idx="5">
                  <c:v>124.24400000000003</c:v>
                </c:pt>
                <c:pt idx="6">
                  <c:v>122.71800000000002</c:v>
                </c:pt>
                <c:pt idx="7">
                  <c:v>84.731499999999983</c:v>
                </c:pt>
                <c:pt idx="8">
                  <c:v>92.579499999999996</c:v>
                </c:pt>
                <c:pt idx="9">
                  <c:v>92.088999999999999</c:v>
                </c:pt>
                <c:pt idx="10">
                  <c:v>94.541499999999985</c:v>
                </c:pt>
                <c:pt idx="11">
                  <c:v>91.980000000000018</c:v>
                </c:pt>
                <c:pt idx="12">
                  <c:v>101.79000000000002</c:v>
                </c:pt>
                <c:pt idx="14">
                  <c:v>62.124000000000024</c:v>
                </c:pt>
                <c:pt idx="15">
                  <c:v>61</c:v>
                </c:pt>
                <c:pt idx="16">
                  <c:v>62.341999999999985</c:v>
                </c:pt>
                <c:pt idx="17">
                  <c:v>60.979499999999973</c:v>
                </c:pt>
                <c:pt idx="18">
                  <c:v>59.83499999999998</c:v>
                </c:pt>
                <c:pt idx="19">
                  <c:v>55.802000000000021</c:v>
                </c:pt>
                <c:pt idx="20">
                  <c:v>54.43950000000001</c:v>
                </c:pt>
                <c:pt idx="21">
                  <c:v>29.805499999999995</c:v>
                </c:pt>
                <c:pt idx="22">
                  <c:v>26.862500000000011</c:v>
                </c:pt>
                <c:pt idx="23">
                  <c:v>23.592499999999973</c:v>
                </c:pt>
                <c:pt idx="24">
                  <c:v>27.843500000000006</c:v>
                </c:pt>
                <c:pt idx="25">
                  <c:v>29.533000000000015</c:v>
                </c:pt>
                <c:pt idx="26">
                  <c:v>26.480999999999995</c:v>
                </c:pt>
                <c:pt idx="28">
                  <c:v>97.182000000000016</c:v>
                </c:pt>
                <c:pt idx="29">
                  <c:v>97</c:v>
                </c:pt>
                <c:pt idx="30">
                  <c:v>88.843500000000006</c:v>
                </c:pt>
                <c:pt idx="31">
                  <c:v>89.988</c:v>
                </c:pt>
                <c:pt idx="32">
                  <c:v>84.265499999999975</c:v>
                </c:pt>
                <c:pt idx="33">
                  <c:v>85.791499999999985</c:v>
                </c:pt>
                <c:pt idx="34">
                  <c:v>82.358000000000004</c:v>
                </c:pt>
                <c:pt idx="35">
                  <c:v>82.303499999999985</c:v>
                </c:pt>
                <c:pt idx="36">
                  <c:v>78.597500000000025</c:v>
                </c:pt>
                <c:pt idx="37">
                  <c:v>30.20150000000001</c:v>
                </c:pt>
                <c:pt idx="38">
                  <c:v>32.762999999999977</c:v>
                </c:pt>
                <c:pt idx="39">
                  <c:v>39.629999999999995</c:v>
                </c:pt>
                <c:pt idx="40">
                  <c:v>36.523500000000013</c:v>
                </c:pt>
                <c:pt idx="42">
                  <c:v>50.75800000000001</c:v>
                </c:pt>
                <c:pt idx="43">
                  <c:v>55</c:v>
                </c:pt>
                <c:pt idx="44">
                  <c:v>53.646500000000003</c:v>
                </c:pt>
                <c:pt idx="45">
                  <c:v>51.956999999999994</c:v>
                </c:pt>
                <c:pt idx="46">
                  <c:v>22.635999999999996</c:v>
                </c:pt>
                <c:pt idx="47">
                  <c:v>22</c:v>
                </c:pt>
                <c:pt idx="48">
                  <c:v>14.95150000000001</c:v>
                </c:pt>
                <c:pt idx="49">
                  <c:v>15.823499999999996</c:v>
                </c:pt>
                <c:pt idx="50">
                  <c:v>13.643499999999989</c:v>
                </c:pt>
                <c:pt idx="51">
                  <c:v>10.537000000000006</c:v>
                </c:pt>
                <c:pt idx="52">
                  <c:v>12.553500000000014</c:v>
                </c:pt>
                <c:pt idx="53">
                  <c:v>132.2595</c:v>
                </c:pt>
                <c:pt idx="54">
                  <c:v>91.548000000000002</c:v>
                </c:pt>
                <c:pt idx="56">
                  <c:v>182.05449999999996</c:v>
                </c:pt>
                <c:pt idx="57">
                  <c:v>182</c:v>
                </c:pt>
                <c:pt idx="58">
                  <c:v>183.14449999999999</c:v>
                </c:pt>
                <c:pt idx="59">
                  <c:v>184.56150000000002</c:v>
                </c:pt>
                <c:pt idx="60">
                  <c:v>185.488</c:v>
                </c:pt>
                <c:pt idx="61">
                  <c:v>184.88850000000002</c:v>
                </c:pt>
                <c:pt idx="62">
                  <c:v>183.47149999999999</c:v>
                </c:pt>
                <c:pt idx="63">
                  <c:v>182.76300000000003</c:v>
                </c:pt>
                <c:pt idx="64">
                  <c:v>183.41700000000003</c:v>
                </c:pt>
                <c:pt idx="65">
                  <c:v>169.24700000000001</c:v>
                </c:pt>
                <c:pt idx="66">
                  <c:v>160.30899999999997</c:v>
                </c:pt>
                <c:pt idx="67">
                  <c:v>160.96299999999997</c:v>
                </c:pt>
                <c:pt idx="68">
                  <c:v>150.17200000000003</c:v>
                </c:pt>
                <c:pt idx="70">
                  <c:v>154</c:v>
                </c:pt>
                <c:pt idx="71">
                  <c:v>153</c:v>
                </c:pt>
                <c:pt idx="72">
                  <c:v>153</c:v>
                </c:pt>
                <c:pt idx="73">
                  <c:v>153</c:v>
                </c:pt>
                <c:pt idx="74">
                  <c:v>155</c:v>
                </c:pt>
                <c:pt idx="75">
                  <c:v>155</c:v>
                </c:pt>
                <c:pt idx="76">
                  <c:v>154</c:v>
                </c:pt>
                <c:pt idx="77">
                  <c:v>153</c:v>
                </c:pt>
                <c:pt idx="78">
                  <c:v>153</c:v>
                </c:pt>
                <c:pt idx="79">
                  <c:v>154</c:v>
                </c:pt>
                <c:pt idx="80">
                  <c:v>154</c:v>
                </c:pt>
                <c:pt idx="81">
                  <c:v>144</c:v>
                </c:pt>
                <c:pt idx="82">
                  <c:v>141.29599999999999</c:v>
                </c:pt>
                <c:pt idx="84">
                  <c:v>246</c:v>
                </c:pt>
                <c:pt idx="85">
                  <c:v>245</c:v>
                </c:pt>
                <c:pt idx="86">
                  <c:v>242</c:v>
                </c:pt>
                <c:pt idx="87">
                  <c:v>242</c:v>
                </c:pt>
                <c:pt idx="88">
                  <c:v>246</c:v>
                </c:pt>
                <c:pt idx="89">
                  <c:v>246</c:v>
                </c:pt>
                <c:pt idx="90">
                  <c:v>247</c:v>
                </c:pt>
                <c:pt idx="91">
                  <c:v>247</c:v>
                </c:pt>
                <c:pt idx="92">
                  <c:v>245</c:v>
                </c:pt>
                <c:pt idx="93">
                  <c:v>253</c:v>
                </c:pt>
                <c:pt idx="94">
                  <c:v>241</c:v>
                </c:pt>
                <c:pt idx="95">
                  <c:v>242</c:v>
                </c:pt>
                <c:pt idx="96">
                  <c:v>242.57300000000001</c:v>
                </c:pt>
              </c:numCache>
            </c:numRef>
          </c:val>
          <c:extLst>
            <c:ext xmlns:c16="http://schemas.microsoft.com/office/drawing/2014/chart" uri="{C3380CC4-5D6E-409C-BE32-E72D297353CC}">
              <c16:uniqueId val="{00000001-8814-44F8-9BD4-110CF44AD7CE}"/>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numFmt formatCode="General"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layout>
        <c:manualLayout>
          <c:xMode val="edge"/>
          <c:yMode val="edge"/>
          <c:x val="0.3556183673469388"/>
          <c:y val="0.91957507507507508"/>
          <c:w val="0.29452290249433105"/>
          <c:h val="8.0424924924924923E-2"/>
        </c:manualLayout>
      </c:layout>
      <c:overlay val="0"/>
    </c:legend>
    <c:plotVisOnly val="1"/>
    <c:dispBlanksAs val="gap"/>
    <c:showDLblsOverMax val="0"/>
  </c:chart>
  <c:spPr>
    <a:ln>
      <a:solidFill>
        <a:sysClr val="windowText" lastClr="000000"/>
      </a:solidFill>
    </a:ln>
  </c:spPr>
  <c:txPr>
    <a:bodyPr/>
    <a:lstStyle/>
    <a:p>
      <a:pPr>
        <a:defRPr sz="6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l">
              <a:defRPr sz="720"/>
            </a:pPr>
            <a:r>
              <a:rPr lang="en-US" sz="720"/>
              <a:t>NFV Sites Switch room</a:t>
            </a:r>
            <a:r>
              <a:rPr lang="en-US" sz="720" baseline="0"/>
              <a:t> Usable Space</a:t>
            </a:r>
            <a:endParaRPr lang="en-US" sz="720"/>
          </a:p>
        </c:rich>
      </c:tx>
      <c:layout>
        <c:manualLayout>
          <c:xMode val="edge"/>
          <c:yMode val="edge"/>
          <c:x val="6.8351473922902495E-3"/>
          <c:y val="0"/>
        </c:manualLayout>
      </c:layout>
      <c:overlay val="0"/>
    </c:title>
    <c:autoTitleDeleted val="0"/>
    <c:plotArea>
      <c:layout>
        <c:manualLayout>
          <c:layoutTarget val="inner"/>
          <c:xMode val="edge"/>
          <c:yMode val="edge"/>
          <c:x val="8.3457142857142855E-2"/>
          <c:y val="0.14535769451298569"/>
          <c:w val="0.88899501133786862"/>
          <c:h val="0.67195917681925943"/>
        </c:manualLayout>
      </c:layout>
      <c:barChart>
        <c:barDir val="col"/>
        <c:grouping val="stacked"/>
        <c:varyColors val="0"/>
        <c:ser>
          <c:idx val="0"/>
          <c:order val="0"/>
          <c:tx>
            <c:strRef>
              <c:f>'[5]Cab Floorspace'!$J$21</c:f>
              <c:strCache>
                <c:ptCount val="1"/>
                <c:pt idx="0">
                  <c:v>Used (m²) </c:v>
                </c:pt>
              </c:strCache>
            </c:strRef>
          </c:tx>
          <c:spPr>
            <a:solidFill>
              <a:schemeClr val="tx1"/>
            </a:solidFill>
            <a:ln>
              <a:solidFill>
                <a:schemeClr val="tx1"/>
              </a:solidFill>
            </a:ln>
          </c:spPr>
          <c:invertIfNegative val="0"/>
          <c:cat>
            <c:strRef>
              <c:f>'[6]Cab Floorspace'!$A$22:$A$33</c:f>
              <c:strCache>
                <c:ptCount val="12"/>
              </c:strCache>
            </c:strRef>
          </c:cat>
          <c:val>
            <c:numRef>
              <c:f>'[6]Cab Floorspace'!$J$22:$J$33</c:f>
              <c:numCache>
                <c:formatCode>General</c:formatCode>
                <c:ptCount val="12"/>
              </c:numCache>
            </c:numRef>
          </c:val>
          <c:extLst>
            <c:ext xmlns:c16="http://schemas.microsoft.com/office/drawing/2014/chart" uri="{C3380CC4-5D6E-409C-BE32-E72D297353CC}">
              <c16:uniqueId val="{00000000-E31C-4AB4-829E-F7322F70942B}"/>
            </c:ext>
          </c:extLst>
        </c:ser>
        <c:ser>
          <c:idx val="2"/>
          <c:order val="1"/>
          <c:tx>
            <c:strRef>
              <c:f>'[5]Cab Floorspace'!$L$21</c:f>
              <c:strCache>
                <c:ptCount val="1"/>
                <c:pt idx="0">
                  <c:v>Forecast (m²) </c:v>
                </c:pt>
              </c:strCache>
            </c:strRef>
          </c:tx>
          <c:spPr>
            <a:solidFill>
              <a:srgbClr val="FFC000"/>
            </a:solidFill>
            <a:ln>
              <a:solidFill>
                <a:srgbClr val="FFC000"/>
              </a:solidFill>
            </a:ln>
          </c:spPr>
          <c:invertIfNegative val="0"/>
          <c:cat>
            <c:strRef>
              <c:f>'[6]Cab Floorspace'!$A$22:$A$33</c:f>
              <c:strCache>
                <c:ptCount val="12"/>
              </c:strCache>
            </c:strRef>
          </c:cat>
          <c:val>
            <c:numRef>
              <c:f>'[6]Cab Floorspace'!$L$22:$L$33</c:f>
              <c:numCache>
                <c:formatCode>General</c:formatCode>
                <c:ptCount val="12"/>
              </c:numCache>
            </c:numRef>
          </c:val>
          <c:extLst>
            <c:ext xmlns:c16="http://schemas.microsoft.com/office/drawing/2014/chart" uri="{C3380CC4-5D6E-409C-BE32-E72D297353CC}">
              <c16:uniqueId val="{00000001-E31C-4AB4-829E-F7322F70942B}"/>
            </c:ext>
          </c:extLst>
        </c:ser>
        <c:ser>
          <c:idx val="1"/>
          <c:order val="2"/>
          <c:tx>
            <c:strRef>
              <c:f>'[5]Cab Floorspace'!$K$21</c:f>
              <c:strCache>
                <c:ptCount val="1"/>
                <c:pt idx="0">
                  <c:v>Reserved (m²)</c:v>
                </c:pt>
              </c:strCache>
            </c:strRef>
          </c:tx>
          <c:spPr>
            <a:solidFill>
              <a:srgbClr val="C00000"/>
            </a:solidFill>
            <a:ln>
              <a:solidFill>
                <a:srgbClr val="C00000"/>
              </a:solidFill>
            </a:ln>
          </c:spPr>
          <c:invertIfNegative val="0"/>
          <c:cat>
            <c:strRef>
              <c:f>'[6]Cab Floorspace'!$A$22:$A$33</c:f>
              <c:strCache>
                <c:ptCount val="12"/>
              </c:strCache>
            </c:strRef>
          </c:cat>
          <c:val>
            <c:numRef>
              <c:f>'[6]Cab Floorspace'!$K$22:$K$33</c:f>
              <c:numCache>
                <c:formatCode>General</c:formatCode>
                <c:ptCount val="12"/>
              </c:numCache>
            </c:numRef>
          </c:val>
          <c:extLst>
            <c:ext xmlns:c16="http://schemas.microsoft.com/office/drawing/2014/chart" uri="{C3380CC4-5D6E-409C-BE32-E72D297353CC}">
              <c16:uniqueId val="{00000002-E31C-4AB4-829E-F7322F70942B}"/>
            </c:ext>
          </c:extLst>
        </c:ser>
        <c:ser>
          <c:idx val="3"/>
          <c:order val="3"/>
          <c:tx>
            <c:strRef>
              <c:f>'[5]Cab Floorspace'!$O$21</c:f>
              <c:strCache>
                <c:ptCount val="1"/>
                <c:pt idx="0">
                  <c:v>Remaining (m²) </c:v>
                </c:pt>
              </c:strCache>
            </c:strRef>
          </c:tx>
          <c:spPr>
            <a:solidFill>
              <a:srgbClr val="92D050"/>
            </a:solidFill>
            <a:ln>
              <a:solidFill>
                <a:srgbClr val="92D050"/>
              </a:solidFill>
            </a:ln>
          </c:spPr>
          <c:invertIfNegative val="0"/>
          <c:cat>
            <c:strRef>
              <c:f>'[6]Cab Floorspace'!$A$22:$A$33</c:f>
              <c:strCache>
                <c:ptCount val="12"/>
              </c:strCache>
            </c:strRef>
          </c:cat>
          <c:val>
            <c:numRef>
              <c:f>'[6]Cab Floorspace'!$O$22:$O$33</c:f>
              <c:numCache>
                <c:formatCode>General</c:formatCode>
                <c:ptCount val="12"/>
              </c:numCache>
            </c:numRef>
          </c:val>
          <c:extLst>
            <c:ext xmlns:c16="http://schemas.microsoft.com/office/drawing/2014/chart" uri="{C3380CC4-5D6E-409C-BE32-E72D297353CC}">
              <c16:uniqueId val="{00000003-E31C-4AB4-829E-F7322F70942B}"/>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614464"/>
        <c:crosses val="autoZero"/>
        <c:auto val="1"/>
        <c:lblAlgn val="ctr"/>
        <c:lblOffset val="100"/>
        <c:tickLblSkip val="1"/>
        <c:noMultiLvlLbl val="0"/>
      </c:catAx>
      <c:valAx>
        <c:axId val="205614464"/>
        <c:scaling>
          <c:orientation val="minMax"/>
        </c:scaling>
        <c:delete val="0"/>
        <c:axPos val="l"/>
        <c:title>
          <c:tx>
            <c:rich>
              <a:bodyPr/>
              <a:lstStyle/>
              <a:p>
                <a:pPr>
                  <a:defRPr sz="800"/>
                </a:pPr>
                <a:r>
                  <a:rPr lang="en-GB" sz="800" b="1" i="0" baseline="0">
                    <a:effectLst/>
                  </a:rPr>
                  <a:t>m²</a:t>
                </a:r>
                <a:endParaRPr lang="en-GB" sz="800">
                  <a:effectLst/>
                </a:endParaRPr>
              </a:p>
            </c:rich>
          </c:tx>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612928"/>
        <c:crosses val="autoZero"/>
        <c:crossBetween val="between"/>
      </c:valAx>
      <c:spPr>
        <a:noFill/>
      </c:spPr>
    </c:plotArea>
    <c:legend>
      <c:legendPos val="b"/>
      <c:layout>
        <c:manualLayout>
          <c:xMode val="edge"/>
          <c:yMode val="edge"/>
          <c:x val="0.24118390022675737"/>
          <c:y val="0.91957507507507508"/>
          <c:w val="0.51763219954648521"/>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Anaylsis'!$C$15</c:f>
              <c:strCache>
                <c:ptCount val="1"/>
                <c:pt idx="0">
                  <c:v> % of Total Site Load</c:v>
                </c:pt>
              </c:strCache>
            </c:strRef>
          </c:tx>
          <c:invertIfNegative val="0"/>
          <c:cat>
            <c:strRef>
              <c:f>'Dual Running Anaylsis'!$D$3:$Q$3</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Anaylsis'!$D$15:$Q$15</c:f>
              <c:numCache>
                <c:formatCode>0%</c:formatCode>
                <c:ptCount val="14"/>
                <c:pt idx="0">
                  <c:v>0.1932667051247888</c:v>
                </c:pt>
                <c:pt idx="1">
                  <c:v>0.2020089008229532</c:v>
                </c:pt>
                <c:pt idx="2">
                  <c:v>0.25702352479206081</c:v>
                </c:pt>
                <c:pt idx="3">
                  <c:v>0.42567015044079265</c:v>
                </c:pt>
                <c:pt idx="4">
                  <c:v>0.2360232701461159</c:v>
                </c:pt>
                <c:pt idx="5">
                  <c:v>0.25047123915828817</c:v>
                </c:pt>
                <c:pt idx="6">
                  <c:v>0.31077106239932767</c:v>
                </c:pt>
                <c:pt idx="7">
                  <c:v>0.21312007794105708</c:v>
                </c:pt>
                <c:pt idx="8">
                  <c:v>0.32737113061844103</c:v>
                </c:pt>
                <c:pt idx="9">
                  <c:v>0.2664439099563608</c:v>
                </c:pt>
                <c:pt idx="10">
                  <c:v>0.21613102943659593</c:v>
                </c:pt>
                <c:pt idx="11">
                  <c:v>0.396155966604052</c:v>
                </c:pt>
                <c:pt idx="12">
                  <c:v>0.35666871420928525</c:v>
                </c:pt>
                <c:pt idx="13">
                  <c:v>0.25295027581308921</c:v>
                </c:pt>
              </c:numCache>
            </c:numRef>
          </c:val>
          <c:extLst>
            <c:ext xmlns:c16="http://schemas.microsoft.com/office/drawing/2014/chart" uri="{C3380CC4-5D6E-409C-BE32-E72D297353CC}">
              <c16:uniqueId val="{00000000-7003-4EA8-8F0A-7B357471EDEC}"/>
            </c:ext>
          </c:extLst>
        </c:ser>
        <c:dLbls>
          <c:showLegendKey val="0"/>
          <c:showVal val="0"/>
          <c:showCatName val="0"/>
          <c:showSerName val="0"/>
          <c:showPercent val="0"/>
          <c:showBubbleSize val="0"/>
        </c:dLbls>
        <c:gapWidth val="150"/>
        <c:shape val="box"/>
        <c:axId val="141804288"/>
        <c:axId val="141805824"/>
        <c:axId val="0"/>
      </c:bar3DChart>
      <c:catAx>
        <c:axId val="14180428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5824"/>
        <c:crosses val="autoZero"/>
        <c:auto val="1"/>
        <c:lblAlgn val="ctr"/>
        <c:lblOffset val="100"/>
        <c:noMultiLvlLbl val="0"/>
      </c:catAx>
      <c:valAx>
        <c:axId val="141805824"/>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4288"/>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Anaylsis'!$S$3</c:f>
              <c:strCache>
                <c:ptCount val="1"/>
                <c:pt idx="0">
                  <c:v>% of Type A Acutal Usage</c:v>
                </c:pt>
              </c:strCache>
            </c:strRef>
          </c:tx>
          <c:invertIfNegative val="0"/>
          <c:cat>
            <c:strRef>
              <c:f>'Dual Running Anaylsis'!$A$4:$A$12</c:f>
              <c:strCache>
                <c:ptCount val="9"/>
                <c:pt idx="0">
                  <c:v>NGVM Core</c:v>
                </c:pt>
                <c:pt idx="1">
                  <c:v>BBNS</c:v>
                </c:pt>
                <c:pt idx="2">
                  <c:v>RNC's</c:v>
                </c:pt>
                <c:pt idx="3">
                  <c:v>BSC's</c:v>
                </c:pt>
                <c:pt idx="4">
                  <c:v>SMS</c:v>
                </c:pt>
                <c:pt idx="5">
                  <c:v>Legacy IN</c:v>
                </c:pt>
                <c:pt idx="6">
                  <c:v>CHE</c:v>
                </c:pt>
                <c:pt idx="7">
                  <c:v>VML</c:v>
                </c:pt>
                <c:pt idx="8">
                  <c:v>CPN</c:v>
                </c:pt>
              </c:strCache>
            </c:strRef>
          </c:cat>
          <c:val>
            <c:numRef>
              <c:f>'Dual Running Anaylsis'!$S$4:$S$12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A2F0-4D6C-A863-3429A3F20B5F}"/>
            </c:ext>
          </c:extLst>
        </c:ser>
        <c:dLbls>
          <c:showLegendKey val="0"/>
          <c:showVal val="0"/>
          <c:showCatName val="0"/>
          <c:showSerName val="0"/>
          <c:showPercent val="0"/>
          <c:showBubbleSize val="0"/>
        </c:dLbls>
        <c:gapWidth val="150"/>
        <c:shape val="box"/>
        <c:axId val="141841152"/>
        <c:axId val="141842688"/>
        <c:axId val="0"/>
      </c:bar3DChart>
      <c:catAx>
        <c:axId val="141841152"/>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000000"/>
                </a:solidFill>
                <a:latin typeface="Calibri"/>
                <a:ea typeface="Calibri"/>
                <a:cs typeface="Calibri"/>
              </a:defRPr>
            </a:pPr>
            <a:endParaRPr lang="en-US"/>
          </a:p>
        </c:txPr>
        <c:crossAx val="141842688"/>
        <c:crosses val="autoZero"/>
        <c:auto val="1"/>
        <c:lblAlgn val="ctr"/>
        <c:lblOffset val="100"/>
        <c:noMultiLvlLbl val="0"/>
      </c:catAx>
      <c:valAx>
        <c:axId val="141842688"/>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41152"/>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0" i="0" u="none" strike="noStrike" baseline="0">
                <a:solidFill>
                  <a:srgbClr val="000000"/>
                </a:solidFill>
                <a:latin typeface="Calibri"/>
                <a:ea typeface="Calibri"/>
                <a:cs typeface="Calibri"/>
              </a:defRPr>
            </a:pPr>
            <a:r>
              <a:rPr lang="en-GB"/>
              <a:t>Dual Running Within Total Site Load</a:t>
            </a:r>
          </a:p>
        </c:rich>
      </c:tx>
      <c:layout>
        <c:manualLayout>
          <c:xMode val="edge"/>
          <c:yMode val="edge"/>
          <c:x val="0.32559037087979309"/>
          <c:y val="4.4247787610619468E-2"/>
        </c:manualLayout>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9.1987999617990035E-2"/>
          <c:y val="0.15901209933790897"/>
          <c:w val="0.72408078852125923"/>
          <c:h val="0.76303644060965392"/>
        </c:manualLayout>
      </c:layout>
      <c:bar3DChart>
        <c:barDir val="col"/>
        <c:grouping val="stacked"/>
        <c:varyColors val="0"/>
        <c:ser>
          <c:idx val="0"/>
          <c:order val="0"/>
          <c:tx>
            <c:strRef>
              <c:f>'Dual Running Anaylsis'!$C$45</c:f>
              <c:strCache>
                <c:ptCount val="1"/>
                <c:pt idx="0">
                  <c:v>Dual Running (kW)</c:v>
                </c:pt>
              </c:strCache>
            </c:strRef>
          </c:tx>
          <c:spPr>
            <a:solidFill>
              <a:schemeClr val="accent1">
                <a:lumMod val="75000"/>
              </a:schemeClr>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Anaylsis'!$D$45:$Q$45</c:f>
              <c:numCache>
                <c:formatCode>General</c:formatCode>
                <c:ptCount val="14"/>
                <c:pt idx="0">
                  <c:v>33</c:v>
                </c:pt>
                <c:pt idx="1">
                  <c:v>65</c:v>
                </c:pt>
                <c:pt idx="2">
                  <c:v>36</c:v>
                </c:pt>
                <c:pt idx="3">
                  <c:v>57</c:v>
                </c:pt>
                <c:pt idx="4">
                  <c:v>27</c:v>
                </c:pt>
                <c:pt idx="5">
                  <c:v>39</c:v>
                </c:pt>
                <c:pt idx="6">
                  <c:v>71</c:v>
                </c:pt>
                <c:pt idx="7">
                  <c:v>42</c:v>
                </c:pt>
                <c:pt idx="8">
                  <c:v>62</c:v>
                </c:pt>
                <c:pt idx="9">
                  <c:v>74</c:v>
                </c:pt>
                <c:pt idx="10">
                  <c:v>48</c:v>
                </c:pt>
                <c:pt idx="11">
                  <c:v>60</c:v>
                </c:pt>
                <c:pt idx="12">
                  <c:v>45</c:v>
                </c:pt>
                <c:pt idx="13">
                  <c:v>39</c:v>
                </c:pt>
              </c:numCache>
            </c:numRef>
          </c:val>
          <c:extLst>
            <c:ext xmlns:c16="http://schemas.microsoft.com/office/drawing/2014/chart" uri="{C3380CC4-5D6E-409C-BE32-E72D297353CC}">
              <c16:uniqueId val="{00000000-6C74-40AA-851F-B6B45BD76EA0}"/>
            </c:ext>
          </c:extLst>
        </c:ser>
        <c:ser>
          <c:idx val="1"/>
          <c:order val="1"/>
          <c:tx>
            <c:strRef>
              <c:f>'Dual Running Anaylsis'!$C$47</c:f>
              <c:strCache>
                <c:ptCount val="1"/>
                <c:pt idx="0">
                  <c:v>Site Load (kW)</c:v>
                </c:pt>
              </c:strCache>
            </c:strRef>
          </c:tx>
          <c:spPr>
            <a:solidFill>
              <a:srgbClr val="E60000"/>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Anaylsis'!$D$47:$Q$47</c:f>
              <c:numCache>
                <c:formatCode>0</c:formatCode>
                <c:ptCount val="14"/>
                <c:pt idx="0">
                  <c:v>137.74850000000001</c:v>
                </c:pt>
                <c:pt idx="1">
                  <c:v>256.76799999999997</c:v>
                </c:pt>
                <c:pt idx="2">
                  <c:v>104.065</c:v>
                </c:pt>
                <c:pt idx="3">
                  <c:v>76.906499999999994</c:v>
                </c:pt>
                <c:pt idx="4">
                  <c:v>87.395499999999998</c:v>
                </c:pt>
                <c:pt idx="5">
                  <c:v>116.70650000000001</c:v>
                </c:pt>
                <c:pt idx="6">
                  <c:v>157.464</c:v>
                </c:pt>
                <c:pt idx="7">
                  <c:v>155.072</c:v>
                </c:pt>
                <c:pt idx="8">
                  <c:v>127.38749999999999</c:v>
                </c:pt>
                <c:pt idx="9">
                  <c:v>203.73200000000003</c:v>
                </c:pt>
                <c:pt idx="10">
                  <c:v>174.08750000000001</c:v>
                </c:pt>
                <c:pt idx="11">
                  <c:v>91.455500000000001</c:v>
                </c:pt>
                <c:pt idx="12">
                  <c:v>81.167500000000004</c:v>
                </c:pt>
                <c:pt idx="13">
                  <c:v>115.18049999999999</c:v>
                </c:pt>
              </c:numCache>
            </c:numRef>
          </c:val>
          <c:extLst>
            <c:ext xmlns:c16="http://schemas.microsoft.com/office/drawing/2014/chart" uri="{C3380CC4-5D6E-409C-BE32-E72D297353CC}">
              <c16:uniqueId val="{00000001-6C74-40AA-851F-B6B45BD76EA0}"/>
            </c:ext>
          </c:extLst>
        </c:ser>
        <c:dLbls>
          <c:showLegendKey val="0"/>
          <c:showVal val="0"/>
          <c:showCatName val="0"/>
          <c:showSerName val="0"/>
          <c:showPercent val="0"/>
          <c:showBubbleSize val="0"/>
        </c:dLbls>
        <c:gapWidth val="150"/>
        <c:shape val="box"/>
        <c:axId val="141871744"/>
        <c:axId val="141881728"/>
        <c:axId val="0"/>
      </c:bar3DChart>
      <c:catAx>
        <c:axId val="14187174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81728"/>
        <c:crosses val="autoZero"/>
        <c:auto val="1"/>
        <c:lblAlgn val="ctr"/>
        <c:lblOffset val="100"/>
        <c:noMultiLvlLbl val="0"/>
      </c:catAx>
      <c:valAx>
        <c:axId val="141881728"/>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GB"/>
                  <a:t>Site Load (kW)</a:t>
                </a:r>
              </a:p>
            </c:rich>
          </c:tx>
          <c:layout>
            <c:manualLayout>
              <c:xMode val="edge"/>
              <c:yMode val="edge"/>
              <c:x val="2.361535033832253E-2"/>
              <c:y val="0.45113395117645699"/>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71744"/>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 Dual Running Total Site Load</a:t>
            </a:r>
          </a:p>
        </c:rich>
      </c:tx>
      <c:layout>
        <c:manualLayout>
          <c:xMode val="edge"/>
          <c:yMode val="edge"/>
          <c:x val="0.35460880307556208"/>
          <c:y val="2.067546849649465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3CEA-410E-971D-A84D4FEBA691}"/>
            </c:ext>
          </c:extLst>
        </c:ser>
        <c:dLbls>
          <c:showLegendKey val="0"/>
          <c:showVal val="0"/>
          <c:showCatName val="0"/>
          <c:showSerName val="0"/>
          <c:showPercent val="0"/>
          <c:showBubbleSize val="0"/>
        </c:dLbls>
        <c:gapWidth val="150"/>
        <c:shape val="box"/>
        <c:axId val="154998656"/>
        <c:axId val="155000192"/>
        <c:axId val="0"/>
      </c:bar3DChart>
      <c:catAx>
        <c:axId val="154998656"/>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55000192"/>
        <c:crosses val="autoZero"/>
        <c:auto val="1"/>
        <c:lblAlgn val="ctr"/>
        <c:lblOffset val="100"/>
        <c:noMultiLvlLbl val="0"/>
      </c:catAx>
      <c:valAx>
        <c:axId val="1550001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4998656"/>
        <c:crosses val="autoZero"/>
        <c:crossBetween val="between"/>
      </c:valAx>
      <c:spPr>
        <a:noFill/>
        <a:ln w="25400">
          <a:noFill/>
        </a:ln>
      </c:spPr>
    </c:plotArea>
    <c:legend>
      <c:legendPos val="r"/>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ln w="3175"/>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Dual Running Elements</a:t>
            </a:r>
          </a:p>
        </c:rich>
      </c:tx>
      <c:layout>
        <c:manualLayout>
          <c:xMode val="edge"/>
          <c:yMode val="edge"/>
          <c:x val="0.18234350117999956"/>
          <c:y val="2.0229166269470553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manualLayout>
          <c:layoutTarget val="inner"/>
          <c:xMode val="edge"/>
          <c:yMode val="edge"/>
          <c:x val="7.6784293754622493E-2"/>
          <c:y val="0.1227686562136148"/>
          <c:w val="0.70576137120854499"/>
          <c:h val="0.67778896495629104"/>
        </c:manualLayout>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E7AE-4989-B4EE-85D83A71E80A}"/>
            </c:ext>
          </c:extLst>
        </c:ser>
        <c:dLbls>
          <c:showLegendKey val="0"/>
          <c:showVal val="0"/>
          <c:showCatName val="0"/>
          <c:showSerName val="0"/>
          <c:showPercent val="0"/>
          <c:showBubbleSize val="0"/>
        </c:dLbls>
        <c:gapWidth val="150"/>
        <c:shape val="box"/>
        <c:axId val="155070848"/>
        <c:axId val="155072384"/>
        <c:axId val="0"/>
      </c:bar3DChart>
      <c:catAx>
        <c:axId val="155070848"/>
        <c:scaling>
          <c:orientation val="minMax"/>
        </c:scaling>
        <c:delete val="0"/>
        <c:axPos val="b"/>
        <c:numFmt formatCode="General" sourceLinked="1"/>
        <c:majorTickMark val="out"/>
        <c:minorTickMark val="none"/>
        <c:tickLblPos val="nextTo"/>
        <c:txPr>
          <a:bodyPr rot="-2700000" vert="horz"/>
          <a:lstStyle/>
          <a:p>
            <a:pPr>
              <a:defRPr sz="1200" b="0" i="0" u="none" strike="noStrike" baseline="0">
                <a:solidFill>
                  <a:srgbClr val="000000"/>
                </a:solidFill>
                <a:latin typeface="Vodafone Lt"/>
                <a:ea typeface="Vodafone Lt"/>
                <a:cs typeface="Vodafone Lt"/>
              </a:defRPr>
            </a:pPr>
            <a:endParaRPr lang="en-US"/>
          </a:p>
        </c:txPr>
        <c:crossAx val="155072384"/>
        <c:crosses val="autoZero"/>
        <c:auto val="1"/>
        <c:lblAlgn val="ctr"/>
        <c:lblOffset val="100"/>
        <c:noMultiLvlLbl val="0"/>
      </c:catAx>
      <c:valAx>
        <c:axId val="155072384"/>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5070848"/>
        <c:crosses val="autoZero"/>
        <c:crossBetween val="between"/>
      </c:valAx>
      <c:spPr>
        <a:noFill/>
        <a:ln w="25400">
          <a:noFill/>
        </a:ln>
      </c:spPr>
    </c:plotArea>
    <c:legend>
      <c:legendPos val="r"/>
      <c:layout>
        <c:manualLayout>
          <c:xMode val="edge"/>
          <c:yMode val="edge"/>
          <c:x val="0.75976002999625047"/>
          <c:y val="0.4292382096305758"/>
          <c:w val="0.21609439996471025"/>
          <c:h val="0.24160912089378661"/>
        </c:manualLayout>
      </c:layout>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9874369636379722E-2"/>
          <c:y val="3.2558716271899754E-2"/>
          <c:w val="0.69448885251703085"/>
          <c:h val="0.87344814312885743"/>
        </c:manualLayout>
      </c:layout>
      <c:barChart>
        <c:barDir val="col"/>
        <c:grouping val="stacked"/>
        <c:varyColors val="0"/>
        <c:ser>
          <c:idx val="0"/>
          <c:order val="0"/>
          <c:tx>
            <c:strRef>
              <c:f>'Power figures'!$B$19</c:f>
              <c:strCache>
                <c:ptCount val="1"/>
                <c:pt idx="0">
                  <c:v>Inverter Usage (kW)</c:v>
                </c:pt>
              </c:strCache>
            </c:strRef>
          </c:tx>
          <c:spPr>
            <a:solidFill>
              <a:srgbClr val="FF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figures'!$B$20:$B$33</c:f>
              <c:numCache>
                <c:formatCode>0</c:formatCode>
                <c:ptCount val="14"/>
                <c:pt idx="0">
                  <c:v>81.750000000000014</c:v>
                </c:pt>
                <c:pt idx="1">
                  <c:v>71.94</c:v>
                </c:pt>
                <c:pt idx="2">
                  <c:v>50.14</c:v>
                </c:pt>
                <c:pt idx="3">
                  <c:v>33</c:v>
                </c:pt>
                <c:pt idx="4">
                  <c:v>47.960000000000008</c:v>
                </c:pt>
                <c:pt idx="5">
                  <c:v>30.660610000000002</c:v>
                </c:pt>
                <c:pt idx="6">
                  <c:v>50.14</c:v>
                </c:pt>
                <c:pt idx="7">
                  <c:v>30.520000000000003</c:v>
                </c:pt>
                <c:pt idx="8">
                  <c:v>17.440000000000001</c:v>
                </c:pt>
                <c:pt idx="9">
                  <c:v>7.6300000000000008</c:v>
                </c:pt>
                <c:pt idx="10">
                  <c:v>0</c:v>
                </c:pt>
                <c:pt idx="11">
                  <c:v>39.24</c:v>
                </c:pt>
                <c:pt idx="12">
                  <c:v>0</c:v>
                </c:pt>
                <c:pt idx="13">
                  <c:v>8.7200000000000006</c:v>
                </c:pt>
              </c:numCache>
            </c:numRef>
          </c:val>
          <c:extLst>
            <c:ext xmlns:c16="http://schemas.microsoft.com/office/drawing/2014/chart" uri="{C3380CC4-5D6E-409C-BE32-E72D297353CC}">
              <c16:uniqueId val="{00000000-3B20-4D0A-B014-94F105A0460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figures'!$C$20:$C$33</c:f>
              <c:numCache>
                <c:formatCode>0</c:formatCode>
                <c:ptCount val="14"/>
                <c:pt idx="0">
                  <c:v>305.2</c:v>
                </c:pt>
                <c:pt idx="1">
                  <c:v>317.24450000000002</c:v>
                </c:pt>
                <c:pt idx="2">
                  <c:v>283.83600000000001</c:v>
                </c:pt>
                <c:pt idx="3">
                  <c:v>255.14150000000001</c:v>
                </c:pt>
                <c:pt idx="4">
                  <c:v>237.12949999999998</c:v>
                </c:pt>
                <c:pt idx="5">
                  <c:v>244.18289000000001</c:v>
                </c:pt>
                <c:pt idx="6">
                  <c:v>228.08250000000004</c:v>
                </c:pt>
                <c:pt idx="7">
                  <c:v>140.392</c:v>
                </c:pt>
                <c:pt idx="8">
                  <c:v>106.0025</c:v>
                </c:pt>
                <c:pt idx="9">
                  <c:v>74.992000000000004</c:v>
                </c:pt>
                <c:pt idx="10">
                  <c:v>36.624000000000002</c:v>
                </c:pt>
                <c:pt idx="11">
                  <c:v>25.342499999999994</c:v>
                </c:pt>
                <c:pt idx="12">
                  <c:v>21.582000000000001</c:v>
                </c:pt>
                <c:pt idx="13">
                  <c:v>97.664000000000001</c:v>
                </c:pt>
              </c:numCache>
            </c:numRef>
          </c:val>
          <c:extLst>
            <c:ext xmlns:c16="http://schemas.microsoft.com/office/drawing/2014/chart" uri="{C3380CC4-5D6E-409C-BE32-E72D297353CC}">
              <c16:uniqueId val="{00000001-3B20-4D0A-B014-94F105A04600}"/>
            </c:ext>
          </c:extLst>
        </c:ser>
        <c:ser>
          <c:idx val="2"/>
          <c:order val="2"/>
          <c:tx>
            <c:strRef>
              <c:f>'Power figures'!$D$19</c:f>
              <c:strCache>
                <c:ptCount val="1"/>
                <c:pt idx="0">
                  <c:v>Reserved (kW)</c:v>
                </c:pt>
              </c:strCache>
            </c:strRef>
          </c:tx>
          <c:spPr>
            <a:solidFill>
              <a:srgbClr val="F79646">
                <a:lumMod val="75000"/>
              </a:srgbClr>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figures'!$D$20:$D$33</c:f>
              <c:numCache>
                <c:formatCode>0</c:formatCode>
                <c:ptCount val="14"/>
                <c:pt idx="0">
                  <c:v>39.021999999999998</c:v>
                </c:pt>
                <c:pt idx="1">
                  <c:v>40.439</c:v>
                </c:pt>
                <c:pt idx="2">
                  <c:v>55.917000000000002</c:v>
                </c:pt>
                <c:pt idx="3">
                  <c:v>53.082999999999998</c:v>
                </c:pt>
                <c:pt idx="4">
                  <c:v>67.307500000000005</c:v>
                </c:pt>
                <c:pt idx="5">
                  <c:v>103.877</c:v>
                </c:pt>
                <c:pt idx="6">
                  <c:v>105.5665</c:v>
                </c:pt>
                <c:pt idx="7">
                  <c:v>13.897500000000001</c:v>
                </c:pt>
                <c:pt idx="8">
                  <c:v>0</c:v>
                </c:pt>
                <c:pt idx="9">
                  <c:v>0</c:v>
                </c:pt>
                <c:pt idx="10">
                  <c:v>0</c:v>
                </c:pt>
                <c:pt idx="11">
                  <c:v>0</c:v>
                </c:pt>
                <c:pt idx="12">
                  <c:v>0</c:v>
                </c:pt>
                <c:pt idx="13">
                  <c:v>0</c:v>
                </c:pt>
              </c:numCache>
            </c:numRef>
          </c:val>
          <c:extLst>
            <c:ext xmlns:c16="http://schemas.microsoft.com/office/drawing/2014/chart" uri="{C3380CC4-5D6E-409C-BE32-E72D297353CC}">
              <c16:uniqueId val="{00000002-3B20-4D0A-B014-94F105A04600}"/>
            </c:ext>
          </c:extLst>
        </c:ser>
        <c:ser>
          <c:idx val="3"/>
          <c:order val="3"/>
          <c:tx>
            <c:strRef>
              <c:f>'Power figures'!$E$19</c:f>
              <c:strCache>
                <c:ptCount val="1"/>
                <c:pt idx="0">
                  <c:v>Forecast (kW)</c:v>
                </c:pt>
              </c:strCache>
            </c:strRef>
          </c:tx>
          <c:spPr>
            <a:solidFill>
              <a:srgbClr val="80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figures'!$E$20:$E$33</c:f>
              <c:numCache>
                <c:formatCode>0</c:formatCode>
                <c:ptCount val="14"/>
                <c:pt idx="0">
                  <c:v>38.040999999999997</c:v>
                </c:pt>
                <c:pt idx="1">
                  <c:v>23.326000000000001</c:v>
                </c:pt>
                <c:pt idx="2">
                  <c:v>6.1040000000000001</c:v>
                </c:pt>
                <c:pt idx="3">
                  <c:v>3.488</c:v>
                </c:pt>
                <c:pt idx="4">
                  <c:v>20.388449999999999</c:v>
                </c:pt>
                <c:pt idx="5">
                  <c:v>16.393600000000003</c:v>
                </c:pt>
                <c:pt idx="6">
                  <c:v>7.194</c:v>
                </c:pt>
                <c:pt idx="7">
                  <c:v>1.0900000000000001</c:v>
                </c:pt>
                <c:pt idx="8">
                  <c:v>5.7770000000000001</c:v>
                </c:pt>
                <c:pt idx="9">
                  <c:v>0</c:v>
                </c:pt>
                <c:pt idx="10">
                  <c:v>0</c:v>
                </c:pt>
                <c:pt idx="11">
                  <c:v>0</c:v>
                </c:pt>
                <c:pt idx="12">
                  <c:v>0</c:v>
                </c:pt>
                <c:pt idx="13">
                  <c:v>12.06085</c:v>
                </c:pt>
              </c:numCache>
            </c:numRef>
          </c:val>
          <c:extLst>
            <c:ext xmlns:c16="http://schemas.microsoft.com/office/drawing/2014/chart" uri="{C3380CC4-5D6E-409C-BE32-E72D297353CC}">
              <c16:uniqueId val="{00000003-3B20-4D0A-B014-94F105A04600}"/>
            </c:ext>
          </c:extLst>
        </c:ser>
        <c:ser>
          <c:idx val="4"/>
          <c:order val="4"/>
          <c:tx>
            <c:strRef>
              <c:f>'Power figures'!$G$19</c:f>
              <c:strCache>
                <c:ptCount val="1"/>
                <c:pt idx="0">
                  <c:v>Power Expansion Capability  (kW)</c:v>
                </c:pt>
              </c:strCache>
            </c:strRef>
          </c:tx>
          <c:spPr>
            <a:solidFill>
              <a:srgbClr val="3A8ED5"/>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figures'!$G$20:$G$33</c:f>
              <c:numCache>
                <c:formatCode>0</c:formatCode>
                <c:ptCount val="14"/>
                <c:pt idx="0">
                  <c:v>0</c:v>
                </c:pt>
                <c:pt idx="1">
                  <c:v>0</c:v>
                </c:pt>
                <c:pt idx="2">
                  <c:v>0</c:v>
                </c:pt>
                <c:pt idx="3">
                  <c:v>0</c:v>
                </c:pt>
                <c:pt idx="4">
                  <c:v>0</c:v>
                </c:pt>
                <c:pt idx="5">
                  <c:v>0</c:v>
                </c:pt>
                <c:pt idx="6">
                  <c:v>0</c:v>
                </c:pt>
                <c:pt idx="7">
                  <c:v>0</c:v>
                </c:pt>
                <c:pt idx="8">
                  <c:v>0</c:v>
                </c:pt>
                <c:pt idx="9">
                  <c:v>48</c:v>
                </c:pt>
                <c:pt idx="10">
                  <c:v>28</c:v>
                </c:pt>
                <c:pt idx="11">
                  <c:v>28</c:v>
                </c:pt>
                <c:pt idx="12">
                  <c:v>28</c:v>
                </c:pt>
                <c:pt idx="13">
                  <c:v>0</c:v>
                </c:pt>
              </c:numCache>
            </c:numRef>
          </c:val>
          <c:extLst>
            <c:ext xmlns:c16="http://schemas.microsoft.com/office/drawing/2014/chart" uri="{C3380CC4-5D6E-409C-BE32-E72D297353CC}">
              <c16:uniqueId val="{00000000-C6D5-4D55-8F18-B53FA8DA81D3}"/>
            </c:ext>
          </c:extLst>
        </c:ser>
        <c:dLbls>
          <c:showLegendKey val="0"/>
          <c:showVal val="0"/>
          <c:showCatName val="0"/>
          <c:showSerName val="0"/>
          <c:showPercent val="0"/>
          <c:showBubbleSize val="0"/>
        </c:dLbls>
        <c:gapWidth val="40"/>
        <c:overlap val="100"/>
        <c:axId val="160472448"/>
        <c:axId val="160478336"/>
      </c:barChart>
      <c:catAx>
        <c:axId val="160472448"/>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8336"/>
        <c:crosses val="autoZero"/>
        <c:auto val="1"/>
        <c:lblAlgn val="ctr"/>
        <c:lblOffset val="100"/>
        <c:noMultiLvlLbl val="0"/>
      </c:catAx>
      <c:valAx>
        <c:axId val="160478336"/>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2448"/>
        <c:crosses val="autoZero"/>
        <c:crossBetween val="between"/>
      </c:valAx>
      <c:spPr>
        <a:solidFill>
          <a:srgbClr val="8064A2">
            <a:lumMod val="20000"/>
            <a:lumOff val="80000"/>
          </a:srgbClr>
        </a:solidFill>
      </c:spPr>
    </c:plotArea>
    <c:legend>
      <c:legendPos val="r"/>
      <c:layout>
        <c:manualLayout>
          <c:xMode val="edge"/>
          <c:yMode val="edge"/>
          <c:x val="0.79723579611641937"/>
          <c:y val="0.30482884246737624"/>
          <c:w val="0.19091552630781636"/>
          <c:h val="0.369549172177009"/>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b="1" i="0" u="none" strike="noStrike" baseline="0">
                <a:solidFill>
                  <a:srgbClr val="000000"/>
                </a:solidFill>
                <a:latin typeface="Vodafone Lt"/>
                <a:ea typeface="Vodafone Lt"/>
                <a:cs typeface="Vodafone Lt"/>
              </a:defRPr>
            </a:pPr>
            <a:r>
              <a:rPr lang="en-GB" sz="2600"/>
              <a:t>CHE Sites Power Plant Utilisation (DC)</a:t>
            </a:r>
          </a:p>
        </c:rich>
      </c:tx>
      <c:layout>
        <c:manualLayout>
          <c:xMode val="edge"/>
          <c:yMode val="edge"/>
          <c:x val="0.34337843975201504"/>
          <c:y val="2.2053768702640985E-2"/>
        </c:manualLayout>
      </c:layout>
      <c:overlay val="0"/>
      <c:spPr>
        <a:noFill/>
        <a:ln w="25400">
          <a:noFill/>
        </a:ln>
      </c:spPr>
    </c:title>
    <c:autoTitleDeleted val="0"/>
    <c:plotArea>
      <c:layout>
        <c:manualLayout>
          <c:layoutTarget val="inner"/>
          <c:xMode val="edge"/>
          <c:yMode val="edge"/>
          <c:x val="6.1856385394494208E-2"/>
          <c:y val="0.15141623225074705"/>
          <c:w val="0.7777960552716241"/>
          <c:h val="0.63349689930557129"/>
        </c:manualLayout>
      </c:layout>
      <c:barChart>
        <c:barDir val="col"/>
        <c:grouping val="stacked"/>
        <c:varyColors val="0"/>
        <c:ser>
          <c:idx val="0"/>
          <c:order val="0"/>
          <c:tx>
            <c:strRef>
              <c:f>'Power figures'!$B$155</c:f>
              <c:strCache>
                <c:ptCount val="1"/>
                <c:pt idx="0">
                  <c:v>Load (kW)</c:v>
                </c:pt>
              </c:strCache>
            </c:strRef>
          </c:tx>
          <c:spPr>
            <a:solidFill>
              <a:srgbClr val="008000"/>
            </a:solidFill>
            <a:ln w="12700">
              <a:solidFill>
                <a:srgbClr val="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figures'!$B$156:$B$181</c:f>
              <c:numCache>
                <c:formatCode>0.0</c:formatCode>
                <c:ptCount val="26"/>
                <c:pt idx="0">
                  <c:v>43.817999999999998</c:v>
                </c:pt>
                <c:pt idx="1">
                  <c:v>49.704000000000001</c:v>
                </c:pt>
                <c:pt idx="2">
                  <c:v>46.761000000000003</c:v>
                </c:pt>
                <c:pt idx="3">
                  <c:v>48.505000000000003</c:v>
                </c:pt>
                <c:pt idx="4">
                  <c:v>47.6875</c:v>
                </c:pt>
                <c:pt idx="5">
                  <c:v>51.993000000000002</c:v>
                </c:pt>
                <c:pt idx="6">
                  <c:v>47.633000000000003</c:v>
                </c:pt>
                <c:pt idx="7">
                  <c:v>50.848500000000001</c:v>
                </c:pt>
                <c:pt idx="8">
                  <c:v>40.112000000000002</c:v>
                </c:pt>
                <c:pt idx="9">
                  <c:v>41.093000000000004</c:v>
                </c:pt>
                <c:pt idx="10">
                  <c:v>42.019500000000001</c:v>
                </c:pt>
                <c:pt idx="11">
                  <c:v>41.637999999999998</c:v>
                </c:pt>
                <c:pt idx="12">
                  <c:v>43.273000000000003</c:v>
                </c:pt>
                <c:pt idx="13">
                  <c:v>45.725499999999997</c:v>
                </c:pt>
                <c:pt idx="14">
                  <c:v>48.832000000000001</c:v>
                </c:pt>
                <c:pt idx="15">
                  <c:v>44.798999999999999</c:v>
                </c:pt>
                <c:pt idx="16">
                  <c:v>51.502499999999998</c:v>
                </c:pt>
                <c:pt idx="17">
                  <c:v>46.87</c:v>
                </c:pt>
                <c:pt idx="18">
                  <c:v>49.976500000000001</c:v>
                </c:pt>
                <c:pt idx="19">
                  <c:v>48.613999999999997</c:v>
                </c:pt>
                <c:pt idx="20">
                  <c:v>60.277000000000001</c:v>
                </c:pt>
                <c:pt idx="21">
                  <c:v>56.789000000000001</c:v>
                </c:pt>
                <c:pt idx="22">
                  <c:v>59.078000000000003</c:v>
                </c:pt>
                <c:pt idx="23">
                  <c:v>62.6205</c:v>
                </c:pt>
                <c:pt idx="24">
                  <c:v>58.750999999999998</c:v>
                </c:pt>
                <c:pt idx="25">
                  <c:v>59.295999999999999</c:v>
                </c:pt>
              </c:numCache>
            </c:numRef>
          </c:val>
          <c:extLst>
            <c:ext xmlns:c16="http://schemas.microsoft.com/office/drawing/2014/chart" uri="{C3380CC4-5D6E-409C-BE32-E72D297353CC}">
              <c16:uniqueId val="{00000000-18A7-4DC7-9454-B7957FD257E4}"/>
            </c:ext>
          </c:extLst>
        </c:ser>
        <c:ser>
          <c:idx val="1"/>
          <c:order val="1"/>
          <c:tx>
            <c:strRef>
              <c:f>'Power figures'!$C$155</c:f>
              <c:strCache>
                <c:ptCount val="1"/>
                <c:pt idx="0">
                  <c:v>Reserved (kW)</c:v>
                </c:pt>
              </c:strCache>
            </c:strRef>
          </c:tx>
          <c:spPr>
            <a:solidFill>
              <a:schemeClr val="accent6">
                <a:lumMod val="75000"/>
              </a:schemeClr>
            </a:solidFill>
            <a:ln w="12700">
              <a:solidFill>
                <a:sysClr val="windowText" lastClr="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figures'!$C$156:$C$181</c:f>
              <c:numCache>
                <c:formatCode>0.0</c:formatCode>
                <c:ptCount val="26"/>
                <c:pt idx="0">
                  <c:v>4.5235000000000003</c:v>
                </c:pt>
                <c:pt idx="1">
                  <c:v>3.8149999999999999</c:v>
                </c:pt>
                <c:pt idx="2">
                  <c:v>2.3980000000000001</c:v>
                </c:pt>
                <c:pt idx="3">
                  <c:v>4.4145000000000003</c:v>
                </c:pt>
                <c:pt idx="4">
                  <c:v>4.9050000000000002</c:v>
                </c:pt>
                <c:pt idx="5">
                  <c:v>6.54</c:v>
                </c:pt>
                <c:pt idx="6">
                  <c:v>6.9215</c:v>
                </c:pt>
                <c:pt idx="7">
                  <c:v>5.5045000000000002</c:v>
                </c:pt>
                <c:pt idx="8">
                  <c:v>1.0900000000000001</c:v>
                </c:pt>
                <c:pt idx="9">
                  <c:v>3.052</c:v>
                </c:pt>
                <c:pt idx="10">
                  <c:v>8.2294999999999998</c:v>
                </c:pt>
                <c:pt idx="11">
                  <c:v>8.6654999999999998</c:v>
                </c:pt>
                <c:pt idx="12">
                  <c:v>5.6680000000000001</c:v>
                </c:pt>
                <c:pt idx="13">
                  <c:v>10.1915</c:v>
                </c:pt>
                <c:pt idx="14">
                  <c:v>3.597</c:v>
                </c:pt>
                <c:pt idx="15">
                  <c:v>5.3410000000000002</c:v>
                </c:pt>
                <c:pt idx="16">
                  <c:v>4.6325000000000003</c:v>
                </c:pt>
                <c:pt idx="17">
                  <c:v>3.597</c:v>
                </c:pt>
                <c:pt idx="18">
                  <c:v>4.3055000000000003</c:v>
                </c:pt>
                <c:pt idx="19">
                  <c:v>3.7605</c:v>
                </c:pt>
                <c:pt idx="20">
                  <c:v>4.1965000000000003</c:v>
                </c:pt>
                <c:pt idx="21">
                  <c:v>6.2130000000000001</c:v>
                </c:pt>
                <c:pt idx="22">
                  <c:v>6.7035</c:v>
                </c:pt>
                <c:pt idx="23">
                  <c:v>7.085</c:v>
                </c:pt>
                <c:pt idx="24">
                  <c:v>3.3245</c:v>
                </c:pt>
                <c:pt idx="25">
                  <c:v>3.3245</c:v>
                </c:pt>
              </c:numCache>
            </c:numRef>
          </c:val>
          <c:extLst>
            <c:ext xmlns:c16="http://schemas.microsoft.com/office/drawing/2014/chart" uri="{C3380CC4-5D6E-409C-BE32-E72D297353CC}">
              <c16:uniqueId val="{00000001-18A7-4DC7-9454-B7957FD257E4}"/>
            </c:ext>
          </c:extLst>
        </c:ser>
        <c:ser>
          <c:idx val="2"/>
          <c:order val="2"/>
          <c:tx>
            <c:strRef>
              <c:f>'Power figures'!$D$155</c:f>
              <c:strCache>
                <c:ptCount val="1"/>
                <c:pt idx="0">
                  <c:v>Forecast (kW)</c:v>
                </c:pt>
              </c:strCache>
            </c:strRef>
          </c:tx>
          <c:spPr>
            <a:solidFill>
              <a:srgbClr val="800000"/>
            </a:solidFill>
            <a:ln>
              <a:solidFill>
                <a:schemeClr val="tx1"/>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figures'!$D$156:$D$181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18A7-4DC7-9454-B7957FD257E4}"/>
            </c:ext>
          </c:extLst>
        </c:ser>
        <c:ser>
          <c:idx val="3"/>
          <c:order val="3"/>
          <c:tx>
            <c:strRef>
              <c:f>'Power figures'!$G$155</c:f>
              <c:strCache>
                <c:ptCount val="1"/>
                <c:pt idx="0">
                  <c:v>Remaining Capacity (kW)</c:v>
                </c:pt>
              </c:strCache>
            </c:strRef>
          </c:tx>
          <c:spPr>
            <a:solidFill>
              <a:srgbClr val="FFFFCC"/>
            </a:solidFill>
            <a:ln>
              <a:solidFill>
                <a:sysClr val="windowText" lastClr="000000"/>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figures'!$G$156:$G$181</c:f>
              <c:numCache>
                <c:formatCode>0.0</c:formatCode>
                <c:ptCount val="26"/>
                <c:pt idx="0">
                  <c:v>14.658500000000002</c:v>
                </c:pt>
                <c:pt idx="1">
                  <c:v>9.4809999999999999</c:v>
                </c:pt>
                <c:pt idx="2">
                  <c:v>13.840999999999998</c:v>
                </c:pt>
                <c:pt idx="3">
                  <c:v>10.080499999999997</c:v>
                </c:pt>
                <c:pt idx="4">
                  <c:v>10.407499999999999</c:v>
                </c:pt>
                <c:pt idx="5">
                  <c:v>4.4669999999999979</c:v>
                </c:pt>
                <c:pt idx="6">
                  <c:v>8.4454999999999973</c:v>
                </c:pt>
                <c:pt idx="7">
                  <c:v>6.6469999999999985</c:v>
                </c:pt>
                <c:pt idx="8">
                  <c:v>24.797999999999998</c:v>
                </c:pt>
                <c:pt idx="9">
                  <c:v>21.854999999999997</c:v>
                </c:pt>
                <c:pt idx="10">
                  <c:v>15.750999999999999</c:v>
                </c:pt>
                <c:pt idx="11">
                  <c:v>15.696500000000002</c:v>
                </c:pt>
                <c:pt idx="12">
                  <c:v>17.058999999999997</c:v>
                </c:pt>
                <c:pt idx="13">
                  <c:v>10.083000000000004</c:v>
                </c:pt>
                <c:pt idx="14">
                  <c:v>13.571</c:v>
                </c:pt>
                <c:pt idx="15">
                  <c:v>15.86</c:v>
                </c:pt>
                <c:pt idx="16">
                  <c:v>9.865000000000002</c:v>
                </c:pt>
                <c:pt idx="17">
                  <c:v>15.533000000000003</c:v>
                </c:pt>
                <c:pt idx="18">
                  <c:v>11.717999999999998</c:v>
                </c:pt>
                <c:pt idx="19">
                  <c:v>13.625500000000002</c:v>
                </c:pt>
                <c:pt idx="20">
                  <c:v>9.0264999999999986</c:v>
                </c:pt>
                <c:pt idx="21">
                  <c:v>10.497999999999998</c:v>
                </c:pt>
                <c:pt idx="22">
                  <c:v>7.718499999999997</c:v>
                </c:pt>
                <c:pt idx="23">
                  <c:v>3.7945000000000002</c:v>
                </c:pt>
                <c:pt idx="24">
                  <c:v>11.424500000000002</c:v>
                </c:pt>
                <c:pt idx="25">
                  <c:v>10.8795</c:v>
                </c:pt>
              </c:numCache>
            </c:numRef>
          </c:val>
          <c:extLst>
            <c:ext xmlns:c16="http://schemas.microsoft.com/office/drawing/2014/chart" uri="{C3380CC4-5D6E-409C-BE32-E72D297353CC}">
              <c16:uniqueId val="{00000000-9ED1-4B01-AE23-3030B9BC20D3}"/>
            </c:ext>
          </c:extLst>
        </c:ser>
        <c:dLbls>
          <c:showLegendKey val="0"/>
          <c:showVal val="0"/>
          <c:showCatName val="0"/>
          <c:showSerName val="0"/>
          <c:showPercent val="0"/>
          <c:showBubbleSize val="0"/>
        </c:dLbls>
        <c:gapWidth val="70"/>
        <c:overlap val="100"/>
        <c:axId val="208167680"/>
        <c:axId val="208169216"/>
      </c:barChart>
      <c:catAx>
        <c:axId val="208167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200" b="0" i="0" u="none" strike="noStrike" baseline="0">
                <a:solidFill>
                  <a:srgbClr val="000000"/>
                </a:solidFill>
                <a:latin typeface="Vodafone Lt"/>
                <a:ea typeface="Vodafone Lt"/>
                <a:cs typeface="Vodafone Lt"/>
              </a:defRPr>
            </a:pPr>
            <a:endParaRPr lang="en-US"/>
          </a:p>
        </c:txPr>
        <c:crossAx val="208169216"/>
        <c:crosses val="autoZero"/>
        <c:auto val="1"/>
        <c:lblAlgn val="ctr"/>
        <c:lblOffset val="100"/>
        <c:tickLblSkip val="1"/>
        <c:tickMarkSkip val="1"/>
        <c:noMultiLvlLbl val="0"/>
      </c:catAx>
      <c:valAx>
        <c:axId val="208169216"/>
        <c:scaling>
          <c:orientation val="minMax"/>
          <c:max val="70"/>
          <c:min val="0"/>
        </c:scaling>
        <c:delete val="0"/>
        <c:axPos val="l"/>
        <c:majorGridlines>
          <c:spPr>
            <a:ln w="3175">
              <a:solidFill>
                <a:srgbClr val="000000"/>
              </a:solidFill>
              <a:prstDash val="solid"/>
            </a:ln>
          </c:spPr>
        </c:majorGridlines>
        <c:title>
          <c:tx>
            <c:rich>
              <a:bodyPr/>
              <a:lstStyle/>
              <a:p>
                <a:pPr>
                  <a:defRPr sz="2000" b="0" i="0" u="none" strike="noStrike" baseline="0">
                    <a:solidFill>
                      <a:srgbClr val="000000"/>
                    </a:solidFill>
                    <a:latin typeface="Vodafone Lt"/>
                    <a:ea typeface="Vodafone Lt"/>
                    <a:cs typeface="Vodafone Lt"/>
                  </a:defRPr>
                </a:pPr>
                <a:r>
                  <a:rPr lang="en-GB" sz="2000"/>
                  <a:t>Power (kW)</a:t>
                </a:r>
              </a:p>
            </c:rich>
          </c:tx>
          <c:layout>
            <c:manualLayout>
              <c:xMode val="edge"/>
              <c:yMode val="edge"/>
              <c:x val="1.1048424900165551E-2"/>
              <c:y val="0.3560721285385178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000" b="0" i="0" u="none" strike="noStrike" baseline="0">
                <a:solidFill>
                  <a:srgbClr val="000000"/>
                </a:solidFill>
                <a:latin typeface="Vodafone Lt"/>
                <a:ea typeface="Vodafone Lt"/>
                <a:cs typeface="Vodafone Lt"/>
              </a:defRPr>
            </a:pPr>
            <a:endParaRPr lang="en-US"/>
          </a:p>
        </c:txPr>
        <c:crossAx val="208167680"/>
        <c:crosses val="autoZero"/>
        <c:crossBetween val="between"/>
        <c:majorUnit val="10"/>
        <c:minorUnit val="2"/>
      </c:valAx>
      <c:spPr>
        <a:solidFill>
          <a:schemeClr val="accent4">
            <a:lumMod val="20000"/>
            <a:lumOff val="80000"/>
          </a:schemeClr>
        </a:solidFill>
      </c:spPr>
    </c:plotArea>
    <c:legend>
      <c:legendPos val="r"/>
      <c:layout>
        <c:manualLayout>
          <c:xMode val="edge"/>
          <c:yMode val="edge"/>
          <c:x val="0.84143222596430289"/>
          <c:y val="0.30450326265891825"/>
          <c:w val="0.14958271236959761"/>
          <c:h val="0.45013586148079099"/>
        </c:manualLayout>
      </c:layout>
      <c:overlay val="1"/>
      <c:spPr>
        <a:ln w="12700"/>
      </c:spPr>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solidFill>
      <a:srgbClr val="FFFFFF"/>
    </a:solidFill>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001794306827173E-2"/>
          <c:y val="0.12753020825667818"/>
          <c:w val="0.75080386871431959"/>
          <c:h val="0.62930743002919032"/>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Loading'!$B$63:$B$64,'Inverter Loading'!$B$68:$B$71,'Inverter Loading'!$B$74:$B$79)</c:f>
              <c:numCache>
                <c:formatCode>General</c:formatCode>
                <c:ptCount val="12"/>
                <c:pt idx="0">
                  <c:v>33</c:v>
                </c:pt>
                <c:pt idx="1">
                  <c:v>30</c:v>
                </c:pt>
                <c:pt idx="2">
                  <c:v>0</c:v>
                </c:pt>
                <c:pt idx="3">
                  <c:v>0</c:v>
                </c:pt>
                <c:pt idx="4">
                  <c:v>22</c:v>
                </c:pt>
                <c:pt idx="5">
                  <c:v>22</c:v>
                </c:pt>
                <c:pt idx="6">
                  <c:v>0</c:v>
                </c:pt>
                <c:pt idx="7">
                  <c:v>0</c:v>
                </c:pt>
                <c:pt idx="8">
                  <c:v>46</c:v>
                </c:pt>
                <c:pt idx="9">
                  <c:v>12</c:v>
                </c:pt>
                <c:pt idx="10">
                  <c:v>30</c:v>
                </c:pt>
                <c:pt idx="11">
                  <c:v>24</c:v>
                </c:pt>
              </c:numCache>
            </c:numRef>
          </c:val>
          <c:extLst>
            <c:ext xmlns:c16="http://schemas.microsoft.com/office/drawing/2014/chart" uri="{C3380CC4-5D6E-409C-BE32-E72D297353CC}">
              <c16:uniqueId val="{00000000-2E9F-4470-AED1-E04DDC28D064}"/>
            </c:ext>
          </c:extLst>
        </c:ser>
        <c:ser>
          <c:idx val="1"/>
          <c:order val="1"/>
          <c:tx>
            <c:strRef>
              <c:f>'Inverter Loading'!$C$61</c:f>
              <c:strCache>
                <c:ptCount val="1"/>
                <c:pt idx="0">
                  <c:v>Reserved (kW)</c:v>
                </c:pt>
              </c:strCache>
            </c:strRef>
          </c:tx>
          <c:spPr>
            <a:solidFill>
              <a:schemeClr val="accent6">
                <a:lumMod val="75000"/>
              </a:schemeClr>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Loading'!$C$63:$C$64,'Inverter Loading'!$C$68:$C$71,'Inverter Loading'!$C$74:$C$79)</c:f>
              <c:numCache>
                <c:formatCode>General</c:formatCode>
                <c:ptCount val="12"/>
                <c:pt idx="0">
                  <c:v>0</c:v>
                </c:pt>
                <c:pt idx="1">
                  <c:v>0</c:v>
                </c:pt>
                <c:pt idx="4">
                  <c:v>0</c:v>
                </c:pt>
                <c:pt idx="5">
                  <c:v>0</c:v>
                </c:pt>
                <c:pt idx="8">
                  <c:v>0</c:v>
                </c:pt>
                <c:pt idx="10">
                  <c:v>0</c:v>
                </c:pt>
                <c:pt idx="11">
                  <c:v>0</c:v>
                </c:pt>
              </c:numCache>
            </c:numRef>
          </c:val>
          <c:extLst>
            <c:ext xmlns:c16="http://schemas.microsoft.com/office/drawing/2014/chart" uri="{C3380CC4-5D6E-409C-BE32-E72D297353CC}">
              <c16:uniqueId val="{00000000-7FBD-4B95-91FE-E3CE00561954}"/>
            </c:ext>
          </c:extLst>
        </c:ser>
        <c:ser>
          <c:idx val="2"/>
          <c:order val="2"/>
          <c:tx>
            <c:strRef>
              <c:f>'Inverter Loading'!$D$61</c:f>
              <c:strCache>
                <c:ptCount val="1"/>
                <c:pt idx="0">
                  <c:v>Forecast (kW)</c:v>
                </c:pt>
              </c:strCache>
            </c:strRef>
          </c:tx>
          <c:spPr>
            <a:solidFill>
              <a:srgbClr val="800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Loading'!$D$63:$D$64,'Inverter Loading'!$D$68:$D$71,'Inverter Loading'!$D$74:$D$79)</c:f>
              <c:numCache>
                <c:formatCode>General</c:formatCode>
                <c:ptCount val="12"/>
                <c:pt idx="0">
                  <c:v>0</c:v>
                </c:pt>
                <c:pt idx="1">
                  <c:v>0</c:v>
                </c:pt>
                <c:pt idx="2">
                  <c:v>0</c:v>
                </c:pt>
                <c:pt idx="3">
                  <c:v>0</c:v>
                </c:pt>
                <c:pt idx="4">
                  <c:v>2.76</c:v>
                </c:pt>
                <c:pt idx="5">
                  <c:v>1.1499999999999999</c:v>
                </c:pt>
                <c:pt idx="6">
                  <c:v>0</c:v>
                </c:pt>
                <c:pt idx="7">
                  <c:v>0</c:v>
                </c:pt>
                <c:pt idx="8">
                  <c:v>4.5999999999999996</c:v>
                </c:pt>
                <c:pt idx="9">
                  <c:v>0</c:v>
                </c:pt>
                <c:pt idx="10">
                  <c:v>0</c:v>
                </c:pt>
                <c:pt idx="11">
                  <c:v>0</c:v>
                </c:pt>
              </c:numCache>
            </c:numRef>
          </c:val>
          <c:extLst>
            <c:ext xmlns:c16="http://schemas.microsoft.com/office/drawing/2014/chart" uri="{C3380CC4-5D6E-409C-BE32-E72D297353CC}">
              <c16:uniqueId val="{00000001-7FBD-4B95-91FE-E3CE00561954}"/>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Loading'!$E$63:$E$64,'Inverter Loading'!$E$68:$E$71,'Inverter Loading'!$E$74:$E$79)</c:f>
              <c:numCache>
                <c:formatCode>General</c:formatCode>
                <c:ptCount val="12"/>
                <c:pt idx="0">
                  <c:v>24.599999999999994</c:v>
                </c:pt>
                <c:pt idx="1">
                  <c:v>27.599999999999994</c:v>
                </c:pt>
                <c:pt idx="2">
                  <c:v>0</c:v>
                </c:pt>
                <c:pt idx="3">
                  <c:v>0</c:v>
                </c:pt>
                <c:pt idx="4">
                  <c:v>20.840000000000003</c:v>
                </c:pt>
                <c:pt idx="5">
                  <c:v>22.450000000000003</c:v>
                </c:pt>
                <c:pt idx="6">
                  <c:v>0</c:v>
                </c:pt>
                <c:pt idx="7">
                  <c:v>0</c:v>
                </c:pt>
                <c:pt idx="8">
                  <c:v>6.9999999999999929</c:v>
                </c:pt>
                <c:pt idx="9">
                  <c:v>18</c:v>
                </c:pt>
                <c:pt idx="10">
                  <c:v>10.799999999999997</c:v>
                </c:pt>
                <c:pt idx="11">
                  <c:v>31.199999999999996</c:v>
                </c:pt>
              </c:numCache>
            </c:numRef>
          </c:val>
          <c:extLst>
            <c:ext xmlns:c16="http://schemas.microsoft.com/office/drawing/2014/chart" uri="{C3380CC4-5D6E-409C-BE32-E72D297353CC}">
              <c16:uniqueId val="{00000002-7FBD-4B95-91FE-E3CE00561954}"/>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Loading'!$G$63:$G$64,'Inverter Loading'!$G$68:$G$71,'Inverter Loading'!$G$74:$G$79)</c:f>
              <c:numCache>
                <c:formatCode>General</c:formatCode>
                <c:ptCount val="12"/>
                <c:pt idx="0">
                  <c:v>0</c:v>
                </c:pt>
                <c:pt idx="1">
                  <c:v>0</c:v>
                </c:pt>
                <c:pt idx="2">
                  <c:v>0</c:v>
                </c:pt>
                <c:pt idx="3">
                  <c:v>0</c:v>
                </c:pt>
                <c:pt idx="4">
                  <c:v>21.6</c:v>
                </c:pt>
                <c:pt idx="5">
                  <c:v>21.6</c:v>
                </c:pt>
                <c:pt idx="6">
                  <c:v>0</c:v>
                </c:pt>
                <c:pt idx="7">
                  <c:v>0</c:v>
                </c:pt>
                <c:pt idx="8">
                  <c:v>0</c:v>
                </c:pt>
                <c:pt idx="9">
                  <c:v>18</c:v>
                </c:pt>
                <c:pt idx="10">
                  <c:v>26.400000000000006</c:v>
                </c:pt>
                <c:pt idx="11">
                  <c:v>12.000000000000007</c:v>
                </c:pt>
              </c:numCache>
            </c:numRef>
          </c:val>
          <c:extLst>
            <c:ext xmlns:c16="http://schemas.microsoft.com/office/drawing/2014/chart" uri="{C3380CC4-5D6E-409C-BE32-E72D297353CC}">
              <c16:uniqueId val="{00000003-7FBD-4B95-91FE-E3CE00561954}"/>
            </c:ext>
          </c:extLst>
        </c:ser>
        <c:dLbls>
          <c:showLegendKey val="0"/>
          <c:showVal val="0"/>
          <c:showCatName val="0"/>
          <c:showSerName val="0"/>
          <c:showPercent val="0"/>
          <c:showBubbleSize val="0"/>
        </c:dLbls>
        <c:gapWidth val="70"/>
        <c:overlap val="100"/>
        <c:axId val="208224256"/>
        <c:axId val="208225792"/>
      </c:barChart>
      <c:catAx>
        <c:axId val="208224256"/>
        <c:scaling>
          <c:orientation val="minMax"/>
        </c:scaling>
        <c:delete val="0"/>
        <c:axPos val="b"/>
        <c:numFmt formatCode="General" sourceLinked="0"/>
        <c:majorTickMark val="out"/>
        <c:minorTickMark val="none"/>
        <c:tickLblPos val="nextTo"/>
        <c:txPr>
          <a:bodyPr rot="-5400000" vert="horz"/>
          <a:lstStyle/>
          <a:p>
            <a:pPr>
              <a:defRPr sz="2200">
                <a:latin typeface="Vodafone Lt" panose="020B0606040202020204" pitchFamily="34" charset="0"/>
              </a:defRPr>
            </a:pPr>
            <a:endParaRPr lang="en-US"/>
          </a:p>
        </c:txPr>
        <c:crossAx val="208225792"/>
        <c:crosses val="autoZero"/>
        <c:auto val="1"/>
        <c:lblAlgn val="ctr"/>
        <c:lblOffset val="100"/>
        <c:noMultiLvlLbl val="0"/>
      </c:catAx>
      <c:valAx>
        <c:axId val="208225792"/>
        <c:scaling>
          <c:orientation val="minMax"/>
        </c:scaling>
        <c:delete val="0"/>
        <c:axPos val="l"/>
        <c:majorGridlines/>
        <c:numFmt formatCode="General" sourceLinked="1"/>
        <c:majorTickMark val="out"/>
        <c:minorTickMark val="none"/>
        <c:tickLblPos val="nextTo"/>
        <c:txPr>
          <a:bodyPr/>
          <a:lstStyle/>
          <a:p>
            <a:pPr>
              <a:defRPr sz="2000">
                <a:latin typeface="Vodafone Lt" panose="020B0606040202020204" pitchFamily="34" charset="0"/>
              </a:defRPr>
            </a:pPr>
            <a:endParaRPr lang="en-US"/>
          </a:p>
        </c:txPr>
        <c:crossAx val="208224256"/>
        <c:crosses val="autoZero"/>
        <c:crossBetween val="between"/>
      </c:valAx>
      <c:spPr>
        <a:solidFill>
          <a:srgbClr val="E6E0EC"/>
        </a:solidFill>
      </c:spPr>
    </c:plotArea>
    <c:legend>
      <c:legendPos val="r"/>
      <c:layout>
        <c:manualLayout>
          <c:xMode val="edge"/>
          <c:yMode val="edge"/>
          <c:x val="0.83617837984604204"/>
          <c:y val="0.22437521396781923"/>
          <c:w val="0.15181359779770617"/>
          <c:h val="0.57041724924571346"/>
        </c:manualLayout>
      </c:layout>
      <c:overlay val="0"/>
      <c:txPr>
        <a:bodyPr/>
        <a:lstStyle/>
        <a:p>
          <a:pPr>
            <a:defRPr sz="20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orientation="portrait"/>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533135251417278E-2"/>
          <c:y val="0.13792374637380853"/>
          <c:w val="0.80183762807238856"/>
          <c:h val="0.61390954125903674"/>
        </c:manualLayout>
      </c:layout>
      <c:barChart>
        <c:barDir val="col"/>
        <c:grouping val="stacked"/>
        <c:varyColors val="0"/>
        <c:ser>
          <c:idx val="0"/>
          <c:order val="0"/>
          <c:tx>
            <c:strRef>
              <c:f>'Power figures'!$B$185</c:f>
              <c:strCache>
                <c:ptCount val="1"/>
                <c:pt idx="0">
                  <c:v>Load (kW)</c:v>
                </c:pt>
              </c:strCache>
            </c:strRef>
          </c:tx>
          <c:spPr>
            <a:solidFill>
              <a:srgbClr val="008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figures'!$B$186:$B$211</c:f>
              <c:numCache>
                <c:formatCode>0.0</c:formatCode>
                <c:ptCount val="26"/>
                <c:pt idx="0">
                  <c:v>34.335000000000001</c:v>
                </c:pt>
                <c:pt idx="1">
                  <c:v>33.081499999999998</c:v>
                </c:pt>
                <c:pt idx="2">
                  <c:v>25.942</c:v>
                </c:pt>
                <c:pt idx="3">
                  <c:v>37.932000000000002</c:v>
                </c:pt>
                <c:pt idx="4">
                  <c:v>39.621499999999997</c:v>
                </c:pt>
                <c:pt idx="5">
                  <c:v>19.7835</c:v>
                </c:pt>
                <c:pt idx="6">
                  <c:v>26.268999999999998</c:v>
                </c:pt>
                <c:pt idx="7">
                  <c:v>33.680999999999997</c:v>
                </c:pt>
                <c:pt idx="8">
                  <c:v>26.214500000000001</c:v>
                </c:pt>
                <c:pt idx="9">
                  <c:v>17.494499999999999</c:v>
                </c:pt>
                <c:pt idx="10">
                  <c:v>36.188000000000002</c:v>
                </c:pt>
                <c:pt idx="11">
                  <c:v>44.1995</c:v>
                </c:pt>
                <c:pt idx="12">
                  <c:v>41.637999999999998</c:v>
                </c:pt>
                <c:pt idx="13">
                  <c:v>40.548000000000002</c:v>
                </c:pt>
                <c:pt idx="14">
                  <c:v>39.457999999999998</c:v>
                </c:pt>
                <c:pt idx="15">
                  <c:v>47.142499999999998</c:v>
                </c:pt>
                <c:pt idx="16">
                  <c:v>39.567</c:v>
                </c:pt>
                <c:pt idx="17">
                  <c:v>43.000500000000002</c:v>
                </c:pt>
                <c:pt idx="18">
                  <c:v>32.536499999999997</c:v>
                </c:pt>
                <c:pt idx="19">
                  <c:v>29.43</c:v>
                </c:pt>
                <c:pt idx="20">
                  <c:v>34.280500000000004</c:v>
                </c:pt>
                <c:pt idx="21">
                  <c:v>22.998999999999999</c:v>
                </c:pt>
                <c:pt idx="22">
                  <c:v>28.503499999999999</c:v>
                </c:pt>
                <c:pt idx="23">
                  <c:v>28.994</c:v>
                </c:pt>
                <c:pt idx="24">
                  <c:v>14.333500000000001</c:v>
                </c:pt>
                <c:pt idx="25">
                  <c:v>11.554</c:v>
                </c:pt>
              </c:numCache>
            </c:numRef>
          </c:val>
          <c:extLst>
            <c:ext xmlns:c16="http://schemas.microsoft.com/office/drawing/2014/chart" uri="{C3380CC4-5D6E-409C-BE32-E72D297353CC}">
              <c16:uniqueId val="{00000000-3732-4727-862E-C7FED4DA40D8}"/>
            </c:ext>
          </c:extLst>
        </c:ser>
        <c:ser>
          <c:idx val="1"/>
          <c:order val="1"/>
          <c:tx>
            <c:strRef>
              <c:f>'Power figures'!$C$185</c:f>
              <c:strCache>
                <c:ptCount val="1"/>
                <c:pt idx="0">
                  <c:v>Reserved (kW)</c:v>
                </c:pt>
              </c:strCache>
            </c:strRef>
          </c:tx>
          <c:spPr>
            <a:solidFill>
              <a:srgbClr val="F79646">
                <a:lumMod val="75000"/>
              </a:srgbClr>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figures'!$C$186:$C$211</c:f>
              <c:numCache>
                <c:formatCode>0.0</c:formatCode>
                <c:ptCount val="26"/>
                <c:pt idx="0">
                  <c:v>2.9430000000000001</c:v>
                </c:pt>
                <c:pt idx="1">
                  <c:v>2.9430000000000001</c:v>
                </c:pt>
                <c:pt idx="2">
                  <c:v>2.6160000000000001</c:v>
                </c:pt>
                <c:pt idx="3">
                  <c:v>2.7250000000000001</c:v>
                </c:pt>
                <c:pt idx="4">
                  <c:v>2.6705000000000001</c:v>
                </c:pt>
                <c:pt idx="5">
                  <c:v>0</c:v>
                </c:pt>
                <c:pt idx="6">
                  <c:v>0</c:v>
                </c:pt>
                <c:pt idx="7">
                  <c:v>0</c:v>
                </c:pt>
                <c:pt idx="8">
                  <c:v>0</c:v>
                </c:pt>
                <c:pt idx="9">
                  <c:v>0</c:v>
                </c:pt>
                <c:pt idx="10">
                  <c:v>7.5754999999999999</c:v>
                </c:pt>
                <c:pt idx="11">
                  <c:v>8.8290000000000006</c:v>
                </c:pt>
                <c:pt idx="12">
                  <c:v>12.698499999999999</c:v>
                </c:pt>
                <c:pt idx="13">
                  <c:v>13.025499999999999</c:v>
                </c:pt>
                <c:pt idx="14">
                  <c:v>11.499499999999999</c:v>
                </c:pt>
                <c:pt idx="15">
                  <c:v>8.7744999999999997</c:v>
                </c:pt>
                <c:pt idx="16">
                  <c:v>11.663</c:v>
                </c:pt>
                <c:pt idx="17">
                  <c:v>5.6135000000000002</c:v>
                </c:pt>
                <c:pt idx="18">
                  <c:v>10.791</c:v>
                </c:pt>
                <c:pt idx="19">
                  <c:v>8.6110000000000007</c:v>
                </c:pt>
                <c:pt idx="20">
                  <c:v>12.426</c:v>
                </c:pt>
                <c:pt idx="21">
                  <c:v>0</c:v>
                </c:pt>
                <c:pt idx="22">
                  <c:v>0</c:v>
                </c:pt>
                <c:pt idx="23">
                  <c:v>0</c:v>
                </c:pt>
                <c:pt idx="24">
                  <c:v>0</c:v>
                </c:pt>
                <c:pt idx="25">
                  <c:v>0</c:v>
                </c:pt>
              </c:numCache>
            </c:numRef>
          </c:val>
          <c:extLst>
            <c:ext xmlns:c16="http://schemas.microsoft.com/office/drawing/2014/chart" uri="{C3380CC4-5D6E-409C-BE32-E72D297353CC}">
              <c16:uniqueId val="{00000001-3732-4727-862E-C7FED4DA40D8}"/>
            </c:ext>
          </c:extLst>
        </c:ser>
        <c:ser>
          <c:idx val="2"/>
          <c:order val="2"/>
          <c:tx>
            <c:strRef>
              <c:f>'Power figures'!$D$185</c:f>
              <c:strCache>
                <c:ptCount val="1"/>
                <c:pt idx="0">
                  <c:v>Forecast (kW)</c:v>
                </c:pt>
              </c:strCache>
            </c:strRef>
          </c:tx>
          <c:spPr>
            <a:solidFill>
              <a:srgbClr val="800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figures'!$D$186:$D$211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3732-4727-862E-C7FED4DA40D8}"/>
            </c:ext>
          </c:extLst>
        </c:ser>
        <c:ser>
          <c:idx val="3"/>
          <c:order val="3"/>
          <c:tx>
            <c:strRef>
              <c:f>'Power figures'!$G$185</c:f>
              <c:strCache>
                <c:ptCount val="1"/>
                <c:pt idx="0">
                  <c:v>Remaining Capacity (kW)</c:v>
                </c:pt>
              </c:strCache>
            </c:strRef>
          </c:tx>
          <c:spPr>
            <a:solidFill>
              <a:srgbClr val="FFFFCC"/>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figures'!$G$186:$G$211</c:f>
              <c:numCache>
                <c:formatCode>0.0</c:formatCode>
                <c:ptCount val="26"/>
                <c:pt idx="0">
                  <c:v>28.664999999999999</c:v>
                </c:pt>
                <c:pt idx="1">
                  <c:v>29.918500000000002</c:v>
                </c:pt>
                <c:pt idx="2">
                  <c:v>37.058</c:v>
                </c:pt>
                <c:pt idx="3">
                  <c:v>25.067999999999998</c:v>
                </c:pt>
                <c:pt idx="4">
                  <c:v>23.378500000000003</c:v>
                </c:pt>
                <c:pt idx="5">
                  <c:v>43.216499999999996</c:v>
                </c:pt>
                <c:pt idx="6">
                  <c:v>36.731000000000002</c:v>
                </c:pt>
                <c:pt idx="7">
                  <c:v>29.319000000000003</c:v>
                </c:pt>
                <c:pt idx="8">
                  <c:v>36.785499999999999</c:v>
                </c:pt>
                <c:pt idx="9">
                  <c:v>45.505499999999998</c:v>
                </c:pt>
                <c:pt idx="10">
                  <c:v>26.811999999999998</c:v>
                </c:pt>
                <c:pt idx="11">
                  <c:v>18.8005</c:v>
                </c:pt>
                <c:pt idx="12">
                  <c:v>21.362000000000002</c:v>
                </c:pt>
                <c:pt idx="13">
                  <c:v>22.451999999999998</c:v>
                </c:pt>
                <c:pt idx="14">
                  <c:v>23.542000000000002</c:v>
                </c:pt>
                <c:pt idx="15">
                  <c:v>18.857500000000002</c:v>
                </c:pt>
                <c:pt idx="16">
                  <c:v>26.433</c:v>
                </c:pt>
                <c:pt idx="17">
                  <c:v>22.999499999999998</c:v>
                </c:pt>
                <c:pt idx="18">
                  <c:v>18.463500000000003</c:v>
                </c:pt>
                <c:pt idx="19">
                  <c:v>36.57</c:v>
                </c:pt>
                <c:pt idx="20">
                  <c:v>31.719499999999996</c:v>
                </c:pt>
                <c:pt idx="21">
                  <c:v>40.001000000000005</c:v>
                </c:pt>
                <c:pt idx="22">
                  <c:v>34.496499999999997</c:v>
                </c:pt>
                <c:pt idx="23">
                  <c:v>34.006</c:v>
                </c:pt>
                <c:pt idx="24">
                  <c:v>48.666499999999999</c:v>
                </c:pt>
                <c:pt idx="25">
                  <c:v>51.445999999999998</c:v>
                </c:pt>
              </c:numCache>
            </c:numRef>
          </c:val>
          <c:extLst>
            <c:ext xmlns:c16="http://schemas.microsoft.com/office/drawing/2014/chart" uri="{C3380CC4-5D6E-409C-BE32-E72D297353CC}">
              <c16:uniqueId val="{00000000-CAF1-484E-B229-C889BB7F9877}"/>
            </c:ext>
          </c:extLst>
        </c:ser>
        <c:dLbls>
          <c:showLegendKey val="0"/>
          <c:showVal val="0"/>
          <c:showCatName val="0"/>
          <c:showSerName val="0"/>
          <c:showPercent val="0"/>
          <c:showBubbleSize val="0"/>
        </c:dLbls>
        <c:gapWidth val="70"/>
        <c:overlap val="100"/>
        <c:axId val="208301440"/>
        <c:axId val="208303232"/>
      </c:barChart>
      <c:catAx>
        <c:axId val="208301440"/>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03232"/>
        <c:crosses val="autoZero"/>
        <c:auto val="1"/>
        <c:lblAlgn val="ctr"/>
        <c:lblOffset val="100"/>
        <c:noMultiLvlLbl val="0"/>
      </c:catAx>
      <c:valAx>
        <c:axId val="208303232"/>
        <c:scaling>
          <c:orientation val="minMax"/>
          <c:max val="7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01440"/>
        <c:crosses val="autoZero"/>
        <c:crossBetween val="between"/>
      </c:valAx>
      <c:spPr>
        <a:solidFill>
          <a:srgbClr val="8064A2">
            <a:lumMod val="20000"/>
            <a:lumOff val="80000"/>
          </a:srgbClr>
        </a:solidFill>
      </c:spPr>
    </c:plotArea>
    <c:legend>
      <c:legendPos val="r"/>
      <c:layout>
        <c:manualLayout>
          <c:xMode val="edge"/>
          <c:yMode val="edge"/>
          <c:x val="0.88286225785365091"/>
          <c:y val="0.21986562625612946"/>
          <c:w val="0.11713774214634912"/>
          <c:h val="0.4843443409320875"/>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016357717634797"/>
          <c:y val="0.11128777498813133"/>
          <c:w val="0.50013449455790271"/>
          <c:h val="0.69091972837466153"/>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Loading'!$B$62:$B$62,'Inverter Loading'!$B$65,'Inverter Loading'!$B$72,'Inverter Loading'!$B$80:$B$81)</c:f>
              <c:numCache>
                <c:formatCode>General</c:formatCode>
                <c:ptCount val="5"/>
                <c:pt idx="0">
                  <c:v>28</c:v>
                </c:pt>
                <c:pt idx="1">
                  <c:v>16</c:v>
                </c:pt>
                <c:pt idx="2">
                  <c:v>3.4499999999999997</c:v>
                </c:pt>
                <c:pt idx="3">
                  <c:v>46</c:v>
                </c:pt>
                <c:pt idx="4">
                  <c:v>8</c:v>
                </c:pt>
              </c:numCache>
            </c:numRef>
          </c:val>
          <c:extLst>
            <c:ext xmlns:c16="http://schemas.microsoft.com/office/drawing/2014/chart" uri="{C3380CC4-5D6E-409C-BE32-E72D297353CC}">
              <c16:uniqueId val="{00000000-24AC-432C-BCD0-F143BD78452B}"/>
            </c:ext>
          </c:extLst>
        </c:ser>
        <c:ser>
          <c:idx val="1"/>
          <c:order val="1"/>
          <c:tx>
            <c:strRef>
              <c:f>'Inverter Loading'!$C$61</c:f>
              <c:strCache>
                <c:ptCount val="1"/>
                <c:pt idx="0">
                  <c:v>Reserved (kW)</c:v>
                </c:pt>
              </c:strCache>
            </c:strRef>
          </c:tx>
          <c:spPr>
            <a:solidFill>
              <a:srgbClr val="F79646">
                <a:lumMod val="75000"/>
              </a:srgbClr>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Loading'!$C$62:$C$62,'Inverter Loading'!$C$65,'Inverter Loading'!$C$72,'Inverter Loading'!$C$80:$C$81)</c:f>
              <c:numCache>
                <c:formatCode>General</c:formatCode>
                <c:ptCount val="5"/>
                <c:pt idx="0">
                  <c:v>16</c:v>
                </c:pt>
                <c:pt idx="1">
                  <c:v>0</c:v>
                </c:pt>
                <c:pt idx="2">
                  <c:v>0</c:v>
                </c:pt>
                <c:pt idx="3">
                  <c:v>0</c:v>
                </c:pt>
                <c:pt idx="4">
                  <c:v>0</c:v>
                </c:pt>
              </c:numCache>
            </c:numRef>
          </c:val>
          <c:extLst>
            <c:ext xmlns:c16="http://schemas.microsoft.com/office/drawing/2014/chart" uri="{C3380CC4-5D6E-409C-BE32-E72D297353CC}">
              <c16:uniqueId val="{00000001-24AC-432C-BCD0-F143BD78452B}"/>
            </c:ext>
          </c:extLst>
        </c:ser>
        <c:ser>
          <c:idx val="2"/>
          <c:order val="2"/>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Loading'!$D$62:$D$62,'Inverter Loading'!$D$65,'Inverter Loading'!$D$72,'Inverter Loading'!$D$80:$D$81)</c:f>
              <c:numCache>
                <c:formatCode>General</c:formatCode>
                <c:ptCount val="5"/>
                <c:pt idx="0">
                  <c:v>0.57499999999999996</c:v>
                </c:pt>
                <c:pt idx="1">
                  <c:v>0</c:v>
                </c:pt>
                <c:pt idx="2">
                  <c:v>4.968</c:v>
                </c:pt>
                <c:pt idx="3">
                  <c:v>2.2080000000000002</c:v>
                </c:pt>
                <c:pt idx="4">
                  <c:v>0</c:v>
                </c:pt>
              </c:numCache>
            </c:numRef>
          </c:val>
          <c:extLst>
            <c:ext xmlns:c16="http://schemas.microsoft.com/office/drawing/2014/chart" uri="{C3380CC4-5D6E-409C-BE32-E72D297353CC}">
              <c16:uniqueId val="{00000002-24AC-432C-BCD0-F143BD78452B}"/>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Loading'!$E$62:$E$62,'Inverter Loading'!$E$65,'Inverter Loading'!$E$72,'Inverter Loading'!$E$80:$E$81)</c:f>
              <c:numCache>
                <c:formatCode>General</c:formatCode>
                <c:ptCount val="5"/>
                <c:pt idx="0">
                  <c:v>-3.7750000000000057</c:v>
                </c:pt>
                <c:pt idx="1">
                  <c:v>8</c:v>
                </c:pt>
                <c:pt idx="2">
                  <c:v>20.381999999999998</c:v>
                </c:pt>
                <c:pt idx="3">
                  <c:v>9.3919999999999959</c:v>
                </c:pt>
                <c:pt idx="4">
                  <c:v>16</c:v>
                </c:pt>
              </c:numCache>
            </c:numRef>
          </c:val>
          <c:extLst>
            <c:ext xmlns:c16="http://schemas.microsoft.com/office/drawing/2014/chart" uri="{C3380CC4-5D6E-409C-BE32-E72D297353CC}">
              <c16:uniqueId val="{00000003-24AC-432C-BCD0-F143BD78452B}"/>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Loading'!$G$62:$G$62,'Inverter Loading'!$G$65,'Inverter Loading'!$G$72,'Inverter Loading'!$G$80:$G$81)</c:f>
              <c:numCache>
                <c:formatCode>General</c:formatCode>
                <c:ptCount val="5"/>
                <c:pt idx="0">
                  <c:v>16.799999999999997</c:v>
                </c:pt>
                <c:pt idx="1">
                  <c:v>4.7999999999999972</c:v>
                </c:pt>
                <c:pt idx="2">
                  <c:v>0</c:v>
                </c:pt>
                <c:pt idx="3">
                  <c:v>0</c:v>
                </c:pt>
                <c:pt idx="4">
                  <c:v>4.7999999999999972</c:v>
                </c:pt>
              </c:numCache>
            </c:numRef>
          </c:val>
          <c:extLst>
            <c:ext xmlns:c16="http://schemas.microsoft.com/office/drawing/2014/chart" uri="{C3380CC4-5D6E-409C-BE32-E72D297353CC}">
              <c16:uniqueId val="{00000000-8991-4229-96DF-1E7BE6A472F2}"/>
            </c:ext>
          </c:extLst>
        </c:ser>
        <c:dLbls>
          <c:showLegendKey val="0"/>
          <c:showVal val="0"/>
          <c:showCatName val="0"/>
          <c:showSerName val="0"/>
          <c:showPercent val="0"/>
          <c:showBubbleSize val="0"/>
        </c:dLbls>
        <c:gapWidth val="149"/>
        <c:overlap val="100"/>
        <c:axId val="208362112"/>
        <c:axId val="208372096"/>
      </c:barChart>
      <c:catAx>
        <c:axId val="208362112"/>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72096"/>
        <c:crosses val="autoZero"/>
        <c:auto val="1"/>
        <c:lblAlgn val="ctr"/>
        <c:lblOffset val="100"/>
        <c:noMultiLvlLbl val="0"/>
      </c:catAx>
      <c:valAx>
        <c:axId val="208372096"/>
        <c:scaling>
          <c:orientation val="minMax"/>
          <c:max val="45"/>
        </c:scaling>
        <c:delete val="0"/>
        <c:axPos val="l"/>
        <c:majorGridlines/>
        <c:title>
          <c:tx>
            <c:rich>
              <a:bodyPr/>
              <a:lstStyle/>
              <a:p>
                <a:pPr>
                  <a:defRPr sz="2000" b="0" i="0" u="none" strike="noStrike" baseline="0">
                    <a:solidFill>
                      <a:srgbClr val="000000"/>
                    </a:solidFill>
                    <a:latin typeface="Vodafone Lt"/>
                    <a:ea typeface="Vodafone Lt"/>
                    <a:cs typeface="Vodafone Lt"/>
                  </a:defRPr>
                </a:pPr>
                <a:r>
                  <a:rPr lang="en-GB"/>
                  <a:t>Power (kW)</a:t>
                </a:r>
              </a:p>
            </c:rich>
          </c:tx>
          <c:layout>
            <c:manualLayout>
              <c:xMode val="edge"/>
              <c:yMode val="edge"/>
              <c:x val="1.1107659433106779E-2"/>
              <c:y val="0.32877111789597729"/>
            </c:manualLayout>
          </c:layout>
          <c:overlay val="0"/>
          <c:spPr>
            <a:noFill/>
            <a:ln w="25400">
              <a:noFill/>
            </a:ln>
          </c:spPr>
        </c:title>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62112"/>
        <c:crosses val="autoZero"/>
        <c:crossBetween val="between"/>
      </c:valAx>
      <c:spPr>
        <a:solidFill>
          <a:srgbClr val="8064A2">
            <a:lumMod val="20000"/>
            <a:lumOff val="80000"/>
          </a:srgbClr>
        </a:solidFill>
      </c:spPr>
    </c:plotArea>
    <c:legend>
      <c:legendPos val="r"/>
      <c:legendEntry>
        <c:idx val="4"/>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66449941191786599"/>
          <c:y val="0.22436316888960306"/>
          <c:w val="0.31507539634992837"/>
          <c:h val="0.4151995797717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25" r="0.25" t="0.75" header="0.3" footer="0.3"/>
    <c:pageSetup paperSize="8" orientation="landscape"/>
  </c:printSettings>
  <c:userShapes r:id="rId2"/>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82856332424931E-2"/>
          <c:y val="2.2939101678322332E-2"/>
          <c:w val="0.75037014696008419"/>
          <c:h val="0.90800676387789425"/>
        </c:manualLayout>
      </c:layout>
      <c:barChart>
        <c:barDir val="col"/>
        <c:grouping val="stacked"/>
        <c:varyColors val="0"/>
        <c:ser>
          <c:idx val="0"/>
          <c:order val="0"/>
          <c:tx>
            <c:strRef>
              <c:f>'Rolling Figs'!$J$21</c:f>
              <c:strCache>
                <c:ptCount val="1"/>
                <c:pt idx="0">
                  <c:v>Technology Load (kW) July 16</c:v>
                </c:pt>
              </c:strCache>
            </c:strRef>
          </c:tx>
          <c:spPr>
            <a:solidFill>
              <a:srgbClr val="0070C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Figs'!$J$22:$J$47</c:f>
              <c:numCache>
                <c:formatCode>0</c:formatCode>
                <c:ptCount val="26"/>
                <c:pt idx="0">
                  <c:v>0</c:v>
                </c:pt>
                <c:pt idx="3">
                  <c:v>0</c:v>
                </c:pt>
                <c:pt idx="6">
                  <c:v>0</c:v>
                </c:pt>
                <c:pt idx="9">
                  <c:v>0</c:v>
                </c:pt>
                <c:pt idx="12">
                  <c:v>0</c:v>
                </c:pt>
                <c:pt idx="15">
                  <c:v>0</c:v>
                </c:pt>
                <c:pt idx="18">
                  <c:v>0</c:v>
                </c:pt>
                <c:pt idx="21">
                  <c:v>0</c:v>
                </c:pt>
                <c:pt idx="24">
                  <c:v>0</c:v>
                </c:pt>
              </c:numCache>
            </c:numRef>
          </c:val>
          <c:extLst>
            <c:ext xmlns:c16="http://schemas.microsoft.com/office/drawing/2014/chart" uri="{C3380CC4-5D6E-409C-BE32-E72D297353CC}">
              <c16:uniqueId val="{00000000-6ABF-4D0E-9404-18E2A3AFC522}"/>
            </c:ext>
          </c:extLst>
        </c:ser>
        <c:ser>
          <c:idx val="1"/>
          <c:order val="1"/>
          <c:tx>
            <c:strRef>
              <c:f>'Rolling Figs'!$K$21</c:f>
              <c:strCache>
                <c:ptCount val="1"/>
                <c:pt idx="0">
                  <c:v>Technology Load (kW) July 17</c:v>
                </c:pt>
              </c:strCache>
            </c:strRef>
          </c:tx>
          <c:spPr>
            <a:solidFill>
              <a:srgbClr val="CC000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Figs'!$K$22:$K$47</c:f>
              <c:numCache>
                <c:formatCode>0</c:formatCode>
                <c:ptCount val="26"/>
                <c:pt idx="1">
                  <c:v>386.95</c:v>
                </c:pt>
                <c:pt idx="4">
                  <c:v>0</c:v>
                </c:pt>
                <c:pt idx="7">
                  <c:v>0</c:v>
                </c:pt>
                <c:pt idx="10">
                  <c:v>389.18450000000001</c:v>
                </c:pt>
                <c:pt idx="13">
                  <c:v>170.91200000000001</c:v>
                </c:pt>
                <c:pt idx="16">
                  <c:v>123.4425</c:v>
                </c:pt>
                <c:pt idx="19">
                  <c:v>274.84350000000001</c:v>
                </c:pt>
                <c:pt idx="22">
                  <c:v>278.22250000000003</c:v>
                </c:pt>
                <c:pt idx="25">
                  <c:v>106.384</c:v>
                </c:pt>
              </c:numCache>
            </c:numRef>
          </c:val>
          <c:extLst>
            <c:ext xmlns:c16="http://schemas.microsoft.com/office/drawing/2014/chart" uri="{C3380CC4-5D6E-409C-BE32-E72D297353CC}">
              <c16:uniqueId val="{00000001-6ABF-4D0E-9404-18E2A3AFC522}"/>
            </c:ext>
          </c:extLst>
        </c:ser>
        <c:ser>
          <c:idx val="2"/>
          <c:order val="2"/>
          <c:tx>
            <c:strRef>
              <c:f>'Rolling Figs'!$L$21</c:f>
              <c:strCache>
                <c:ptCount val="1"/>
                <c:pt idx="0">
                  <c:v>Reserved Load (kW)</c:v>
                </c:pt>
              </c:strCache>
            </c:strRef>
          </c:tx>
          <c:spPr>
            <a:solidFill>
              <a:srgbClr val="F79646">
                <a:lumMod val="75000"/>
              </a:srgbClr>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Figs'!$L$22:$L$47</c:f>
              <c:numCache>
                <c:formatCode>0</c:formatCode>
                <c:ptCount val="26"/>
                <c:pt idx="1">
                  <c:v>39.021999999999998</c:v>
                </c:pt>
                <c:pt idx="4">
                  <c:v>67.307500000000005</c:v>
                </c:pt>
                <c:pt idx="7">
                  <c:v>55.917000000000002</c:v>
                </c:pt>
                <c:pt idx="10">
                  <c:v>40.439</c:v>
                </c:pt>
                <c:pt idx="13">
                  <c:v>13.897500000000001</c:v>
                </c:pt>
                <c:pt idx="16">
                  <c:v>0</c:v>
                </c:pt>
                <c:pt idx="19">
                  <c:v>103.877</c:v>
                </c:pt>
                <c:pt idx="22">
                  <c:v>105.5665</c:v>
                </c:pt>
                <c:pt idx="25">
                  <c:v>0</c:v>
                </c:pt>
              </c:numCache>
            </c:numRef>
          </c:val>
          <c:extLst>
            <c:ext xmlns:c16="http://schemas.microsoft.com/office/drawing/2014/chart" uri="{C3380CC4-5D6E-409C-BE32-E72D297353CC}">
              <c16:uniqueId val="{00000002-6ABF-4D0E-9404-18E2A3AFC522}"/>
            </c:ext>
          </c:extLst>
        </c:ser>
        <c:ser>
          <c:idx val="3"/>
          <c:order val="3"/>
          <c:tx>
            <c:strRef>
              <c:f>'Rolling Figs'!$M$21</c:f>
              <c:strCache>
                <c:ptCount val="1"/>
                <c:pt idx="0">
                  <c:v>Forecast Load (kW)</c:v>
                </c:pt>
              </c:strCache>
            </c:strRef>
          </c:tx>
          <c:spPr>
            <a:solidFill>
              <a:srgbClr val="990033"/>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Figs'!$M$22:$M$47</c:f>
              <c:numCache>
                <c:formatCode>0</c:formatCode>
                <c:ptCount val="26"/>
                <c:pt idx="1">
                  <c:v>38.040999999999997</c:v>
                </c:pt>
                <c:pt idx="4">
                  <c:v>20.388449999999999</c:v>
                </c:pt>
                <c:pt idx="7">
                  <c:v>6.1040000000000001</c:v>
                </c:pt>
                <c:pt idx="10">
                  <c:v>23.326000000000001</c:v>
                </c:pt>
                <c:pt idx="13">
                  <c:v>1.0900000000000001</c:v>
                </c:pt>
                <c:pt idx="16">
                  <c:v>5.7770000000000001</c:v>
                </c:pt>
                <c:pt idx="19">
                  <c:v>16.393600000000003</c:v>
                </c:pt>
                <c:pt idx="22">
                  <c:v>7.194</c:v>
                </c:pt>
                <c:pt idx="25">
                  <c:v>12.06085</c:v>
                </c:pt>
              </c:numCache>
            </c:numRef>
          </c:val>
          <c:extLst>
            <c:ext xmlns:c16="http://schemas.microsoft.com/office/drawing/2014/chart" uri="{C3380CC4-5D6E-409C-BE32-E72D297353CC}">
              <c16:uniqueId val="{00000000-BC17-40EB-9726-AE9D6D578D89}"/>
            </c:ext>
          </c:extLst>
        </c:ser>
        <c:dLbls>
          <c:showLegendKey val="0"/>
          <c:showVal val="0"/>
          <c:showCatName val="0"/>
          <c:showSerName val="0"/>
          <c:showPercent val="0"/>
          <c:showBubbleSize val="0"/>
        </c:dLbls>
        <c:gapWidth val="0"/>
        <c:overlap val="100"/>
        <c:axId val="207580544"/>
        <c:axId val="207598720"/>
      </c:barChart>
      <c:catAx>
        <c:axId val="207580544"/>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98720"/>
        <c:crosses val="autoZero"/>
        <c:auto val="1"/>
        <c:lblAlgn val="ctr"/>
        <c:lblOffset val="100"/>
        <c:noMultiLvlLbl val="0"/>
      </c:catAx>
      <c:valAx>
        <c:axId val="207598720"/>
        <c:scaling>
          <c:orientation val="minMax"/>
          <c:min val="0"/>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80544"/>
        <c:crosses val="autoZero"/>
        <c:crossBetween val="between"/>
      </c:valAx>
      <c:spPr>
        <a:solidFill>
          <a:srgbClr val="E6E0EC"/>
        </a:solidFill>
      </c:spPr>
    </c:plotArea>
    <c:legend>
      <c:legendPos val="r"/>
      <c:layout>
        <c:manualLayout>
          <c:xMode val="edge"/>
          <c:yMode val="edge"/>
          <c:x val="0.83299094111184113"/>
          <c:y val="0.13897445746111003"/>
          <c:w val="0.16062510995975024"/>
          <c:h val="0.54213699194798748"/>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2712375304092469E-2"/>
          <c:y val="5.0344769403824513E-2"/>
          <c:w val="0.80612296132087691"/>
          <c:h val="0.86176609279772232"/>
        </c:manualLayout>
      </c:layout>
      <c:barChart>
        <c:barDir val="col"/>
        <c:grouping val="stacked"/>
        <c:varyColors val="0"/>
        <c:ser>
          <c:idx val="0"/>
          <c:order val="0"/>
          <c:tx>
            <c:strRef>
              <c:f>'Cab Floorspace'!$J$21</c:f>
              <c:strCache>
                <c:ptCount val="1"/>
                <c:pt idx="0">
                  <c:v>Used (m²) </c:v>
                </c:pt>
              </c:strCache>
            </c:strRef>
          </c:tx>
          <c:spPr>
            <a:solidFill>
              <a:srgbClr val="008000"/>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Floorspace'!$J$22:$J$40</c:f>
              <c:numCache>
                <c:formatCode>0</c:formatCode>
                <c:ptCount val="19"/>
                <c:pt idx="0">
                  <c:v>1713.28</c:v>
                </c:pt>
                <c:pt idx="1">
                  <c:v>1120.32</c:v>
                </c:pt>
                <c:pt idx="2">
                  <c:v>1336.3200000000002</c:v>
                </c:pt>
                <c:pt idx="3">
                  <c:v>1058.24</c:v>
                </c:pt>
                <c:pt idx="4">
                  <c:v>1266.8800000000001</c:v>
                </c:pt>
                <c:pt idx="5">
                  <c:v>1228.8</c:v>
                </c:pt>
                <c:pt idx="6">
                  <c:v>1532.48</c:v>
                </c:pt>
                <c:pt idx="10" formatCode="General">
                  <c:v>0</c:v>
                </c:pt>
                <c:pt idx="11">
                  <c:v>1030.72</c:v>
                </c:pt>
                <c:pt idx="12">
                  <c:v>1217.5999999999999</c:v>
                </c:pt>
                <c:pt idx="13">
                  <c:v>935.04</c:v>
                </c:pt>
                <c:pt idx="14">
                  <c:v>2165.44</c:v>
                </c:pt>
                <c:pt idx="15">
                  <c:v>766.4</c:v>
                </c:pt>
                <c:pt idx="16">
                  <c:v>758.72</c:v>
                </c:pt>
                <c:pt idx="17">
                  <c:v>640.31999999999994</c:v>
                </c:pt>
                <c:pt idx="18">
                  <c:v>1320</c:v>
                </c:pt>
              </c:numCache>
            </c:numRef>
          </c:val>
          <c:extLst>
            <c:ext xmlns:c16="http://schemas.microsoft.com/office/drawing/2014/chart" uri="{C3380CC4-5D6E-409C-BE32-E72D297353CC}">
              <c16:uniqueId val="{00000000-78C2-4C2A-86AA-6BA3EFC7185C}"/>
            </c:ext>
          </c:extLst>
        </c:ser>
        <c:ser>
          <c:idx val="1"/>
          <c:order val="1"/>
          <c:tx>
            <c:strRef>
              <c:f>'Cab Floorspace'!$K$21</c:f>
              <c:strCache>
                <c:ptCount val="1"/>
                <c:pt idx="0">
                  <c:v>Reserved (m²)</c:v>
                </c:pt>
              </c:strCache>
            </c:strRef>
          </c:tx>
          <c:spPr>
            <a:solidFill>
              <a:srgbClr val="F79646">
                <a:lumMod val="75000"/>
              </a:srgbClr>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Floorspace'!$K$22:$K$40</c:f>
              <c:numCache>
                <c:formatCode>0</c:formatCode>
                <c:ptCount val="19"/>
                <c:pt idx="0">
                  <c:v>1.6</c:v>
                </c:pt>
                <c:pt idx="1">
                  <c:v>1.92</c:v>
                </c:pt>
                <c:pt idx="2">
                  <c:v>20.16</c:v>
                </c:pt>
                <c:pt idx="3">
                  <c:v>7.3599999999999994</c:v>
                </c:pt>
                <c:pt idx="4">
                  <c:v>13.12</c:v>
                </c:pt>
                <c:pt idx="5">
                  <c:v>0</c:v>
                </c:pt>
                <c:pt idx="6">
                  <c:v>10.559999999999999</c:v>
                </c:pt>
                <c:pt idx="10" formatCode="General">
                  <c:v>0</c:v>
                </c:pt>
                <c:pt idx="11">
                  <c:v>0</c:v>
                </c:pt>
                <c:pt idx="12">
                  <c:v>0</c:v>
                </c:pt>
                <c:pt idx="13">
                  <c:v>0</c:v>
                </c:pt>
                <c:pt idx="14">
                  <c:v>5.76</c:v>
                </c:pt>
                <c:pt idx="15">
                  <c:v>0</c:v>
                </c:pt>
                <c:pt idx="16">
                  <c:v>0</c:v>
                </c:pt>
                <c:pt idx="17">
                  <c:v>0</c:v>
                </c:pt>
                <c:pt idx="18">
                  <c:v>0</c:v>
                </c:pt>
              </c:numCache>
            </c:numRef>
          </c:val>
          <c:extLst>
            <c:ext xmlns:c16="http://schemas.microsoft.com/office/drawing/2014/chart" uri="{C3380CC4-5D6E-409C-BE32-E72D297353CC}">
              <c16:uniqueId val="{00000001-78C2-4C2A-86AA-6BA3EFC7185C}"/>
            </c:ext>
          </c:extLst>
        </c:ser>
        <c:ser>
          <c:idx val="2"/>
          <c:order val="2"/>
          <c:tx>
            <c:strRef>
              <c:f>'Cab Floorspace'!$L$21</c:f>
              <c:strCache>
                <c:ptCount val="1"/>
                <c:pt idx="0">
                  <c:v>Forecast (m²) </c:v>
                </c:pt>
              </c:strCache>
            </c:strRef>
          </c:tx>
          <c:spPr>
            <a:solidFill>
              <a:srgbClr val="990033"/>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Floorspace'!$L$22:$L$40</c:f>
              <c:numCache>
                <c:formatCode>0</c:formatCode>
                <c:ptCount val="19"/>
                <c:pt idx="0">
                  <c:v>12.8</c:v>
                </c:pt>
                <c:pt idx="1">
                  <c:v>15.360000000000001</c:v>
                </c:pt>
                <c:pt idx="2">
                  <c:v>0</c:v>
                </c:pt>
                <c:pt idx="3">
                  <c:v>3.84</c:v>
                </c:pt>
                <c:pt idx="4">
                  <c:v>0</c:v>
                </c:pt>
                <c:pt idx="5">
                  <c:v>12.8</c:v>
                </c:pt>
                <c:pt idx="6">
                  <c:v>0</c:v>
                </c:pt>
                <c:pt idx="10" formatCode="General">
                  <c:v>0</c:v>
                </c:pt>
                <c:pt idx="11">
                  <c:v>1.92</c:v>
                </c:pt>
                <c:pt idx="12">
                  <c:v>0</c:v>
                </c:pt>
                <c:pt idx="13">
                  <c:v>0</c:v>
                </c:pt>
                <c:pt idx="14">
                  <c:v>0</c:v>
                </c:pt>
                <c:pt idx="15">
                  <c:v>0</c:v>
                </c:pt>
                <c:pt idx="16">
                  <c:v>0</c:v>
                </c:pt>
                <c:pt idx="17">
                  <c:v>0</c:v>
                </c:pt>
                <c:pt idx="18">
                  <c:v>5.12</c:v>
                </c:pt>
              </c:numCache>
            </c:numRef>
          </c:val>
          <c:extLst>
            <c:ext xmlns:c16="http://schemas.microsoft.com/office/drawing/2014/chart" uri="{C3380CC4-5D6E-409C-BE32-E72D297353CC}">
              <c16:uniqueId val="{00000002-78C2-4C2A-86AA-6BA3EFC7185C}"/>
            </c:ext>
          </c:extLst>
        </c:ser>
        <c:ser>
          <c:idx val="3"/>
          <c:order val="3"/>
          <c:tx>
            <c:strRef>
              <c:f>'Cab Floorspace'!$O$21</c:f>
              <c:strCache>
                <c:ptCount val="1"/>
                <c:pt idx="0">
                  <c:v>Remaining (m²) </c:v>
                </c:pt>
              </c:strCache>
            </c:strRef>
          </c:tx>
          <c:spPr>
            <a:solidFill>
              <a:srgbClr val="FFFFCC"/>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Floorspace'!$O$22:$O$40</c:f>
              <c:numCache>
                <c:formatCode>0</c:formatCode>
                <c:ptCount val="19"/>
                <c:pt idx="0">
                  <c:v>759.36000000000013</c:v>
                </c:pt>
                <c:pt idx="1">
                  <c:v>483.20000000000005</c:v>
                </c:pt>
                <c:pt idx="2">
                  <c:v>375.3599999999999</c:v>
                </c:pt>
                <c:pt idx="3">
                  <c:v>273.2800000000002</c:v>
                </c:pt>
                <c:pt idx="4">
                  <c:v>361.59999999999991</c:v>
                </c:pt>
                <c:pt idx="5">
                  <c:v>584.6400000000001</c:v>
                </c:pt>
                <c:pt idx="6">
                  <c:v>672.96</c:v>
                </c:pt>
                <c:pt idx="10" formatCode="General">
                  <c:v>0</c:v>
                </c:pt>
                <c:pt idx="11">
                  <c:v>394.24</c:v>
                </c:pt>
                <c:pt idx="12">
                  <c:v>790.07999999999993</c:v>
                </c:pt>
                <c:pt idx="13">
                  <c:v>352.32000000000016</c:v>
                </c:pt>
                <c:pt idx="14">
                  <c:v>920.31999999999971</c:v>
                </c:pt>
                <c:pt idx="15">
                  <c:v>311.04000000000008</c:v>
                </c:pt>
                <c:pt idx="16">
                  <c:v>274.24</c:v>
                </c:pt>
                <c:pt idx="17">
                  <c:v>340.80000000000007</c:v>
                </c:pt>
                <c:pt idx="18">
                  <c:v>661.76</c:v>
                </c:pt>
              </c:numCache>
            </c:numRef>
          </c:val>
          <c:extLst>
            <c:ext xmlns:c16="http://schemas.microsoft.com/office/drawing/2014/chart" uri="{C3380CC4-5D6E-409C-BE32-E72D297353CC}">
              <c16:uniqueId val="{00000000-B1C5-4CD8-A0C6-6F334F3886B7}"/>
            </c:ext>
          </c:extLst>
        </c:ser>
        <c:dLbls>
          <c:showLegendKey val="0"/>
          <c:showVal val="0"/>
          <c:showCatName val="0"/>
          <c:showSerName val="0"/>
          <c:showPercent val="0"/>
          <c:showBubbleSize val="0"/>
        </c:dLbls>
        <c:gapWidth val="40"/>
        <c:overlap val="100"/>
        <c:axId val="207723520"/>
        <c:axId val="207733504"/>
      </c:barChart>
      <c:catAx>
        <c:axId val="207723520"/>
        <c:scaling>
          <c:orientation val="minMax"/>
        </c:scaling>
        <c:delete val="0"/>
        <c:axPos val="b"/>
        <c:numFmt formatCode="General" sourceLinked="1"/>
        <c:majorTickMark val="out"/>
        <c:minorTickMark val="none"/>
        <c:tickLblPos val="nextTo"/>
        <c:txPr>
          <a:bodyPr rot="0" vert="horz" anchor="t" anchorCtr="0"/>
          <a:lstStyle/>
          <a:p>
            <a:pPr>
              <a:defRPr sz="2400" b="0" i="0" u="none" strike="noStrike" baseline="0">
                <a:solidFill>
                  <a:srgbClr val="000000"/>
                </a:solidFill>
                <a:latin typeface="Vodafone Lt"/>
                <a:ea typeface="Vodafone Lt"/>
                <a:cs typeface="Vodafone Lt"/>
              </a:defRPr>
            </a:pPr>
            <a:endParaRPr lang="en-US"/>
          </a:p>
        </c:txPr>
        <c:crossAx val="207733504"/>
        <c:crosses val="autoZero"/>
        <c:auto val="1"/>
        <c:lblAlgn val="ctr"/>
        <c:lblOffset val="100"/>
        <c:noMultiLvlLbl val="0"/>
      </c:catAx>
      <c:valAx>
        <c:axId val="207733504"/>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7723520"/>
        <c:crosses val="autoZero"/>
        <c:crossBetween val="between"/>
      </c:valAx>
      <c:spPr>
        <a:solidFill>
          <a:srgbClr val="E6E0EC"/>
        </a:solidFill>
      </c:spPr>
    </c:plotArea>
    <c:legend>
      <c:legendPos val="r"/>
      <c:layout>
        <c:manualLayout>
          <c:xMode val="edge"/>
          <c:yMode val="edge"/>
          <c:x val="0.88336589329451853"/>
          <c:y val="0.27562353799430661"/>
          <c:w val="0.10902746844840387"/>
          <c:h val="0.30756079961303928"/>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07888040712468"/>
          <c:y val="4.1888888888888892E-2"/>
          <c:w val="0.70751367434032575"/>
          <c:h val="0.85005555555555556"/>
        </c:manualLayout>
      </c:layout>
      <c:barChart>
        <c:barDir val="col"/>
        <c:grouping val="stacked"/>
        <c:varyColors val="0"/>
        <c:ser>
          <c:idx val="7"/>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Calc'!$O$22:$O$27</c:f>
              <c:numCache>
                <c:formatCode>0</c:formatCode>
                <c:ptCount val="6"/>
                <c:pt idx="0">
                  <c:v>76.800000000000011</c:v>
                </c:pt>
                <c:pt idx="1">
                  <c:v>92.800000000000011</c:v>
                </c:pt>
                <c:pt idx="2">
                  <c:v>81.600000000000009</c:v>
                </c:pt>
                <c:pt idx="3">
                  <c:v>89.600000000000009</c:v>
                </c:pt>
                <c:pt idx="4">
                  <c:v>32</c:v>
                </c:pt>
                <c:pt idx="5">
                  <c:v>12.8</c:v>
                </c:pt>
              </c:numCache>
            </c:numRef>
          </c:val>
          <c:extLst>
            <c:ext xmlns:c16="http://schemas.microsoft.com/office/drawing/2014/chart" uri="{C3380CC4-5D6E-409C-BE32-E72D297353CC}">
              <c16:uniqueId val="{00000000-2EAB-4AFA-A923-FD0CA685E96E}"/>
            </c:ext>
          </c:extLst>
        </c:ser>
        <c:ser>
          <c:idx val="5"/>
          <c:order val="1"/>
          <c:tx>
            <c:strRef>
              <c:f>'Floorspace Calc'!$M$21</c:f>
              <c:strCache>
                <c:ptCount val="1"/>
                <c:pt idx="0">
                  <c:v>Reserved (m²) </c:v>
                </c:pt>
              </c:strCache>
            </c:strRef>
          </c:tx>
          <c:spPr>
            <a:solidFill>
              <a:schemeClr val="accent6">
                <a:lumMod val="75000"/>
              </a:schemeClr>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Calc'!$M$22:$M$27</c:f>
              <c:numCache>
                <c:formatCode>0</c:formatCode>
                <c:ptCount val="6"/>
                <c:pt idx="0">
                  <c:v>1.6</c:v>
                </c:pt>
                <c:pt idx="1">
                  <c:v>0</c:v>
                </c:pt>
                <c:pt idx="2">
                  <c:v>0</c:v>
                </c:pt>
                <c:pt idx="3">
                  <c:v>0</c:v>
                </c:pt>
                <c:pt idx="4">
                  <c:v>0</c:v>
                </c:pt>
                <c:pt idx="5">
                  <c:v>0</c:v>
                </c:pt>
              </c:numCache>
            </c:numRef>
          </c:val>
          <c:extLst>
            <c:ext xmlns:c16="http://schemas.microsoft.com/office/drawing/2014/chart" uri="{C3380CC4-5D6E-409C-BE32-E72D297353CC}">
              <c16:uniqueId val="{00000001-2EAB-4AFA-A923-FD0CA685E96E}"/>
            </c:ext>
          </c:extLst>
        </c:ser>
        <c:ser>
          <c:idx val="6"/>
          <c:order val="2"/>
          <c:tx>
            <c:strRef>
              <c:f>'Floorspace Calc'!$N$21</c:f>
              <c:strCache>
                <c:ptCount val="1"/>
                <c:pt idx="0">
                  <c:v>Forecast (m²) </c:v>
                </c:pt>
              </c:strCache>
            </c:strRef>
          </c:tx>
          <c:spPr>
            <a:solidFill>
              <a:srgbClr val="990033"/>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Calc'!$N$22:$N$27</c:f>
              <c:numCache>
                <c:formatCode>0</c:formatCode>
                <c:ptCount val="6"/>
                <c:pt idx="0">
                  <c:v>3.2</c:v>
                </c:pt>
                <c:pt idx="1">
                  <c:v>1.6</c:v>
                </c:pt>
                <c:pt idx="2">
                  <c:v>0</c:v>
                </c:pt>
                <c:pt idx="3">
                  <c:v>4.8000000000000007</c:v>
                </c:pt>
                <c:pt idx="4">
                  <c:v>9.6000000000000014</c:v>
                </c:pt>
                <c:pt idx="5">
                  <c:v>6.4</c:v>
                </c:pt>
              </c:numCache>
            </c:numRef>
          </c:val>
          <c:extLst>
            <c:ext xmlns:c16="http://schemas.microsoft.com/office/drawing/2014/chart" uri="{C3380CC4-5D6E-409C-BE32-E72D297353CC}">
              <c16:uniqueId val="{00000002-2EAB-4AFA-A923-FD0CA685E96E}"/>
            </c:ext>
          </c:extLst>
        </c:ser>
        <c:ser>
          <c:idx val="8"/>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Calc'!$P$22:$P$27</c:f>
              <c:numCache>
                <c:formatCode>0</c:formatCode>
                <c:ptCount val="6"/>
                <c:pt idx="0">
                  <c:v>14.399999999999991</c:v>
                </c:pt>
                <c:pt idx="1">
                  <c:v>0</c:v>
                </c:pt>
                <c:pt idx="2">
                  <c:v>0</c:v>
                </c:pt>
                <c:pt idx="3">
                  <c:v>4.7999999999999972</c:v>
                </c:pt>
                <c:pt idx="4">
                  <c:v>20.800000000000004</c:v>
                </c:pt>
                <c:pt idx="5">
                  <c:v>8.0000000000000036</c:v>
                </c:pt>
              </c:numCache>
            </c:numRef>
          </c:val>
          <c:extLst>
            <c:ext xmlns:c16="http://schemas.microsoft.com/office/drawing/2014/chart" uri="{C3380CC4-5D6E-409C-BE32-E72D297353CC}">
              <c16:uniqueId val="{00000003-2EAB-4AFA-A923-FD0CA685E96E}"/>
            </c:ext>
          </c:extLst>
        </c:ser>
        <c:dLbls>
          <c:showLegendKey val="0"/>
          <c:showVal val="0"/>
          <c:showCatName val="0"/>
          <c:showSerName val="0"/>
          <c:showPercent val="0"/>
          <c:showBubbleSize val="0"/>
        </c:dLbls>
        <c:gapWidth val="70"/>
        <c:overlap val="100"/>
        <c:axId val="160391936"/>
        <c:axId val="160393472"/>
      </c:barChart>
      <c:catAx>
        <c:axId val="160391936"/>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160393472"/>
        <c:crosses val="autoZero"/>
        <c:auto val="1"/>
        <c:lblAlgn val="ctr"/>
        <c:lblOffset val="100"/>
        <c:noMultiLvlLbl val="0"/>
      </c:catAx>
      <c:valAx>
        <c:axId val="160393472"/>
        <c:scaling>
          <c:orientation val="minMax"/>
          <c:max val="35"/>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160391936"/>
        <c:crosses val="autoZero"/>
        <c:crossBetween val="between"/>
      </c:valAx>
      <c:spPr>
        <a:solidFill>
          <a:srgbClr val="E6E0EC"/>
        </a:solidFill>
      </c:spPr>
    </c:plotArea>
    <c:legend>
      <c:legendPos val="r"/>
      <c:layout>
        <c:manualLayout>
          <c:xMode val="edge"/>
          <c:yMode val="edge"/>
          <c:x val="0.80585212486737035"/>
          <c:y val="0.26113492142596101"/>
          <c:w val="0.18563723683475733"/>
          <c:h val="0.38490315292866872"/>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9.2404804539619467E-2"/>
          <c:y val="2.854579452078294E-2"/>
          <c:w val="0.63078526549943648"/>
          <c:h val="0.918421059036863"/>
        </c:manualLayout>
      </c:layout>
      <c:barChart>
        <c:barDir val="col"/>
        <c:grouping val="stacked"/>
        <c:varyColors val="0"/>
        <c:ser>
          <c:idx val="0"/>
          <c:order val="0"/>
          <c:tx>
            <c:strRef>
              <c:f>'Power figures'!$B$40</c:f>
              <c:strCache>
                <c:ptCount val="1"/>
              </c:strCache>
            </c:strRef>
          </c:tx>
          <c:spPr>
            <a:solidFill>
              <a:srgbClr val="FF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figures'!$B$23:$B$41</c:f>
              <c:numCache>
                <c:formatCode>0</c:formatCode>
                <c:ptCount val="19"/>
                <c:pt idx="0">
                  <c:v>33</c:v>
                </c:pt>
                <c:pt idx="1">
                  <c:v>47.960000000000008</c:v>
                </c:pt>
                <c:pt idx="2">
                  <c:v>30.660610000000002</c:v>
                </c:pt>
                <c:pt idx="3">
                  <c:v>50.14</c:v>
                </c:pt>
                <c:pt idx="4">
                  <c:v>30.520000000000003</c:v>
                </c:pt>
                <c:pt idx="5">
                  <c:v>17.440000000000001</c:v>
                </c:pt>
                <c:pt idx="6">
                  <c:v>7.6300000000000008</c:v>
                </c:pt>
                <c:pt idx="7">
                  <c:v>0</c:v>
                </c:pt>
                <c:pt idx="8">
                  <c:v>39.24</c:v>
                </c:pt>
                <c:pt idx="9">
                  <c:v>0</c:v>
                </c:pt>
                <c:pt idx="10">
                  <c:v>8.7200000000000006</c:v>
                </c:pt>
                <c:pt idx="11">
                  <c:v>7.6300000000000008</c:v>
                </c:pt>
                <c:pt idx="12">
                  <c:v>7.6300000000000008</c:v>
                </c:pt>
              </c:numCache>
            </c:numRef>
          </c:val>
          <c:extLst>
            <c:ext xmlns:c16="http://schemas.microsoft.com/office/drawing/2014/chart" uri="{C3380CC4-5D6E-409C-BE32-E72D297353CC}">
              <c16:uniqueId val="{00000000-5659-49DA-BB40-F00C59A816DE}"/>
            </c:ext>
          </c:extLst>
        </c:ser>
        <c:ser>
          <c:idx val="1"/>
          <c:order val="1"/>
          <c:tx>
            <c:strRef>
              <c:f>'Power figures'!$C$40</c:f>
              <c:strCache>
                <c:ptCount val="1"/>
              </c:strCache>
            </c:strRef>
          </c:tx>
          <c:spPr>
            <a:solidFill>
              <a:srgbClr val="008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figures'!$C$23:$C$41</c:f>
              <c:numCache>
                <c:formatCode>0</c:formatCode>
                <c:ptCount val="19"/>
                <c:pt idx="0">
                  <c:v>255.14150000000001</c:v>
                </c:pt>
                <c:pt idx="1">
                  <c:v>237.12949999999998</c:v>
                </c:pt>
                <c:pt idx="2">
                  <c:v>244.18289000000001</c:v>
                </c:pt>
                <c:pt idx="3">
                  <c:v>228.08250000000004</c:v>
                </c:pt>
                <c:pt idx="4">
                  <c:v>140.392</c:v>
                </c:pt>
                <c:pt idx="5">
                  <c:v>106.0025</c:v>
                </c:pt>
                <c:pt idx="6">
                  <c:v>74.992000000000004</c:v>
                </c:pt>
                <c:pt idx="7">
                  <c:v>36.624000000000002</c:v>
                </c:pt>
                <c:pt idx="8">
                  <c:v>25.342499999999994</c:v>
                </c:pt>
                <c:pt idx="9">
                  <c:v>21.582000000000001</c:v>
                </c:pt>
                <c:pt idx="10">
                  <c:v>97.664000000000001</c:v>
                </c:pt>
                <c:pt idx="11">
                  <c:v>85.238</c:v>
                </c:pt>
                <c:pt idx="12">
                  <c:v>102.1875</c:v>
                </c:pt>
              </c:numCache>
            </c:numRef>
          </c:val>
          <c:extLst>
            <c:ext xmlns:c16="http://schemas.microsoft.com/office/drawing/2014/chart" uri="{C3380CC4-5D6E-409C-BE32-E72D297353CC}">
              <c16:uniqueId val="{00000001-5659-49DA-BB40-F00C59A816DE}"/>
            </c:ext>
          </c:extLst>
        </c:ser>
        <c:ser>
          <c:idx val="2"/>
          <c:order val="2"/>
          <c:tx>
            <c:strRef>
              <c:f>'Power figures'!$D$40</c:f>
              <c:strCache>
                <c:ptCount val="1"/>
              </c:strCache>
            </c:strRef>
          </c:tx>
          <c:spPr>
            <a:solidFill>
              <a:srgbClr val="F79646">
                <a:lumMod val="75000"/>
              </a:srgbClr>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figures'!$D$23:$D$41</c:f>
              <c:numCache>
                <c:formatCode>0</c:formatCode>
                <c:ptCount val="19"/>
                <c:pt idx="0">
                  <c:v>53.082999999999998</c:v>
                </c:pt>
                <c:pt idx="1">
                  <c:v>67.307500000000005</c:v>
                </c:pt>
                <c:pt idx="2">
                  <c:v>103.877</c:v>
                </c:pt>
                <c:pt idx="3">
                  <c:v>105.5665</c:v>
                </c:pt>
                <c:pt idx="4">
                  <c:v>13.897500000000001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659-49DA-BB40-F00C59A816DE}"/>
            </c:ext>
          </c:extLst>
        </c:ser>
        <c:ser>
          <c:idx val="3"/>
          <c:order val="3"/>
          <c:tx>
            <c:strRef>
              <c:f>'Power figures'!$E$40</c:f>
              <c:strCache>
                <c:ptCount val="1"/>
              </c:strCache>
            </c:strRef>
          </c:tx>
          <c:spPr>
            <a:solidFill>
              <a:srgbClr val="80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figures'!$E$23:$E$41</c:f>
              <c:numCache>
                <c:formatCode>0</c:formatCode>
                <c:ptCount val="19"/>
                <c:pt idx="0">
                  <c:v>3.488</c:v>
                </c:pt>
                <c:pt idx="1">
                  <c:v>20.388449999999999</c:v>
                </c:pt>
                <c:pt idx="2">
                  <c:v>16.393600000000003</c:v>
                </c:pt>
                <c:pt idx="3">
                  <c:v>7.194</c:v>
                </c:pt>
                <c:pt idx="4">
                  <c:v>1.0900000000000001</c:v>
                </c:pt>
                <c:pt idx="5">
                  <c:v>5.7770000000000001</c:v>
                </c:pt>
                <c:pt idx="6">
                  <c:v>0</c:v>
                </c:pt>
                <c:pt idx="7">
                  <c:v>0</c:v>
                </c:pt>
                <c:pt idx="8">
                  <c:v>0</c:v>
                </c:pt>
                <c:pt idx="9">
                  <c:v>0</c:v>
                </c:pt>
                <c:pt idx="10">
                  <c:v>12.06085</c:v>
                </c:pt>
                <c:pt idx="11">
                  <c:v>19.292999999999999</c:v>
                </c:pt>
                <c:pt idx="12">
                  <c:v>0</c:v>
                </c:pt>
                <c:pt idx="15">
                  <c:v>0</c:v>
                </c:pt>
              </c:numCache>
            </c:numRef>
          </c:val>
          <c:extLst>
            <c:ext xmlns:c16="http://schemas.microsoft.com/office/drawing/2014/chart" uri="{C3380CC4-5D6E-409C-BE32-E72D297353CC}">
              <c16:uniqueId val="{00000003-5659-49DA-BB40-F00C59A816DE}"/>
            </c:ext>
          </c:extLst>
        </c:ser>
        <c:ser>
          <c:idx val="4"/>
          <c:order val="4"/>
          <c:tx>
            <c:strRef>
              <c:f>'Power figures'!$F$40</c:f>
              <c:strCache>
                <c:ptCount val="1"/>
              </c:strCache>
            </c:strRef>
          </c:tx>
          <c:spPr>
            <a:solidFill>
              <a:srgbClr val="3A8ED5"/>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figures'!$F$23:$F$41</c:f>
              <c:numCache>
                <c:formatCode>0</c:formatCode>
                <c:ptCount val="19"/>
                <c:pt idx="0">
                  <c:v>33.287499999999994</c:v>
                </c:pt>
                <c:pt idx="1">
                  <c:v>110.21454999999997</c:v>
                </c:pt>
                <c:pt idx="2">
                  <c:v>72.885899999999964</c:v>
                </c:pt>
                <c:pt idx="3">
                  <c:v>98.016999999999967</c:v>
                </c:pt>
                <c:pt idx="4">
                  <c:v>129.10050000000001</c:v>
                </c:pt>
                <c:pt idx="5">
                  <c:v>185.78050000000002</c:v>
                </c:pt>
                <c:pt idx="6">
                  <c:v>169.37799999999999</c:v>
                </c:pt>
                <c:pt idx="7">
                  <c:v>96.376000000000005</c:v>
                </c:pt>
                <c:pt idx="8">
                  <c:v>68.41749999999999</c:v>
                </c:pt>
                <c:pt idx="9">
                  <c:v>111.41800000000001</c:v>
                </c:pt>
                <c:pt idx="10">
                  <c:v>196.55515</c:v>
                </c:pt>
                <c:pt idx="11">
                  <c:v>139.839</c:v>
                </c:pt>
                <c:pt idx="12">
                  <c:v>194.6825</c:v>
                </c:pt>
              </c:numCache>
            </c:numRef>
          </c:val>
          <c:extLst>
            <c:ext xmlns:c16="http://schemas.microsoft.com/office/drawing/2014/chart" uri="{C3380CC4-5D6E-409C-BE32-E72D297353CC}">
              <c16:uniqueId val="{00000000-F928-49CB-9ABD-BE43FBCEF6EC}"/>
            </c:ext>
          </c:extLst>
        </c:ser>
        <c:dLbls>
          <c:showLegendKey val="0"/>
          <c:showVal val="0"/>
          <c:showCatName val="0"/>
          <c:showSerName val="0"/>
          <c:showPercent val="0"/>
          <c:showBubbleSize val="0"/>
        </c:dLbls>
        <c:gapWidth val="60"/>
        <c:overlap val="100"/>
        <c:axId val="208091392"/>
        <c:axId val="208101376"/>
      </c:barChart>
      <c:catAx>
        <c:axId val="208091392"/>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08101376"/>
        <c:crosses val="autoZero"/>
        <c:auto val="1"/>
        <c:lblAlgn val="ctr"/>
        <c:lblOffset val="100"/>
        <c:noMultiLvlLbl val="0"/>
      </c:catAx>
      <c:valAx>
        <c:axId val="208101376"/>
        <c:scaling>
          <c:orientation val="minMax"/>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08091392"/>
        <c:crosses val="autoZero"/>
        <c:crossBetween val="between"/>
      </c:valAx>
      <c:spPr>
        <a:solidFill>
          <a:srgbClr val="8064A2">
            <a:lumMod val="20000"/>
            <a:lumOff val="80000"/>
          </a:srgbClr>
        </a:solidFill>
      </c:spPr>
    </c:plotArea>
    <c:legend>
      <c:legendPos val="r"/>
      <c:layout>
        <c:manualLayout>
          <c:xMode val="edge"/>
          <c:yMode val="edge"/>
          <c:x val="0.76498132775498484"/>
          <c:y val="0.60329856758631606"/>
          <c:w val="0.16786360442808726"/>
          <c:h val="0.2506293856125127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5291738947001654"/>
          <c:y val="4.2820896575029223E-2"/>
          <c:w val="0.8071489269645753"/>
          <c:h val="0.74886497029863186"/>
        </c:manualLayout>
      </c:layout>
      <c:barChart>
        <c:barDir val="col"/>
        <c:grouping val="stacked"/>
        <c:varyColors val="0"/>
        <c:ser>
          <c:idx val="0"/>
          <c:order val="0"/>
          <c:spPr>
            <a:solidFill>
              <a:srgbClr val="FF0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figures'!$B$81:$B$83</c:f>
              <c:numCache>
                <c:formatCode>General</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0-0151-4FDE-8C47-A65AFA0D43BA}"/>
            </c:ext>
          </c:extLst>
        </c:ser>
        <c:ser>
          <c:idx val="1"/>
          <c:order val="1"/>
          <c:spPr>
            <a:solidFill>
              <a:srgbClr val="008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figures'!$C$81:$C$83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1-0151-4FDE-8C47-A65AFA0D43BA}"/>
            </c:ext>
          </c:extLst>
        </c:ser>
        <c:ser>
          <c:idx val="2"/>
          <c:order val="2"/>
          <c:spPr>
            <a:solidFill>
              <a:srgbClr val="C0504D"/>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B6C2-42CA-8624-F81B3EA50656}"/>
              </c:ext>
            </c:extLst>
          </c:dPt>
          <c:cat>
            <c:strRef>
              <c:f>'Power figures'!$A$81:$A$83</c:f>
              <c:strCache>
                <c:ptCount val="3"/>
                <c:pt idx="1">
                  <c:v>Graphing Calculations - 5 Remaining Core Sites</c:v>
                </c:pt>
                <c:pt idx="2">
                  <c:v>Site Name</c:v>
                </c:pt>
              </c:strCache>
            </c:strRef>
          </c:cat>
          <c:val>
            <c:numRef>
              <c:f>'Power figures'!$E$81:$E$83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2-0151-4FDE-8C47-A65AFA0D43BA}"/>
            </c:ext>
          </c:extLst>
        </c:ser>
        <c:ser>
          <c:idx val="3"/>
          <c:order val="3"/>
          <c:spPr>
            <a:solidFill>
              <a:srgbClr val="1F497D">
                <a:lumMod val="60000"/>
                <a:lumOff val="40000"/>
              </a:srgbClr>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figures'!$F$81:$F$83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3-0151-4FDE-8C47-A65AFA0D43BA}"/>
            </c:ext>
          </c:extLst>
        </c:ser>
        <c:dLbls>
          <c:showLegendKey val="0"/>
          <c:showVal val="0"/>
          <c:showCatName val="0"/>
          <c:showSerName val="0"/>
          <c:showPercent val="0"/>
          <c:showBubbleSize val="0"/>
        </c:dLbls>
        <c:gapWidth val="40"/>
        <c:overlap val="100"/>
        <c:axId val="210379520"/>
        <c:axId val="210381056"/>
      </c:barChart>
      <c:catAx>
        <c:axId val="210379520"/>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81056"/>
        <c:crosses val="autoZero"/>
        <c:auto val="1"/>
        <c:lblAlgn val="ctr"/>
        <c:lblOffset val="100"/>
        <c:noMultiLvlLbl val="0"/>
      </c:catAx>
      <c:valAx>
        <c:axId val="210381056"/>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79520"/>
        <c:crosses val="autoZero"/>
        <c:crossBetween val="between"/>
      </c:valAx>
      <c:spPr>
        <a:solidFill>
          <a:srgbClr val="8064A2">
            <a:lumMod val="20000"/>
            <a:lumOff val="80000"/>
          </a:srgbClr>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729270659349398"/>
          <c:y val="0.13652509652509653"/>
          <c:w val="0.6506351069752645"/>
          <c:h val="0.67682657314894457"/>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Loading'!$B$66:$B$67,'Inverter Loading'!$B$73:$B$73,'Inverter Loading'!$B$82:$B$83)</c:f>
              <c:numCache>
                <c:formatCode>General</c:formatCode>
                <c:ptCount val="5"/>
                <c:pt idx="0">
                  <c:v>0</c:v>
                </c:pt>
                <c:pt idx="1">
                  <c:v>0</c:v>
                </c:pt>
                <c:pt idx="2">
                  <c:v>36</c:v>
                </c:pt>
                <c:pt idx="3">
                  <c:v>0</c:v>
                </c:pt>
                <c:pt idx="4">
                  <c:v>7</c:v>
                </c:pt>
              </c:numCache>
            </c:numRef>
          </c:val>
          <c:extLst>
            <c:ext xmlns:c16="http://schemas.microsoft.com/office/drawing/2014/chart" uri="{C3380CC4-5D6E-409C-BE32-E72D297353CC}">
              <c16:uniqueId val="{00000000-F0E8-4BB5-A46C-6B3C88AFD4ED}"/>
            </c:ext>
          </c:extLst>
        </c:ser>
        <c:ser>
          <c:idx val="1"/>
          <c:order val="1"/>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Loading'!$D$66:$D$67,'Inverter Loading'!$D$73:$D$73,'Inverter Loading'!$D$82:$D$83)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F0E8-4BB5-A46C-6B3C88AFD4ED}"/>
            </c:ext>
          </c:extLst>
        </c:ser>
        <c:ser>
          <c:idx val="2"/>
          <c:order val="2"/>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Loading'!$E$66:$E$67,'Inverter Loading'!$E$73:$E$73,'Inverter Loading'!$E$82:$E$83)</c:f>
              <c:numCache>
                <c:formatCode>General</c:formatCode>
                <c:ptCount val="5"/>
                <c:pt idx="0">
                  <c:v>0</c:v>
                </c:pt>
                <c:pt idx="1">
                  <c:v>0</c:v>
                </c:pt>
                <c:pt idx="2">
                  <c:v>16.799999999999997</c:v>
                </c:pt>
                <c:pt idx="3">
                  <c:v>0</c:v>
                </c:pt>
                <c:pt idx="4">
                  <c:v>17</c:v>
                </c:pt>
              </c:numCache>
            </c:numRef>
          </c:val>
          <c:extLst>
            <c:ext xmlns:c16="http://schemas.microsoft.com/office/drawing/2014/chart" uri="{C3380CC4-5D6E-409C-BE32-E72D297353CC}">
              <c16:uniqueId val="{00000002-F0E8-4BB5-A46C-6B3C88AFD4ED}"/>
            </c:ext>
          </c:extLst>
        </c:ser>
        <c:ser>
          <c:idx val="3"/>
          <c:order val="3"/>
          <c:tx>
            <c:strRef>
              <c:f>'Inverter Loading'!$G$61</c:f>
              <c:strCache>
                <c:ptCount val="1"/>
                <c:pt idx="0">
                  <c:v>Power Capability (kW)</c:v>
                </c:pt>
              </c:strCache>
            </c:strRef>
          </c:tx>
          <c:spPr>
            <a:solidFill>
              <a:srgbClr val="1F497D">
                <a:lumMod val="60000"/>
                <a:lumOff val="40000"/>
              </a:srgbClr>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Loading'!$G$66:$G$67,'Inverter Loading'!$G$73:$G$73,'Inverter Loading'!$G$82:$G$83)</c:f>
              <c:numCache>
                <c:formatCode>General</c:formatCode>
                <c:ptCount val="5"/>
                <c:pt idx="0">
                  <c:v>0</c:v>
                </c:pt>
                <c:pt idx="1">
                  <c:v>0</c:v>
                </c:pt>
                <c:pt idx="2">
                  <c:v>2.3999999999999986</c:v>
                </c:pt>
                <c:pt idx="3">
                  <c:v>0</c:v>
                </c:pt>
                <c:pt idx="4">
                  <c:v>4.7999999999999972</c:v>
                </c:pt>
              </c:numCache>
            </c:numRef>
          </c:val>
          <c:extLst>
            <c:ext xmlns:c16="http://schemas.microsoft.com/office/drawing/2014/chart" uri="{C3380CC4-5D6E-409C-BE32-E72D297353CC}">
              <c16:uniqueId val="{00000003-F0E8-4BB5-A46C-6B3C88AFD4ED}"/>
            </c:ext>
          </c:extLst>
        </c:ser>
        <c:dLbls>
          <c:showLegendKey val="0"/>
          <c:showVal val="0"/>
          <c:showCatName val="0"/>
          <c:showSerName val="0"/>
          <c:showPercent val="0"/>
          <c:showBubbleSize val="0"/>
        </c:dLbls>
        <c:gapWidth val="200"/>
        <c:overlap val="100"/>
        <c:axId val="210462592"/>
        <c:axId val="210464128"/>
      </c:barChart>
      <c:catAx>
        <c:axId val="210462592"/>
        <c:scaling>
          <c:orientation val="minMax"/>
        </c:scaling>
        <c:delete val="0"/>
        <c:axPos val="b"/>
        <c:numFmt formatCode="General" sourceLinked="1"/>
        <c:majorTickMark val="out"/>
        <c:minorTickMark val="none"/>
        <c:tickLblPos val="nextTo"/>
        <c:txPr>
          <a:bodyPr rot="-5400000" vert="horz"/>
          <a:lstStyle/>
          <a:p>
            <a:pPr>
              <a:defRPr sz="1800" b="0" i="0" u="none" strike="noStrike" baseline="0">
                <a:solidFill>
                  <a:srgbClr val="000000"/>
                </a:solidFill>
                <a:latin typeface="Vodafone Lt"/>
                <a:ea typeface="Vodafone Lt"/>
                <a:cs typeface="Vodafone Lt"/>
              </a:defRPr>
            </a:pPr>
            <a:endParaRPr lang="en-US"/>
          </a:p>
        </c:txPr>
        <c:crossAx val="210464128"/>
        <c:crosses val="autoZero"/>
        <c:auto val="1"/>
        <c:lblAlgn val="ctr"/>
        <c:lblOffset val="100"/>
        <c:noMultiLvlLbl val="0"/>
      </c:catAx>
      <c:valAx>
        <c:axId val="210464128"/>
        <c:scaling>
          <c:orientation val="minMax"/>
          <c:max val="45"/>
        </c:scaling>
        <c:delete val="0"/>
        <c:axPos val="l"/>
        <c:majorGridlines/>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0462592"/>
        <c:crosses val="autoZero"/>
        <c:crossBetween val="between"/>
      </c:valAx>
      <c:spPr>
        <a:solidFill>
          <a:srgbClr val="8064A2">
            <a:lumMod val="20000"/>
            <a:lumOff val="80000"/>
          </a:srgbClr>
        </a:solidFill>
      </c:spPr>
    </c:plotArea>
    <c:legend>
      <c:legendPos val="r"/>
      <c:layout>
        <c:manualLayout>
          <c:xMode val="edge"/>
          <c:yMode val="edge"/>
          <c:x val="0.78311263819295318"/>
          <c:y val="0.19939895213633055"/>
          <c:w val="0.21688736180704685"/>
          <c:h val="0.510596175478065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6.8651546761782978E-2"/>
          <c:y val="0.15986666666666666"/>
          <c:w val="0.76192102055619115"/>
          <c:h val="0.62006858013716026"/>
        </c:manualLayout>
      </c:layout>
      <c:barChart>
        <c:barDir val="col"/>
        <c:grouping val="stacked"/>
        <c:varyColors val="0"/>
        <c:ser>
          <c:idx val="0"/>
          <c:order val="0"/>
          <c:tx>
            <c:strRef>
              <c:f>'Power figures'!$B$214</c:f>
              <c:strCache>
                <c:ptCount val="1"/>
                <c:pt idx="0">
                  <c:v>Load (kW)</c:v>
                </c:pt>
              </c:strCache>
            </c:strRef>
          </c:tx>
          <c:spPr>
            <a:solidFill>
              <a:srgbClr val="008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figures'!$B$215:$B$225,'Power figures'!$B$228:$B$243)</c:f>
              <c:numCache>
                <c:formatCode>0.0</c:formatCode>
                <c:ptCount val="27"/>
                <c:pt idx="0">
                  <c:v>45.453000000000003</c:v>
                </c:pt>
                <c:pt idx="1">
                  <c:v>50.14</c:v>
                </c:pt>
                <c:pt idx="2">
                  <c:v>47.96</c:v>
                </c:pt>
                <c:pt idx="3">
                  <c:v>45.561999999999998</c:v>
                </c:pt>
                <c:pt idx="4">
                  <c:v>50.685000000000002</c:v>
                </c:pt>
                <c:pt idx="5">
                  <c:v>23.108000000000001</c:v>
                </c:pt>
                <c:pt idx="6">
                  <c:v>18.53</c:v>
                </c:pt>
                <c:pt idx="7">
                  <c:v>23.816500000000001</c:v>
                </c:pt>
                <c:pt idx="8">
                  <c:v>17.1675</c:v>
                </c:pt>
                <c:pt idx="9">
                  <c:v>13.189</c:v>
                </c:pt>
                <c:pt idx="10">
                  <c:v>17.984999999999999</c:v>
                </c:pt>
                <c:pt idx="11">
                  <c:v>5.45</c:v>
                </c:pt>
                <c:pt idx="12">
                  <c:v>27.522500000000001</c:v>
                </c:pt>
                <c:pt idx="13">
                  <c:v>13.679500000000001</c:v>
                </c:pt>
                <c:pt idx="14">
                  <c:v>23.380500000000001</c:v>
                </c:pt>
                <c:pt idx="15">
                  <c:v>8.3930000000000007</c:v>
                </c:pt>
                <c:pt idx="16">
                  <c:v>7.5754999999999999</c:v>
                </c:pt>
                <c:pt idx="17">
                  <c:v>5.6135000000000002</c:v>
                </c:pt>
                <c:pt idx="18">
                  <c:v>19.838000000000001</c:v>
                </c:pt>
                <c:pt idx="19">
                  <c:v>28.34</c:v>
                </c:pt>
                <c:pt idx="20">
                  <c:v>25.724</c:v>
                </c:pt>
                <c:pt idx="21">
                  <c:v>18.966000000000001</c:v>
                </c:pt>
                <c:pt idx="22">
                  <c:v>29.757000000000001</c:v>
                </c:pt>
                <c:pt idx="23">
                  <c:v>25.342500000000001</c:v>
                </c:pt>
                <c:pt idx="24">
                  <c:v>21.690999999999999</c:v>
                </c:pt>
                <c:pt idx="25">
                  <c:v>15.532500000000001</c:v>
                </c:pt>
                <c:pt idx="26">
                  <c:v>17.494499999999999</c:v>
                </c:pt>
              </c:numCache>
            </c:numRef>
          </c:val>
          <c:extLst>
            <c:ext xmlns:c16="http://schemas.microsoft.com/office/drawing/2014/chart" uri="{C3380CC4-5D6E-409C-BE32-E72D297353CC}">
              <c16:uniqueId val="{00000000-8E46-4A28-84E0-561D0D4C4B68}"/>
            </c:ext>
          </c:extLst>
        </c:ser>
        <c:ser>
          <c:idx val="1"/>
          <c:order val="1"/>
          <c:tx>
            <c:strRef>
              <c:f>'Power figures'!$C$214</c:f>
              <c:strCache>
                <c:ptCount val="1"/>
                <c:pt idx="0">
                  <c:v>Reserved (kW)</c:v>
                </c:pt>
              </c:strCache>
            </c:strRef>
          </c:tx>
          <c:spPr>
            <a:solidFill>
              <a:srgbClr val="F79646">
                <a:lumMod val="75000"/>
              </a:srgbClr>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figures'!$C$215:$C$225,'Power figures'!$C$228:$C$243)</c:f>
              <c:numCache>
                <c:formatCode>0.0</c:formatCode>
                <c:ptCount val="27"/>
                <c:pt idx="0">
                  <c:v>11.445</c:v>
                </c:pt>
                <c:pt idx="1">
                  <c:v>10.246</c:v>
                </c:pt>
                <c:pt idx="2">
                  <c:v>10.845499999999999</c:v>
                </c:pt>
                <c:pt idx="3">
                  <c:v>10.028</c:v>
                </c:pt>
                <c:pt idx="4">
                  <c:v>10.5185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1-8E46-4A28-84E0-561D0D4C4B68}"/>
            </c:ext>
          </c:extLst>
        </c:ser>
        <c:ser>
          <c:idx val="2"/>
          <c:order val="2"/>
          <c:tx>
            <c:strRef>
              <c:f>'Power figures'!$D$214</c:f>
              <c:strCache>
                <c:ptCount val="1"/>
                <c:pt idx="0">
                  <c:v>Forecast (kW)</c:v>
                </c:pt>
              </c:strCache>
            </c:strRef>
          </c:tx>
          <c:spPr>
            <a:solidFill>
              <a:srgbClr val="800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figures'!$D$215:$D$225,'Power figures'!$D$228:$D$243)</c:f>
              <c:numCache>
                <c:formatCode>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2-8E46-4A28-84E0-561D0D4C4B68}"/>
            </c:ext>
          </c:extLst>
        </c:ser>
        <c:ser>
          <c:idx val="3"/>
          <c:order val="3"/>
          <c:tx>
            <c:strRef>
              <c:f>'Power figures'!$G$214</c:f>
              <c:strCache>
                <c:ptCount val="1"/>
                <c:pt idx="0">
                  <c:v>Remaining Capacity (kW)</c:v>
                </c:pt>
              </c:strCache>
            </c:strRef>
          </c:tx>
          <c:spPr>
            <a:solidFill>
              <a:srgbClr val="FFFFCC"/>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figures'!$G$215:$G$225,'Power figures'!$G$228:$G$243)</c:f>
              <c:numCache>
                <c:formatCode>0.0</c:formatCode>
                <c:ptCount val="27"/>
                <c:pt idx="0">
                  <c:v>17.546999999999997</c:v>
                </c:pt>
                <c:pt idx="1">
                  <c:v>12.86</c:v>
                </c:pt>
                <c:pt idx="2">
                  <c:v>15.04</c:v>
                </c:pt>
                <c:pt idx="3">
                  <c:v>17.438000000000002</c:v>
                </c:pt>
                <c:pt idx="4">
                  <c:v>12.314999999999998</c:v>
                </c:pt>
                <c:pt idx="5">
                  <c:v>39.891999999999996</c:v>
                </c:pt>
                <c:pt idx="6">
                  <c:v>44.47</c:v>
                </c:pt>
                <c:pt idx="7">
                  <c:v>39.183499999999995</c:v>
                </c:pt>
                <c:pt idx="8">
                  <c:v>45.832499999999996</c:v>
                </c:pt>
                <c:pt idx="9">
                  <c:v>28.811</c:v>
                </c:pt>
                <c:pt idx="10">
                  <c:v>34.515000000000001</c:v>
                </c:pt>
                <c:pt idx="11">
                  <c:v>15.55</c:v>
                </c:pt>
                <c:pt idx="12">
                  <c:v>35.477499999999999</c:v>
                </c:pt>
                <c:pt idx="13">
                  <c:v>49.320499999999996</c:v>
                </c:pt>
                <c:pt idx="14">
                  <c:v>29.119499999999999</c:v>
                </c:pt>
                <c:pt idx="15">
                  <c:v>33.606999999999999</c:v>
                </c:pt>
                <c:pt idx="16">
                  <c:v>34.424500000000002</c:v>
                </c:pt>
                <c:pt idx="17">
                  <c:v>15.3865</c:v>
                </c:pt>
                <c:pt idx="18">
                  <c:v>43.161999999999999</c:v>
                </c:pt>
                <c:pt idx="19">
                  <c:v>34.659999999999997</c:v>
                </c:pt>
                <c:pt idx="20">
                  <c:v>37.275999999999996</c:v>
                </c:pt>
                <c:pt idx="21">
                  <c:v>44.033999999999999</c:v>
                </c:pt>
                <c:pt idx="22">
                  <c:v>33.242999999999995</c:v>
                </c:pt>
                <c:pt idx="23">
                  <c:v>37.657499999999999</c:v>
                </c:pt>
                <c:pt idx="24">
                  <c:v>41.308999999999997</c:v>
                </c:pt>
                <c:pt idx="25">
                  <c:v>47.467500000000001</c:v>
                </c:pt>
                <c:pt idx="26">
                  <c:v>35.005499999999998</c:v>
                </c:pt>
              </c:numCache>
            </c:numRef>
          </c:val>
          <c:extLst>
            <c:ext xmlns:c16="http://schemas.microsoft.com/office/drawing/2014/chart" uri="{C3380CC4-5D6E-409C-BE32-E72D297353CC}">
              <c16:uniqueId val="{00000000-E923-40F5-AEC8-B7776E68C71C}"/>
            </c:ext>
          </c:extLst>
        </c:ser>
        <c:dLbls>
          <c:showLegendKey val="0"/>
          <c:showVal val="0"/>
          <c:showCatName val="0"/>
          <c:showSerName val="0"/>
          <c:showPercent val="0"/>
          <c:showBubbleSize val="0"/>
        </c:dLbls>
        <c:gapWidth val="70"/>
        <c:overlap val="100"/>
        <c:axId val="210543744"/>
        <c:axId val="210545280"/>
      </c:barChart>
      <c:catAx>
        <c:axId val="210543744"/>
        <c:scaling>
          <c:orientation val="minMax"/>
        </c:scaling>
        <c:delete val="0"/>
        <c:axPos val="b"/>
        <c:numFmt formatCode="General" sourceLinked="0"/>
        <c:majorTickMark val="out"/>
        <c:minorTickMark val="none"/>
        <c:tickLblPos val="nextTo"/>
        <c:txPr>
          <a:bodyPr rot="-5400000" vert="horz"/>
          <a:lstStyle/>
          <a:p>
            <a:pPr>
              <a:defRPr>
                <a:latin typeface="Vodafone Lt" panose="020B0606040202020204" pitchFamily="34" charset="0"/>
              </a:defRPr>
            </a:pPr>
            <a:endParaRPr lang="en-US"/>
          </a:p>
        </c:txPr>
        <c:crossAx val="210545280"/>
        <c:crosses val="autoZero"/>
        <c:auto val="1"/>
        <c:lblAlgn val="ctr"/>
        <c:lblOffset val="100"/>
        <c:noMultiLvlLbl val="0"/>
      </c:catAx>
      <c:valAx>
        <c:axId val="210545280"/>
        <c:scaling>
          <c:orientation val="minMax"/>
        </c:scaling>
        <c:delete val="0"/>
        <c:axPos val="l"/>
        <c:majorGridlines/>
        <c:numFmt formatCode="0" sourceLinked="0"/>
        <c:majorTickMark val="out"/>
        <c:minorTickMark val="none"/>
        <c:tickLblPos val="nextTo"/>
        <c:txPr>
          <a:bodyPr/>
          <a:lstStyle/>
          <a:p>
            <a:pPr>
              <a:defRPr>
                <a:latin typeface="Vodafone Lt" panose="020B0606040202020204" pitchFamily="34" charset="0"/>
              </a:defRPr>
            </a:pPr>
            <a:endParaRPr lang="en-US"/>
          </a:p>
        </c:txPr>
        <c:crossAx val="210543744"/>
        <c:crosses val="autoZero"/>
        <c:crossBetween val="between"/>
      </c:valAx>
      <c:spPr>
        <a:solidFill>
          <a:srgbClr val="8064A2">
            <a:lumMod val="20000"/>
            <a:lumOff val="80000"/>
          </a:srgbClr>
        </a:solidFill>
      </c:spPr>
    </c:plotArea>
    <c:legend>
      <c:legendPos val="r"/>
      <c:layout>
        <c:manualLayout>
          <c:xMode val="edge"/>
          <c:yMode val="edge"/>
          <c:x val="0.83247190255064274"/>
          <c:y val="0.34905080010160022"/>
          <c:w val="0.16532645013958594"/>
          <c:h val="0.32217721278816053"/>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txPr>
    <a:bodyPr/>
    <a:lstStyle/>
    <a:p>
      <a:pPr>
        <a:defRPr sz="1800"/>
      </a:pPr>
      <a:endParaRPr lang="en-US"/>
    </a:p>
  </c:txPr>
  <c:printSettings>
    <c:headerFooter/>
    <c:pageMargins b="0.75" l="0.7" r="0.7" t="0.75" header="0.3" footer="0.3"/>
    <c:pageSetup/>
  </c:printSettings>
  <c:userShapes r:id="rId2"/>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585785926615088E-2"/>
          <c:y val="3.8515099405677745E-2"/>
          <c:w val="0.73759355257063453"/>
          <c:h val="0.89050877114936899"/>
        </c:manualLayout>
      </c:layout>
      <c:barChart>
        <c:barDir val="col"/>
        <c:grouping val="stacked"/>
        <c:varyColors val="0"/>
        <c:ser>
          <c:idx val="0"/>
          <c:order val="0"/>
          <c:tx>
            <c:strRef>
              <c:f>'Rolling Figs'!$K$3:$K$4</c:f>
              <c:strCache>
                <c:ptCount val="2"/>
                <c:pt idx="0">
                  <c:v>Technology Load (kW) July 16</c:v>
                </c:pt>
              </c:strCache>
            </c:strRef>
          </c:tx>
          <c:spPr>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Figs'!$K$5:$K$18</c:f>
              <c:numCache>
                <c:formatCode>0</c:formatCode>
                <c:ptCount val="14"/>
                <c:pt idx="0">
                  <c:v>0</c:v>
                </c:pt>
                <c:pt idx="3">
                  <c:v>0</c:v>
                </c:pt>
                <c:pt idx="6">
                  <c:v>0</c:v>
                </c:pt>
                <c:pt idx="9">
                  <c:v>0</c:v>
                </c:pt>
                <c:pt idx="12">
                  <c:v>0</c:v>
                </c:pt>
              </c:numCache>
            </c:numRef>
          </c:val>
          <c:extLst>
            <c:ext xmlns:c16="http://schemas.microsoft.com/office/drawing/2014/chart" uri="{C3380CC4-5D6E-409C-BE32-E72D297353CC}">
              <c16:uniqueId val="{00000000-9071-4E30-8F29-00A6113C8ED2}"/>
            </c:ext>
          </c:extLst>
        </c:ser>
        <c:ser>
          <c:idx val="1"/>
          <c:order val="1"/>
          <c:tx>
            <c:strRef>
              <c:f>'Rolling Figs'!$L$3:$L$4</c:f>
              <c:strCache>
                <c:ptCount val="2"/>
                <c:pt idx="0">
                  <c:v>Technology Load (kW) July 17</c:v>
                </c:pt>
              </c:strCache>
            </c:strRef>
          </c:tx>
          <c:spPr>
            <a:solidFill>
              <a:srgbClr val="CC0000"/>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Figs'!$L$5:$L$18</c:f>
              <c:numCache>
                <c:formatCode>0</c:formatCode>
                <c:ptCount val="14"/>
                <c:pt idx="1">
                  <c:v>288.14150000000001</c:v>
                </c:pt>
                <c:pt idx="4">
                  <c:v>82.622</c:v>
                </c:pt>
                <c:pt idx="7">
                  <c:v>122.7885</c:v>
                </c:pt>
                <c:pt idx="10">
                  <c:v>92.867999999999995</c:v>
                </c:pt>
                <c:pt idx="13">
                  <c:v>109.8175</c:v>
                </c:pt>
              </c:numCache>
            </c:numRef>
          </c:val>
          <c:extLst>
            <c:ext xmlns:c16="http://schemas.microsoft.com/office/drawing/2014/chart" uri="{C3380CC4-5D6E-409C-BE32-E72D297353CC}">
              <c16:uniqueId val="{00000001-9071-4E30-8F29-00A6113C8ED2}"/>
            </c:ext>
          </c:extLst>
        </c:ser>
        <c:ser>
          <c:idx val="2"/>
          <c:order val="2"/>
          <c:tx>
            <c:strRef>
              <c:f>'Rolling Figs'!$M$3:$M$4</c:f>
              <c:strCache>
                <c:ptCount val="2"/>
                <c:pt idx="0">
                  <c:v>Reserved Load (kW)</c:v>
                </c:pt>
              </c:strCache>
            </c:strRef>
          </c:tx>
          <c:spPr>
            <a:solidFill>
              <a:srgbClr val="F79646">
                <a:lumMod val="75000"/>
              </a:srgbClr>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Figs'!$M$5:$M$18</c:f>
              <c:numCache>
                <c:formatCode>0</c:formatCode>
                <c:ptCount val="14"/>
                <c:pt idx="1">
                  <c:v>53.082999999999998</c:v>
                </c:pt>
                <c:pt idx="4">
                  <c:v>0</c:v>
                </c:pt>
                <c:pt idx="7">
                  <c:v>0</c:v>
                </c:pt>
                <c:pt idx="10">
                  <c:v>0</c:v>
                </c:pt>
                <c:pt idx="13">
                  <c:v>0</c:v>
                </c:pt>
              </c:numCache>
            </c:numRef>
          </c:val>
          <c:extLst>
            <c:ext xmlns:c16="http://schemas.microsoft.com/office/drawing/2014/chart" uri="{C3380CC4-5D6E-409C-BE32-E72D297353CC}">
              <c16:uniqueId val="{00000002-9071-4E30-8F29-00A6113C8ED2}"/>
            </c:ext>
          </c:extLst>
        </c:ser>
        <c:ser>
          <c:idx val="3"/>
          <c:order val="3"/>
          <c:tx>
            <c:strRef>
              <c:f>'Rolling Figs'!$N$3:$N$4</c:f>
              <c:strCache>
                <c:ptCount val="2"/>
                <c:pt idx="0">
                  <c:v>Forecast Load (kW)</c:v>
                </c:pt>
              </c:strCache>
            </c:strRef>
          </c:tx>
          <c:spPr>
            <a:solidFill>
              <a:srgbClr val="990033"/>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Figs'!$N$5:$N$18</c:f>
              <c:numCache>
                <c:formatCode>0</c:formatCode>
                <c:ptCount val="14"/>
                <c:pt idx="1">
                  <c:v>3.488</c:v>
                </c:pt>
                <c:pt idx="4">
                  <c:v>0</c:v>
                </c:pt>
                <c:pt idx="7">
                  <c:v>0</c:v>
                </c:pt>
                <c:pt idx="10">
                  <c:v>19.292999999999999</c:v>
                </c:pt>
                <c:pt idx="13">
                  <c:v>0</c:v>
                </c:pt>
              </c:numCache>
            </c:numRef>
          </c:val>
          <c:extLst>
            <c:ext xmlns:c16="http://schemas.microsoft.com/office/drawing/2014/chart" uri="{C3380CC4-5D6E-409C-BE32-E72D297353CC}">
              <c16:uniqueId val="{00000000-1533-4D89-BAD8-6E01BD038626}"/>
            </c:ext>
          </c:extLst>
        </c:ser>
        <c:dLbls>
          <c:showLegendKey val="0"/>
          <c:showVal val="0"/>
          <c:showCatName val="0"/>
          <c:showSerName val="0"/>
          <c:showPercent val="0"/>
          <c:showBubbleSize val="0"/>
        </c:dLbls>
        <c:gapWidth val="0"/>
        <c:overlap val="100"/>
        <c:axId val="210220160"/>
        <c:axId val="210221696"/>
      </c:barChart>
      <c:catAx>
        <c:axId val="210220160"/>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0221696"/>
        <c:crosses val="autoZero"/>
        <c:auto val="1"/>
        <c:lblAlgn val="ctr"/>
        <c:lblOffset val="100"/>
        <c:noMultiLvlLbl val="0"/>
      </c:catAx>
      <c:valAx>
        <c:axId val="210221696"/>
        <c:scaling>
          <c:orientation val="minMax"/>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220160"/>
        <c:crosses val="autoZero"/>
        <c:crossBetween val="between"/>
      </c:valAx>
      <c:spPr>
        <a:solidFill>
          <a:srgbClr val="8064A2">
            <a:lumMod val="20000"/>
            <a:lumOff val="80000"/>
          </a:srgbClr>
        </a:solidFill>
      </c:spPr>
    </c:plotArea>
    <c:legend>
      <c:legendPos val="r"/>
      <c:layout>
        <c:manualLayout>
          <c:xMode val="edge"/>
          <c:yMode val="edge"/>
          <c:x val="0.82328670680870775"/>
          <c:y val="0.33867950828180376"/>
          <c:w val="0.17671329319129225"/>
          <c:h val="0.3838664234767264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paperSize="8" orientation="landscape"/>
  </c:printSettings>
  <c:userShapes r:id="rId2"/>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6814308211473568E-2"/>
          <c:y val="2.4721314666492147E-2"/>
          <c:w val="0.78304791901012372"/>
          <c:h val="0.90585689334287756"/>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Floorspace'!$J$35:$J$42</c:f>
              <c:numCache>
                <c:formatCode>0</c:formatCode>
                <c:ptCount val="8"/>
                <c:pt idx="0">
                  <c:v>935.04</c:v>
                </c:pt>
                <c:pt idx="1">
                  <c:v>2165.44</c:v>
                </c:pt>
                <c:pt idx="2">
                  <c:v>766.4</c:v>
                </c:pt>
                <c:pt idx="3">
                  <c:v>758.72</c:v>
                </c:pt>
                <c:pt idx="4">
                  <c:v>640.31999999999994</c:v>
                </c:pt>
                <c:pt idx="5">
                  <c:v>1320</c:v>
                </c:pt>
                <c:pt idx="6">
                  <c:v>1346.56</c:v>
                </c:pt>
                <c:pt idx="7">
                  <c:v>1082.8800000000001</c:v>
                </c:pt>
              </c:numCache>
            </c:numRef>
          </c:val>
          <c:extLst>
            <c:ext xmlns:c16="http://schemas.microsoft.com/office/drawing/2014/chart" uri="{C3380CC4-5D6E-409C-BE32-E72D297353CC}">
              <c16:uniqueId val="{00000000-A643-4F2A-9354-32223BF61897}"/>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Floorspace'!$K$35:$K$42</c:f>
              <c:numCache>
                <c:formatCode>0</c:formatCode>
                <c:ptCount val="8"/>
                <c:pt idx="0">
                  <c:v>0</c:v>
                </c:pt>
                <c:pt idx="1">
                  <c:v>5.76</c:v>
                </c:pt>
                <c:pt idx="2">
                  <c:v>0</c:v>
                </c:pt>
                <c:pt idx="3">
                  <c:v>0</c:v>
                </c:pt>
                <c:pt idx="4">
                  <c:v>0</c:v>
                </c:pt>
                <c:pt idx="5">
                  <c:v>0</c:v>
                </c:pt>
                <c:pt idx="6">
                  <c:v>0</c:v>
                </c:pt>
                <c:pt idx="7">
                  <c:v>0</c:v>
                </c:pt>
              </c:numCache>
            </c:numRef>
          </c:val>
          <c:extLst>
            <c:ext xmlns:c16="http://schemas.microsoft.com/office/drawing/2014/chart" uri="{C3380CC4-5D6E-409C-BE32-E72D297353CC}">
              <c16:uniqueId val="{00000001-A643-4F2A-9354-32223BF61897}"/>
            </c:ext>
          </c:extLst>
        </c:ser>
        <c:ser>
          <c:idx val="2"/>
          <c:order val="2"/>
          <c:tx>
            <c:strRef>
              <c:f>'Cab Floorspace'!$L$32</c:f>
              <c:strCache>
                <c:ptCount val="1"/>
                <c:pt idx="0">
                  <c:v>Forecast (m²) </c:v>
                </c:pt>
              </c:strCache>
            </c:strRef>
          </c:tx>
          <c:spPr>
            <a:solidFill>
              <a:srgbClr val="8000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Floorspace'!$L$35:$L$42</c:f>
              <c:numCache>
                <c:formatCode>0</c:formatCode>
                <c:ptCount val="8"/>
                <c:pt idx="0">
                  <c:v>0</c:v>
                </c:pt>
                <c:pt idx="1">
                  <c:v>0</c:v>
                </c:pt>
                <c:pt idx="2">
                  <c:v>0</c:v>
                </c:pt>
                <c:pt idx="3">
                  <c:v>0</c:v>
                </c:pt>
                <c:pt idx="4">
                  <c:v>0</c:v>
                </c:pt>
                <c:pt idx="5">
                  <c:v>5.12</c:v>
                </c:pt>
                <c:pt idx="6">
                  <c:v>13.44</c:v>
                </c:pt>
                <c:pt idx="7">
                  <c:v>0</c:v>
                </c:pt>
              </c:numCache>
            </c:numRef>
          </c:val>
          <c:extLst>
            <c:ext xmlns:c16="http://schemas.microsoft.com/office/drawing/2014/chart" uri="{C3380CC4-5D6E-409C-BE32-E72D297353CC}">
              <c16:uniqueId val="{00000002-A643-4F2A-9354-32223BF61897}"/>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Floorspace'!$O$35:$O$42</c:f>
              <c:numCache>
                <c:formatCode>0</c:formatCode>
                <c:ptCount val="8"/>
                <c:pt idx="0">
                  <c:v>352.32000000000016</c:v>
                </c:pt>
                <c:pt idx="1">
                  <c:v>920.31999999999971</c:v>
                </c:pt>
                <c:pt idx="2">
                  <c:v>311.04000000000008</c:v>
                </c:pt>
                <c:pt idx="3">
                  <c:v>274.24</c:v>
                </c:pt>
                <c:pt idx="4">
                  <c:v>340.80000000000007</c:v>
                </c:pt>
                <c:pt idx="5">
                  <c:v>661.76</c:v>
                </c:pt>
                <c:pt idx="6">
                  <c:v>874.88000000000011</c:v>
                </c:pt>
                <c:pt idx="7">
                  <c:v>494.07999999999993</c:v>
                </c:pt>
              </c:numCache>
            </c:numRef>
          </c:val>
          <c:extLst>
            <c:ext xmlns:c16="http://schemas.microsoft.com/office/drawing/2014/chart" uri="{C3380CC4-5D6E-409C-BE32-E72D297353CC}">
              <c16:uniqueId val="{00000003-A643-4F2A-9354-32223BF61897}"/>
            </c:ext>
          </c:extLst>
        </c:ser>
        <c:dLbls>
          <c:showLegendKey val="0"/>
          <c:showVal val="0"/>
          <c:showCatName val="0"/>
          <c:showSerName val="0"/>
          <c:showPercent val="0"/>
          <c:showBubbleSize val="0"/>
        </c:dLbls>
        <c:gapWidth val="150"/>
        <c:overlap val="100"/>
        <c:axId val="210302080"/>
        <c:axId val="210303616"/>
      </c:barChart>
      <c:catAx>
        <c:axId val="210302080"/>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210303616"/>
        <c:crosses val="autoZero"/>
        <c:auto val="1"/>
        <c:lblAlgn val="ctr"/>
        <c:lblOffset val="100"/>
        <c:noMultiLvlLbl val="0"/>
      </c:catAx>
      <c:valAx>
        <c:axId val="210303616"/>
        <c:scaling>
          <c:orientation val="minMax"/>
          <c:max val="1100"/>
          <c:min val="0"/>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10302080"/>
        <c:crosses val="autoZero"/>
        <c:crossBetween val="between"/>
        <c:majorUnit val="200"/>
      </c:valAx>
      <c:spPr>
        <a:solidFill>
          <a:srgbClr val="E6E0EC"/>
        </a:solidFill>
      </c:spPr>
    </c:plotArea>
    <c:legend>
      <c:legendPos val="r"/>
      <c:layout>
        <c:manualLayout>
          <c:xMode val="edge"/>
          <c:yMode val="edge"/>
          <c:x val="0.87482996625421827"/>
          <c:y val="0.56375879742304935"/>
          <c:w val="0.11785574803149607"/>
          <c:h val="0.215755132426628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8060772763224686"/>
          <c:y val="0.10304912104010254"/>
          <c:w val="0.78617714764664925"/>
          <c:h val="0.75707539878548402"/>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Floorspace'!$J$37:$J$39</c:f>
              <c:numCache>
                <c:formatCode>0</c:formatCode>
                <c:ptCount val="3"/>
                <c:pt idx="0">
                  <c:v>766.4</c:v>
                </c:pt>
                <c:pt idx="1">
                  <c:v>758.72</c:v>
                </c:pt>
                <c:pt idx="2">
                  <c:v>640.31999999999994</c:v>
                </c:pt>
              </c:numCache>
            </c:numRef>
          </c:val>
          <c:extLst>
            <c:ext xmlns:c16="http://schemas.microsoft.com/office/drawing/2014/chart" uri="{C3380CC4-5D6E-409C-BE32-E72D297353CC}">
              <c16:uniqueId val="{00000000-1441-46DC-B660-348648AD4BF5}"/>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Floorspace'!$K$37:$K$39</c:f>
              <c:numCache>
                <c:formatCode>0</c:formatCode>
                <c:ptCount val="3"/>
                <c:pt idx="0">
                  <c:v>0</c:v>
                </c:pt>
                <c:pt idx="1">
                  <c:v>0</c:v>
                </c:pt>
                <c:pt idx="2">
                  <c:v>0</c:v>
                </c:pt>
              </c:numCache>
            </c:numRef>
          </c:val>
          <c:extLst>
            <c:ext xmlns:c16="http://schemas.microsoft.com/office/drawing/2014/chart" uri="{C3380CC4-5D6E-409C-BE32-E72D297353CC}">
              <c16:uniqueId val="{00000001-1441-46DC-B660-348648AD4BF5}"/>
            </c:ext>
          </c:extLst>
        </c:ser>
        <c:ser>
          <c:idx val="2"/>
          <c:order val="2"/>
          <c:tx>
            <c:strRef>
              <c:f>'Cab Floorspace'!$L$32</c:f>
              <c:strCache>
                <c:ptCount val="1"/>
                <c:pt idx="0">
                  <c:v>Forecast (m²) </c:v>
                </c:pt>
              </c:strCache>
            </c:strRef>
          </c:tx>
          <c:spPr>
            <a:solidFill>
              <a:srgbClr val="FFFFCC"/>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6108-4854-834C-5764EEF50DCF}"/>
              </c:ext>
            </c:extLst>
          </c:dPt>
          <c:cat>
            <c:strRef>
              <c:f>'Cab Floorspace'!$A$37:$A$39</c:f>
              <c:strCache>
                <c:ptCount val="3"/>
                <c:pt idx="0">
                  <c:v>XKS (1st)</c:v>
                </c:pt>
                <c:pt idx="1">
                  <c:v>XKS (2nd)</c:v>
                </c:pt>
                <c:pt idx="2">
                  <c:v>XKS (3rd)</c:v>
                </c:pt>
              </c:strCache>
            </c:strRef>
          </c:cat>
          <c:val>
            <c:numRef>
              <c:f>'Cab Floorspace'!$L$37:$L$39</c:f>
              <c:numCache>
                <c:formatCode>0</c:formatCode>
                <c:ptCount val="3"/>
                <c:pt idx="0">
                  <c:v>0</c:v>
                </c:pt>
                <c:pt idx="1">
                  <c:v>0</c:v>
                </c:pt>
                <c:pt idx="2">
                  <c:v>0</c:v>
                </c:pt>
              </c:numCache>
            </c:numRef>
          </c:val>
          <c:extLst>
            <c:ext xmlns:c16="http://schemas.microsoft.com/office/drawing/2014/chart" uri="{C3380CC4-5D6E-409C-BE32-E72D297353CC}">
              <c16:uniqueId val="{00000002-1441-46DC-B660-348648AD4BF5}"/>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Floorspace'!$O$37:$O$39</c:f>
              <c:numCache>
                <c:formatCode>0</c:formatCode>
                <c:ptCount val="3"/>
                <c:pt idx="0">
                  <c:v>311.04000000000008</c:v>
                </c:pt>
                <c:pt idx="1">
                  <c:v>274.24</c:v>
                </c:pt>
                <c:pt idx="2">
                  <c:v>340.80000000000007</c:v>
                </c:pt>
              </c:numCache>
            </c:numRef>
          </c:val>
          <c:extLst>
            <c:ext xmlns:c16="http://schemas.microsoft.com/office/drawing/2014/chart" uri="{C3380CC4-5D6E-409C-BE32-E72D297353CC}">
              <c16:uniqueId val="{00000000-ABAD-40EF-AC65-53546D8F2C9D}"/>
            </c:ext>
          </c:extLst>
        </c:ser>
        <c:dLbls>
          <c:showLegendKey val="0"/>
          <c:showVal val="0"/>
          <c:showCatName val="0"/>
          <c:showSerName val="0"/>
          <c:showPercent val="0"/>
          <c:showBubbleSize val="0"/>
        </c:dLbls>
        <c:gapWidth val="150"/>
        <c:overlap val="100"/>
        <c:axId val="210357632"/>
        <c:axId val="210359424"/>
      </c:barChart>
      <c:catAx>
        <c:axId val="210357632"/>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359424"/>
        <c:crosses val="autoZero"/>
        <c:auto val="1"/>
        <c:lblAlgn val="ctr"/>
        <c:lblOffset val="100"/>
        <c:noMultiLvlLbl val="0"/>
      </c:catAx>
      <c:valAx>
        <c:axId val="210359424"/>
        <c:scaling>
          <c:orientation val="minMax"/>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57632"/>
        <c:crosses val="autoZero"/>
        <c:crossBetween val="between"/>
      </c:valAx>
      <c:spPr>
        <a:solidFill>
          <a:srgbClr val="E6E0EC"/>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3.5651429724106037E-2"/>
          <c:y val="0.14695339474398497"/>
          <c:w val="0.48574499328595871"/>
          <c:h val="0.7924203259746240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939-424B-918F-72078637A653}"/>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939-424B-918F-72078637A653}"/>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939-424B-918F-72078637A653}"/>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939-424B-918F-72078637A653}"/>
              </c:ext>
            </c:extLst>
          </c:dPt>
          <c:dLbls>
            <c:dLbl>
              <c:idx val="0"/>
              <c:layout>
                <c:manualLayout>
                  <c:x val="3.1234509943596563E-2"/>
                  <c:y val="2.82365226609890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39-424B-918F-72078637A653}"/>
                </c:ext>
              </c:extLst>
            </c:dLbl>
            <c:dLbl>
              <c:idx val="1"/>
              <c:layout>
                <c:manualLayout>
                  <c:x val="7.7885013713964914E-3"/>
                  <c:y val="2.1671299623108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39-424B-918F-72078637A653}"/>
                </c:ext>
              </c:extLst>
            </c:dLbl>
            <c:dLbl>
              <c:idx val="2"/>
              <c:layout>
                <c:manualLayout>
                  <c:x val="6.6072966618247103E-2"/>
                  <c:y val="4.57693614546108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939-424B-918F-72078637A653}"/>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939-424B-918F-72078637A653}"/>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367.98399999999998</c:v>
                </c:pt>
                <c:pt idx="1">
                  <c:v>0</c:v>
                </c:pt>
                <c:pt idx="2">
                  <c:v>1929.3970000000002</c:v>
                </c:pt>
              </c:numCache>
            </c:numRef>
          </c:val>
          <c:extLst>
            <c:ext xmlns:c16="http://schemas.microsoft.com/office/drawing/2014/chart" uri="{C3380CC4-5D6E-409C-BE32-E72D297353CC}">
              <c16:uniqueId val="{00000007-A939-424B-918F-72078637A653}"/>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3014609881952712"/>
          <c:y val="0.55567849347589915"/>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7764151950988195E-2"/>
          <c:y val="0.1581112972329487"/>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B1B3-4C01-B4CA-2985CCC178F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B1B3-4C01-B4CA-2985CCC178F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B1B3-4C01-B4CA-2985CCC178F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B1B3-4C01-B4CA-2985CCC178FD}"/>
              </c:ext>
            </c:extLst>
          </c:dPt>
          <c:dLbls>
            <c:dLbl>
              <c:idx val="0"/>
              <c:layout>
                <c:manualLayout>
                  <c:x val="-1.2710766018817939E-2"/>
                  <c:y val="-0.1431564798586013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B3-4C01-B4CA-2985CCC178FD}"/>
                </c:ext>
              </c:extLst>
            </c:dLbl>
            <c:dLbl>
              <c:idx val="1"/>
              <c:layout>
                <c:manualLayout>
                  <c:x val="3.910111864749443E-2"/>
                  <c:y val="1.56409961852250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1B3-4C01-B4CA-2985CCC178FD}"/>
                </c:ext>
              </c:extLst>
            </c:dLbl>
            <c:dLbl>
              <c:idx val="2"/>
              <c:layout>
                <c:manualLayout>
                  <c:x val="1.0894942301843947E-2"/>
                  <c:y val="0.331552031955823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1B3-4C01-B4CA-2985CCC178FD}"/>
                </c:ext>
              </c:extLst>
            </c:dLbl>
            <c:dLbl>
              <c:idx val="3"/>
              <c:layout>
                <c:manualLayout>
                  <c:x val="5.4474711509219734E-3"/>
                  <c:y val="0.2022333992391920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B1B3-4C01-B4CA-2985CCC178F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696.23750000000007</c:v>
                </c:pt>
                <c:pt idx="1">
                  <c:v>429.41639999999995</c:v>
                </c:pt>
                <c:pt idx="2">
                  <c:v>1605.9521</c:v>
                </c:pt>
              </c:numCache>
            </c:numRef>
          </c:val>
          <c:extLst>
            <c:ext xmlns:c16="http://schemas.microsoft.com/office/drawing/2014/chart" uri="{C3380CC4-5D6E-409C-BE32-E72D297353CC}">
              <c16:uniqueId val="{00000007-B1B3-4C01-B4CA-2985CCC178F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5.6067281915564435E-3"/>
          <c:y val="0.17430823046854696"/>
          <c:w val="0.59449353070390043"/>
          <c:h val="0.77916449366377516"/>
        </c:manualLayout>
      </c:layout>
      <c:pie3DChart>
        <c:varyColors val="1"/>
        <c:ser>
          <c:idx val="0"/>
          <c:order val="0"/>
          <c:spPr>
            <a:ln>
              <a:solidFill>
                <a:sysClr val="windowText" lastClr="000000"/>
              </a:solidFill>
            </a:ln>
          </c:spPr>
          <c:explosion val="5"/>
          <c:dPt>
            <c:idx val="0"/>
            <c:bubble3D val="0"/>
            <c:spPr>
              <a:solidFill>
                <a:srgbClr val="008000"/>
              </a:solidFill>
              <a:ln>
                <a:solidFill>
                  <a:sysClr val="windowText" lastClr="000000"/>
                </a:solidFill>
              </a:ln>
            </c:spPr>
            <c:extLst>
              <c:ext xmlns:c16="http://schemas.microsoft.com/office/drawing/2014/chart" uri="{C3380CC4-5D6E-409C-BE32-E72D297353CC}">
                <c16:uniqueId val="{00000001-5AA0-4667-B1D0-ABEB255057A5}"/>
              </c:ext>
            </c:extLst>
          </c:dPt>
          <c:dPt>
            <c:idx val="1"/>
            <c:bubble3D val="0"/>
            <c:spPr>
              <a:solidFill>
                <a:srgbClr val="92D050"/>
              </a:solidFill>
              <a:ln>
                <a:solidFill>
                  <a:sysClr val="windowText" lastClr="000000"/>
                </a:solidFill>
              </a:ln>
            </c:spPr>
            <c:extLst>
              <c:ext xmlns:c16="http://schemas.microsoft.com/office/drawing/2014/chart" uri="{C3380CC4-5D6E-409C-BE32-E72D297353CC}">
                <c16:uniqueId val="{00000003-5AA0-4667-B1D0-ABEB255057A5}"/>
              </c:ext>
            </c:extLst>
          </c:dPt>
          <c:dPt>
            <c:idx val="2"/>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5-5AA0-4667-B1D0-ABEB255057A5}"/>
              </c:ext>
            </c:extLst>
          </c:dPt>
          <c:dPt>
            <c:idx val="3"/>
            <c:bubble3D val="0"/>
            <c:spPr>
              <a:solidFill>
                <a:srgbClr val="F79646">
                  <a:lumMod val="60000"/>
                  <a:lumOff val="40000"/>
                </a:srgbClr>
              </a:solidFill>
              <a:ln>
                <a:solidFill>
                  <a:sysClr val="windowText" lastClr="000000"/>
                </a:solidFill>
              </a:ln>
            </c:spPr>
            <c:extLst>
              <c:ext xmlns:c16="http://schemas.microsoft.com/office/drawing/2014/chart" uri="{C3380CC4-5D6E-409C-BE32-E72D297353CC}">
                <c16:uniqueId val="{00000007-5AA0-4667-B1D0-ABEB255057A5}"/>
              </c:ext>
            </c:extLst>
          </c:dPt>
          <c:dPt>
            <c:idx val="4"/>
            <c:bubble3D val="0"/>
            <c:spPr>
              <a:solidFill>
                <a:srgbClr val="3A8ED5"/>
              </a:solidFill>
              <a:ln>
                <a:solidFill>
                  <a:sysClr val="windowText" lastClr="000000"/>
                </a:solidFill>
              </a:ln>
            </c:spPr>
            <c:extLst>
              <c:ext xmlns:c16="http://schemas.microsoft.com/office/drawing/2014/chart" uri="{C3380CC4-5D6E-409C-BE32-E72D297353CC}">
                <c16:uniqueId val="{00000009-5AA0-4667-B1D0-ABEB255057A5}"/>
              </c:ext>
            </c:extLst>
          </c:dPt>
          <c:dPt>
            <c:idx val="5"/>
            <c:bubble3D val="0"/>
            <c:spPr>
              <a:solidFill>
                <a:srgbClr val="1F497D">
                  <a:lumMod val="20000"/>
                  <a:lumOff val="80000"/>
                </a:srgbClr>
              </a:solidFill>
              <a:ln>
                <a:solidFill>
                  <a:sysClr val="windowText" lastClr="000000"/>
                </a:solidFill>
              </a:ln>
            </c:spPr>
            <c:extLst>
              <c:ext xmlns:c16="http://schemas.microsoft.com/office/drawing/2014/chart" uri="{C3380CC4-5D6E-409C-BE32-E72D297353CC}">
                <c16:uniqueId val="{0000000B-5AA0-4667-B1D0-ABEB255057A5}"/>
              </c:ext>
            </c:extLst>
          </c:dPt>
          <c:dPt>
            <c:idx val="6"/>
            <c:bubble3D val="0"/>
            <c:spPr>
              <a:solidFill>
                <a:srgbClr val="558ED5"/>
              </a:solidFill>
              <a:ln>
                <a:solidFill>
                  <a:sysClr val="windowText" lastClr="000000"/>
                </a:solidFill>
              </a:ln>
            </c:spPr>
            <c:extLst>
              <c:ext xmlns:c16="http://schemas.microsoft.com/office/drawing/2014/chart" uri="{C3380CC4-5D6E-409C-BE32-E72D297353CC}">
                <c16:uniqueId val="{0000000D-5276-4989-9338-FE6E5E4D04FB}"/>
              </c:ext>
            </c:extLst>
          </c:dPt>
          <c:dPt>
            <c:idx val="7"/>
            <c:bubble3D val="0"/>
            <c:spPr>
              <a:solidFill>
                <a:srgbClr val="4F81BD">
                  <a:lumMod val="60000"/>
                  <a:lumOff val="40000"/>
                </a:srgbClr>
              </a:solidFill>
              <a:ln>
                <a:solidFill>
                  <a:sysClr val="windowText" lastClr="000000"/>
                </a:solidFill>
              </a:ln>
            </c:spPr>
            <c:extLst>
              <c:ext xmlns:c16="http://schemas.microsoft.com/office/drawing/2014/chart" uri="{C3380CC4-5D6E-409C-BE32-E72D297353CC}">
                <c16:uniqueId val="{0000000F-5276-4989-9338-FE6E5E4D04FB}"/>
              </c:ext>
            </c:extLst>
          </c:dPt>
          <c:dLbls>
            <c:dLbl>
              <c:idx val="0"/>
              <c:layout>
                <c:manualLayout>
                  <c:x val="-7.4042658519202749E-3"/>
                  <c:y val="-5.122620247412100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AA0-4667-B1D0-ABEB255057A5}"/>
                </c:ext>
              </c:extLst>
            </c:dLbl>
            <c:dLbl>
              <c:idx val="1"/>
              <c:layout>
                <c:manualLayout>
                  <c:x val="4.1593535162794515E-2"/>
                  <c:y val="-9.5673474384278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A0-4667-B1D0-ABEB255057A5}"/>
                </c:ext>
              </c:extLst>
            </c:dLbl>
            <c:dLbl>
              <c:idx val="2"/>
              <c:layout>
                <c:manualLayout>
                  <c:x val="3.9399700415295211E-2"/>
                  <c:y val="1.33105161042571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AA0-4667-B1D0-ABEB255057A5}"/>
                </c:ext>
              </c:extLst>
            </c:dLbl>
            <c:dLbl>
              <c:idx val="3"/>
              <c:layout>
                <c:manualLayout>
                  <c:x val="-8.12740134623283E-3"/>
                  <c:y val="-7.692220621699621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AA0-4667-B1D0-ABEB255057A5}"/>
                </c:ext>
              </c:extLst>
            </c:dLbl>
            <c:dLbl>
              <c:idx val="4"/>
              <c:layout>
                <c:manualLayout>
                  <c:x val="-9.6960343949965035E-3"/>
                  <c:y val="-2.69230865975889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AA0-4667-B1D0-ABEB255057A5}"/>
                </c:ext>
              </c:extLst>
            </c:dLbl>
            <c:dLbl>
              <c:idx val="5"/>
              <c:layout>
                <c:manualLayout>
                  <c:x val="-1.1453250703011607E-2"/>
                  <c:y val="1.765372702835520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AA0-4667-B1D0-ABEB255057A5}"/>
                </c:ext>
              </c:extLst>
            </c:dLbl>
            <c:dLbl>
              <c:idx val="6"/>
              <c:layout>
                <c:manualLayout>
                  <c:x val="-2.3489242724187606E-2"/>
                  <c:y val="-4.536954638127078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276-4989-9338-FE6E5E4D04FB}"/>
                </c:ext>
              </c:extLst>
            </c:dLbl>
            <c:dLbl>
              <c:idx val="7"/>
              <c:layout>
                <c:manualLayout>
                  <c:x val="-5.8995730498555866E-3"/>
                  <c:y val="1.78757087063771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5276-4989-9338-FE6E5E4D04FB}"/>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figures'!$A$91:$A$96</c:f>
              <c:strCache>
                <c:ptCount val="6"/>
                <c:pt idx="0">
                  <c:v>CHE Total Technology Load</c:v>
                </c:pt>
                <c:pt idx="1">
                  <c:v>Strategic (Non- CHE) Total Technology Load</c:v>
                </c:pt>
                <c:pt idx="2">
                  <c:v>CHE Total Technology Reserved/Forecast</c:v>
                </c:pt>
                <c:pt idx="3">
                  <c:v>Strategic (Non-CHE) Total Technology Reserved/Forecast</c:v>
                </c:pt>
                <c:pt idx="4">
                  <c:v>CHE Remaining Power Capability</c:v>
                </c:pt>
                <c:pt idx="5">
                  <c:v>Strategic (Non- CHE) Remaining Power Capability</c:v>
                </c:pt>
              </c:strCache>
            </c:strRef>
          </c:cat>
          <c:val>
            <c:numRef>
              <c:f>'Power figures'!$B$91:$B$96</c:f>
              <c:numCache>
                <c:formatCode>0</c:formatCode>
                <c:ptCount val="6"/>
                <c:pt idx="0">
                  <c:v>1395.2</c:v>
                </c:pt>
                <c:pt idx="1">
                  <c:v>953.80450000000019</c:v>
                </c:pt>
                <c:pt idx="2">
                  <c:v>343.62795</c:v>
                </c:pt>
                <c:pt idx="3">
                  <c:v>56.412950000000002</c:v>
                </c:pt>
                <c:pt idx="4">
                  <c:v>0</c:v>
                </c:pt>
                <c:pt idx="5">
                  <c:v>0</c:v>
                </c:pt>
              </c:numCache>
            </c:numRef>
          </c:val>
          <c:extLst>
            <c:ext xmlns:c16="http://schemas.microsoft.com/office/drawing/2014/chart" uri="{C3380CC4-5D6E-409C-BE32-E72D297353CC}">
              <c16:uniqueId val="{0000000C-5AA0-4667-B1D0-ABEB255057A5}"/>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686209376421457"/>
          <c:y val="0.24824636570506747"/>
          <c:w val="0.34966831272946564"/>
          <c:h val="0.6859338658098747"/>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6.0824319908859198E-2"/>
          <c:y val="0.14135283504080581"/>
          <c:w val="0.48768136945401663"/>
          <c:h val="0.7952206058262136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E3B-450F-88EC-75917F64ECBF}"/>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E3B-450F-88EC-75917F64ECBF}"/>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E3B-450F-88EC-75917F64ECBF}"/>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E3B-450F-88EC-75917F64ECBF}"/>
              </c:ext>
            </c:extLst>
          </c:dPt>
          <c:dLbls>
            <c:dLbl>
              <c:idx val="0"/>
              <c:layout>
                <c:manualLayout>
                  <c:x val="3.87275233611587E-2"/>
                  <c:y val="2.520251866430622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E3B-450F-88EC-75917F64ECBF}"/>
                </c:ext>
              </c:extLst>
            </c:dLbl>
            <c:dLbl>
              <c:idx val="1"/>
              <c:layout>
                <c:manualLayout>
                  <c:x val="1.3554633176405546E-2"/>
                  <c:y val="4.20041977738437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E3B-450F-88EC-75917F64ECBF}"/>
                </c:ext>
              </c:extLst>
            </c:dLbl>
            <c:dLbl>
              <c:idx val="2"/>
              <c:layout>
                <c:manualLayout>
                  <c:x val="-1.7427385512521418E-2"/>
                  <c:y val="-1.88674918598951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E3B-450F-88EC-75917F64ECBF}"/>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E3B-450F-88EC-75917F64ECBF}"/>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367.98399999999998</c:v>
                </c:pt>
                <c:pt idx="1">
                  <c:v>0</c:v>
                </c:pt>
                <c:pt idx="2">
                  <c:v>1929.3970000000002</c:v>
                </c:pt>
              </c:numCache>
            </c:numRef>
          </c:val>
          <c:extLst>
            <c:ext xmlns:c16="http://schemas.microsoft.com/office/drawing/2014/chart" uri="{C3380CC4-5D6E-409C-BE32-E72D297353CC}">
              <c16:uniqueId val="{00000007-AE3B-450F-88EC-75917F64ECBF}"/>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176435582787474"/>
          <c:y val="0.55287821362430956"/>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5948328234014206E-2"/>
          <c:y val="0.16371185693612786"/>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150E-442C-92EB-11DBBCF1863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150E-442C-92EB-11DBBCF1863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150E-442C-92EB-11DBBCF1863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150E-442C-92EB-11DBBCF1863D}"/>
              </c:ext>
            </c:extLst>
          </c:dPt>
          <c:dLbls>
            <c:dLbl>
              <c:idx val="0"/>
              <c:layout>
                <c:manualLayout>
                  <c:x val="-2.9053179471583861E-2"/>
                  <c:y val="-0.1876187500565017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50E-442C-92EB-11DBBCF1863D}"/>
                </c:ext>
              </c:extLst>
            </c:dLbl>
            <c:dLbl>
              <c:idx val="1"/>
              <c:layout>
                <c:manualLayout>
                  <c:x val="6.9990453447680803E-2"/>
                  <c:y val="5.9410084752621779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0E-442C-92EB-11DBBCF1863D}"/>
                </c:ext>
              </c:extLst>
            </c:dLbl>
            <c:dLbl>
              <c:idx val="2"/>
              <c:layout>
                <c:manualLayout>
                  <c:x val="2.1789884603687894E-2"/>
                  <c:y val="0.34183809928469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50E-442C-92EB-11DBBCF1863D}"/>
                </c:ext>
              </c:extLst>
            </c:dLbl>
            <c:dLbl>
              <c:idx val="3"/>
              <c:layout>
                <c:manualLayout>
                  <c:x val="5.3571428571428572E-3"/>
                  <c:y val="0.2345388324256825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50E-442C-92EB-11DBBCF1863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696.23750000000007</c:v>
                </c:pt>
                <c:pt idx="1">
                  <c:v>429.41639999999995</c:v>
                </c:pt>
                <c:pt idx="2">
                  <c:v>1605.9521</c:v>
                </c:pt>
              </c:numCache>
            </c:numRef>
          </c:val>
          <c:extLst>
            <c:ext xmlns:c16="http://schemas.microsoft.com/office/drawing/2014/chart" uri="{C3380CC4-5D6E-409C-BE32-E72D297353CC}">
              <c16:uniqueId val="{00000007-150E-442C-92EB-11DBBCF1863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5307440594810351E-2"/>
          <c:y val="0.26677296880411155"/>
          <c:w val="0.51732863334636192"/>
          <c:h val="0.67835175738467002"/>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29AD-4963-8F56-8CCC9A61FE10}"/>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29AD-4963-8F56-8CCC9A61FE10}"/>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29AD-4963-8F56-8CCC9A61FE10}"/>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29AD-4963-8F56-8CCC9A61FE10}"/>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29AD-4963-8F56-8CCC9A61FE10}"/>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29AD-4963-8F56-8CCC9A61FE10}"/>
              </c:ext>
            </c:extLst>
          </c:dPt>
          <c:dLbls>
            <c:dLbl>
              <c:idx val="0"/>
              <c:layout>
                <c:manualLayout>
                  <c:x val="-2.1853169929729944E-2"/>
                  <c:y val="-0.2935092665577441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9AD-4963-8F56-8CCC9A61FE10}"/>
                </c:ext>
              </c:extLst>
            </c:dLbl>
            <c:dLbl>
              <c:idx val="1"/>
              <c:layout>
                <c:manualLayout>
                  <c:x val="-6.4443591094854658E-4"/>
                  <c:y val="-8.9234305915457591E-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AD-4963-8F56-8CCC9A61FE10}"/>
                </c:ext>
              </c:extLst>
            </c:dLbl>
            <c:dLbl>
              <c:idx val="2"/>
              <c:layout>
                <c:manualLayout>
                  <c:x val="1.8122976237924141E-2"/>
                  <c:y val="-1.84009637305038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AD-4963-8F56-8CCC9A61FE10}"/>
                </c:ext>
              </c:extLst>
            </c:dLbl>
            <c:dLbl>
              <c:idx val="3"/>
              <c:layout>
                <c:manualLayout>
                  <c:x val="3.3758101764789758E-2"/>
                  <c:y val="-0.1259175230214867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9AD-4963-8F56-8CCC9A61FE10}"/>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9AD-4963-8F56-8CCC9A61FE10}"/>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9AD-4963-8F56-8CCC9A61FE10}"/>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figures'!$C$91:$C$93</c:f>
              <c:strCache>
                <c:ptCount val="3"/>
                <c:pt idx="0">
                  <c:v>Total Technology Load</c:v>
                </c:pt>
                <c:pt idx="1">
                  <c:v>Total Technology Reserved/Forecast</c:v>
                </c:pt>
                <c:pt idx="2">
                  <c:v>Remaining Power Capability</c:v>
                </c:pt>
              </c:strCache>
            </c:strRef>
          </c:cat>
          <c:val>
            <c:numRef>
              <c:f>'Power figures'!$D$91:$D$93</c:f>
              <c:numCache>
                <c:formatCode>0</c:formatCode>
                <c:ptCount val="3"/>
                <c:pt idx="0">
                  <c:v>1395.2</c:v>
                </c:pt>
                <c:pt idx="1">
                  <c:v>343.62795</c:v>
                </c:pt>
                <c:pt idx="2">
                  <c:v>0</c:v>
                </c:pt>
              </c:numCache>
            </c:numRef>
          </c:val>
          <c:extLst>
            <c:ext xmlns:c16="http://schemas.microsoft.com/office/drawing/2014/chart" uri="{C3380CC4-5D6E-409C-BE32-E72D297353CC}">
              <c16:uniqueId val="{0000000C-29AD-4963-8F56-8CCC9A61FE10}"/>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9275590551181102E-2"/>
          <c:y val="0.2631204442091355"/>
          <c:w val="0.51494994433836772"/>
          <c:h val="0.67861223165823559"/>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F859-4D5B-86DF-D8DCA435B0C9}"/>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F859-4D5B-86DF-D8DCA435B0C9}"/>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F859-4D5B-86DF-D8DCA435B0C9}"/>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F859-4D5B-86DF-D8DCA435B0C9}"/>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F859-4D5B-86DF-D8DCA435B0C9}"/>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F859-4D5B-86DF-D8DCA435B0C9}"/>
              </c:ext>
            </c:extLst>
          </c:dPt>
          <c:dLbls>
            <c:dLbl>
              <c:idx val="0"/>
              <c:layout>
                <c:manualLayout>
                  <c:x val="-2.9759814644584253E-2"/>
                  <c:y val="-0.2242485298118911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59-4D5B-86DF-D8DCA435B0C9}"/>
                </c:ext>
              </c:extLst>
            </c:dLbl>
            <c:dLbl>
              <c:idx val="1"/>
              <c:layout>
                <c:manualLayout>
                  <c:x val="-4.579590625682782E-2"/>
                  <c:y val="-1.3867038113911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59-4D5B-86DF-D8DCA435B0C9}"/>
                </c:ext>
              </c:extLst>
            </c:dLbl>
            <c:dLbl>
              <c:idx val="2"/>
              <c:layout>
                <c:manualLayout>
                  <c:x val="1.1618257008347611E-2"/>
                  <c:y val="-0.1862365711986926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859-4D5B-86DF-D8DCA435B0C9}"/>
                </c:ext>
              </c:extLst>
            </c:dLbl>
            <c:dLbl>
              <c:idx val="3"/>
              <c:layout>
                <c:manualLayout>
                  <c:x val="2.4295313085864266E-2"/>
                  <c:y val="-0.2091406111544594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859-4D5B-86DF-D8DCA435B0C9}"/>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859-4D5B-86DF-D8DCA435B0C9}"/>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859-4D5B-86DF-D8DCA435B0C9}"/>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figures'!$E$91:$E$93</c:f>
              <c:strCache>
                <c:ptCount val="3"/>
                <c:pt idx="0">
                  <c:v>Total Technology Load</c:v>
                </c:pt>
                <c:pt idx="1">
                  <c:v>Total Technology Reserved/Forecast</c:v>
                </c:pt>
                <c:pt idx="2">
                  <c:v>Remaining Power Capability</c:v>
                </c:pt>
              </c:strCache>
            </c:strRef>
          </c:cat>
          <c:val>
            <c:numRef>
              <c:f>'Power figures'!$F$91:$F$93</c:f>
              <c:numCache>
                <c:formatCode>0</c:formatCode>
                <c:ptCount val="3"/>
                <c:pt idx="0">
                  <c:v>953.80450000000019</c:v>
                </c:pt>
                <c:pt idx="1">
                  <c:v>56.412950000000002</c:v>
                </c:pt>
                <c:pt idx="2">
                  <c:v>0</c:v>
                </c:pt>
              </c:numCache>
            </c:numRef>
          </c:val>
          <c:extLst>
            <c:ext xmlns:c16="http://schemas.microsoft.com/office/drawing/2014/chart" uri="{C3380CC4-5D6E-409C-BE32-E72D297353CC}">
              <c16:uniqueId val="{0000000C-F859-4D5B-86DF-D8DCA435B0C9}"/>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3596773201994675E-2"/>
          <c:y val="4.9425330308287732E-2"/>
          <c:w val="0.8263271435990287"/>
          <c:h val="0.85411098501246041"/>
        </c:manualLayout>
      </c:layout>
      <c:barChart>
        <c:barDir val="col"/>
        <c:grouping val="clustered"/>
        <c:varyColors val="0"/>
        <c:ser>
          <c:idx val="0"/>
          <c:order val="0"/>
          <c:tx>
            <c:strRef>
              <c:f>'PUE Values'!$B$32</c:f>
              <c:strCache>
                <c:ptCount val="1"/>
                <c:pt idx="0">
                  <c:v>July 16 PUE</c:v>
                </c:pt>
              </c:strCache>
            </c:strRef>
          </c:tx>
          <c:spPr>
            <a:solidFill>
              <a:srgbClr val="558ED5"/>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Values'!$B$33:$B$37</c:f>
              <c:numCache>
                <c:formatCode>0.00</c:formatCode>
                <c:ptCount val="5"/>
                <c:pt idx="0">
                  <c:v>1.46</c:v>
                </c:pt>
                <c:pt idx="1">
                  <c:v>1.76</c:v>
                </c:pt>
                <c:pt idx="2">
                  <c:v>2.02</c:v>
                </c:pt>
                <c:pt idx="3">
                  <c:v>1.74</c:v>
                </c:pt>
                <c:pt idx="4">
                  <c:v>1.49</c:v>
                </c:pt>
              </c:numCache>
            </c:numRef>
          </c:val>
          <c:extLst>
            <c:ext xmlns:c16="http://schemas.microsoft.com/office/drawing/2014/chart" uri="{C3380CC4-5D6E-409C-BE32-E72D297353CC}">
              <c16:uniqueId val="{00000000-D318-480D-96A0-A848C90C6AAE}"/>
            </c:ext>
          </c:extLst>
        </c:ser>
        <c:ser>
          <c:idx val="3"/>
          <c:order val="1"/>
          <c:tx>
            <c:strRef>
              <c:f>'PUE Values'!$E$32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Values'!$E$33:$E$37</c:f>
              <c:numCache>
                <c:formatCode>General</c:formatCode>
                <c:ptCount val="5"/>
              </c:numCache>
            </c:numRef>
          </c:val>
          <c:extLst>
            <c:ext xmlns:c16="http://schemas.microsoft.com/office/drawing/2014/chart" uri="{C3380CC4-5D6E-409C-BE32-E72D297353CC}">
              <c16:uniqueId val="{00000003-D318-480D-96A0-A848C90C6AAE}"/>
            </c:ext>
          </c:extLst>
        </c:ser>
        <c:ser>
          <c:idx val="4"/>
          <c:order val="2"/>
          <c:tx>
            <c:strRef>
              <c:f>'PUE Values'!$F$32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Values'!$F$33:$F$37</c:f>
              <c:numCache>
                <c:formatCode>General</c:formatCode>
                <c:ptCount val="5"/>
              </c:numCache>
            </c:numRef>
          </c:val>
          <c:extLst>
            <c:ext xmlns:c16="http://schemas.microsoft.com/office/drawing/2014/chart" uri="{C3380CC4-5D6E-409C-BE32-E72D297353CC}">
              <c16:uniqueId val="{00000004-D318-480D-96A0-A848C90C6AAE}"/>
            </c:ext>
          </c:extLst>
        </c:ser>
        <c:ser>
          <c:idx val="5"/>
          <c:order val="3"/>
          <c:tx>
            <c:strRef>
              <c:f>'PUE Values'!$C$32</c:f>
              <c:strCache>
                <c:ptCount val="1"/>
                <c:pt idx="0">
                  <c:v>July 17 PUE</c:v>
                </c:pt>
              </c:strCache>
            </c:strRef>
          </c:tx>
          <c:spPr>
            <a:solidFill>
              <a:srgbClr val="C00000"/>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Values'!$C$33:$C$37</c:f>
              <c:numCache>
                <c:formatCode>0.00</c:formatCode>
                <c:ptCount val="5"/>
                <c:pt idx="0">
                  <c:v>1.4</c:v>
                </c:pt>
                <c:pt idx="1">
                  <c:v>1.89</c:v>
                </c:pt>
                <c:pt idx="2">
                  <c:v>1.99</c:v>
                </c:pt>
                <c:pt idx="3">
                  <c:v>1.81</c:v>
                </c:pt>
                <c:pt idx="4">
                  <c:v>1.49</c:v>
                </c:pt>
              </c:numCache>
            </c:numRef>
          </c:val>
          <c:extLst>
            <c:ext xmlns:c16="http://schemas.microsoft.com/office/drawing/2014/chart" uri="{C3380CC4-5D6E-409C-BE32-E72D297353CC}">
              <c16:uniqueId val="{00000005-D318-480D-96A0-A848C90C6AAE}"/>
            </c:ext>
          </c:extLst>
        </c:ser>
        <c:dLbls>
          <c:showLegendKey val="0"/>
          <c:showVal val="0"/>
          <c:showCatName val="0"/>
          <c:showSerName val="0"/>
          <c:showPercent val="0"/>
          <c:showBubbleSize val="0"/>
        </c:dLbls>
        <c:gapWidth val="150"/>
        <c:axId val="211659008"/>
        <c:axId val="211660800"/>
      </c:barChart>
      <c:catAx>
        <c:axId val="211659008"/>
        <c:scaling>
          <c:orientation val="minMax"/>
        </c:scaling>
        <c:delete val="0"/>
        <c:axPos val="b"/>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1660800"/>
        <c:crosses val="autoZero"/>
        <c:auto val="1"/>
        <c:lblAlgn val="ctr"/>
        <c:lblOffset val="100"/>
        <c:noMultiLvlLbl val="0"/>
      </c:catAx>
      <c:valAx>
        <c:axId val="211660800"/>
        <c:scaling>
          <c:orientation val="minMax"/>
          <c:max val="2.2000000000000002"/>
          <c:min val="1.2"/>
        </c:scaling>
        <c:delete val="0"/>
        <c:axPos val="l"/>
        <c:majorGridlines/>
        <c:numFmt formatCode="0.00" sourceLinked="0"/>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1659008"/>
        <c:crosses val="autoZero"/>
        <c:crossBetween val="between"/>
        <c:majorUnit val="0.1"/>
      </c:valAx>
      <c:spPr>
        <a:solidFill>
          <a:srgbClr val="E6E0EC"/>
        </a:solidFill>
      </c:spPr>
    </c:plotArea>
    <c:legend>
      <c:legendPos val="r"/>
      <c:legendEntry>
        <c:idx val="0"/>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90781634149801549"/>
          <c:y val="0.39482366976855165"/>
          <c:w val="8.6721309747934114E-2"/>
          <c:h val="0.21529181579575279"/>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9196850393700793E-2"/>
          <c:y val="2.8252405949256341E-2"/>
          <c:w val="0.82945669291338586"/>
          <c:h val="0.87113817439486729"/>
        </c:manualLayout>
      </c:layout>
      <c:barChart>
        <c:barDir val="col"/>
        <c:grouping val="clustered"/>
        <c:varyColors val="0"/>
        <c:ser>
          <c:idx val="0"/>
          <c:order val="0"/>
          <c:tx>
            <c:strRef>
              <c:f>'PUE Values'!$B$22</c:f>
              <c:strCache>
                <c:ptCount val="1"/>
                <c:pt idx="0">
                  <c:v>July 16 PUE</c:v>
                </c:pt>
              </c:strCache>
            </c:strRef>
          </c:tx>
          <c:spPr>
            <a:solidFill>
              <a:srgbClr val="558ED5"/>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Values'!$B$23:$B$31</c:f>
              <c:numCache>
                <c:formatCode>0.00</c:formatCode>
                <c:ptCount val="9"/>
                <c:pt idx="0">
                  <c:v>1.55</c:v>
                </c:pt>
                <c:pt idx="1">
                  <c:v>1.48</c:v>
                </c:pt>
                <c:pt idx="2">
                  <c:v>1.53</c:v>
                </c:pt>
                <c:pt idx="3">
                  <c:v>1.4</c:v>
                </c:pt>
                <c:pt idx="4">
                  <c:v>1.73</c:v>
                </c:pt>
                <c:pt idx="5">
                  <c:v>1.56</c:v>
                </c:pt>
                <c:pt idx="6">
                  <c:v>1.49</c:v>
                </c:pt>
                <c:pt idx="7">
                  <c:v>1.54</c:v>
                </c:pt>
                <c:pt idx="8">
                  <c:v>1.52</c:v>
                </c:pt>
              </c:numCache>
            </c:numRef>
          </c:val>
          <c:extLst>
            <c:ext xmlns:c16="http://schemas.microsoft.com/office/drawing/2014/chart" uri="{C3380CC4-5D6E-409C-BE32-E72D297353CC}">
              <c16:uniqueId val="{00000000-97D1-4C00-96B1-7790091DFCBE}"/>
            </c:ext>
          </c:extLst>
        </c:ser>
        <c:ser>
          <c:idx val="1"/>
          <c:order val="1"/>
          <c:tx>
            <c:strRef>
              <c:f>'PUE Values'!$C$22</c:f>
              <c:strCache>
                <c:ptCount val="1"/>
                <c:pt idx="0">
                  <c:v>July 17 PUE</c:v>
                </c:pt>
              </c:strCache>
            </c:strRef>
          </c:tx>
          <c:spPr>
            <a:solidFill>
              <a:srgbClr val="C00000"/>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Values'!$C$23:$C$31</c:f>
              <c:numCache>
                <c:formatCode>General</c:formatCode>
                <c:ptCount val="9"/>
                <c:pt idx="0">
                  <c:v>1.58</c:v>
                </c:pt>
                <c:pt idx="1">
                  <c:v>1.51</c:v>
                </c:pt>
                <c:pt idx="2" formatCode="0.00">
                  <c:v>1.52</c:v>
                </c:pt>
                <c:pt idx="3">
                  <c:v>1.42</c:v>
                </c:pt>
                <c:pt idx="4">
                  <c:v>2.06</c:v>
                </c:pt>
                <c:pt idx="5">
                  <c:v>1.44</c:v>
                </c:pt>
                <c:pt idx="6" formatCode="0.00">
                  <c:v>1.5</c:v>
                </c:pt>
                <c:pt idx="7">
                  <c:v>1.49</c:v>
                </c:pt>
                <c:pt idx="8" formatCode="0.00">
                  <c:v>1.5</c:v>
                </c:pt>
              </c:numCache>
            </c:numRef>
          </c:val>
          <c:extLst>
            <c:ext xmlns:c16="http://schemas.microsoft.com/office/drawing/2014/chart" uri="{C3380CC4-5D6E-409C-BE32-E72D297353CC}">
              <c16:uniqueId val="{00000001-97D1-4C00-96B1-7790091DFCBE}"/>
            </c:ext>
          </c:extLst>
        </c:ser>
        <c:dLbls>
          <c:showLegendKey val="0"/>
          <c:showVal val="0"/>
          <c:showCatName val="0"/>
          <c:showSerName val="0"/>
          <c:showPercent val="0"/>
          <c:showBubbleSize val="0"/>
        </c:dLbls>
        <c:gapWidth val="100"/>
        <c:axId val="212490496"/>
        <c:axId val="212492288"/>
      </c:barChart>
      <c:catAx>
        <c:axId val="212490496"/>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12492288"/>
        <c:crosses val="autoZero"/>
        <c:auto val="1"/>
        <c:lblAlgn val="ctr"/>
        <c:lblOffset val="100"/>
        <c:noMultiLvlLbl val="0"/>
      </c:catAx>
      <c:valAx>
        <c:axId val="212492288"/>
        <c:scaling>
          <c:orientation val="minMax"/>
          <c:min val="1.2"/>
        </c:scaling>
        <c:delete val="0"/>
        <c:axPos val="l"/>
        <c:majorGridlines/>
        <c:numFmt formatCode="0.00" sourceLinked="1"/>
        <c:majorTickMark val="out"/>
        <c:minorTickMark val="none"/>
        <c:tickLblPos val="nextTo"/>
        <c:txPr>
          <a:bodyPr/>
          <a:lstStyle/>
          <a:p>
            <a:pPr>
              <a:defRPr sz="1600">
                <a:latin typeface="Vodafone Lt" panose="020B0606040202020204" pitchFamily="34" charset="0"/>
              </a:defRPr>
            </a:pPr>
            <a:endParaRPr lang="en-US"/>
          </a:p>
        </c:txPr>
        <c:crossAx val="212490496"/>
        <c:crosses val="autoZero"/>
        <c:crossBetween val="between"/>
      </c:valAx>
      <c:spPr>
        <a:solidFill>
          <a:srgbClr val="E6E0EC"/>
        </a:solidFill>
      </c:spPr>
    </c:plotArea>
    <c:legend>
      <c:legendPos val="r"/>
      <c:layout>
        <c:manualLayout>
          <c:xMode val="edge"/>
          <c:yMode val="edge"/>
          <c:x val="0.90751461779141152"/>
          <c:y val="0.3397543307086614"/>
          <c:w val="8.7128215990654415E-2"/>
          <c:h val="0.21382467191601051"/>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407713866275187E-2"/>
          <c:y val="5.3756248666796506E-2"/>
          <c:w val="0.68141230222920046"/>
          <c:h val="0.73426671651182429"/>
        </c:manualLayout>
      </c:layout>
      <c:barChart>
        <c:barDir val="col"/>
        <c:grouping val="stacked"/>
        <c:varyColors val="0"/>
        <c:ser>
          <c:idx val="0"/>
          <c:order val="0"/>
          <c:tx>
            <c:strRef>
              <c:f>'Power figures'!$B$59</c:f>
              <c:strCache>
                <c:ptCount val="1"/>
                <c:pt idx="0">
                  <c:v>Inverter Usage (kW)</c:v>
                </c:pt>
              </c:strCache>
            </c:strRef>
          </c:tx>
          <c:spPr>
            <a:solidFill>
              <a:srgbClr val="FF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figures'!$B$60:$B$70</c:f>
              <c:numCache>
                <c:formatCode>0.00</c:formatCode>
                <c:ptCount val="11"/>
                <c:pt idx="0">
                  <c:v>1.2535000000000001</c:v>
                </c:pt>
                <c:pt idx="1">
                  <c:v>0.25070000000000003</c:v>
                </c:pt>
                <c:pt idx="2">
                  <c:v>1.2535000000000001</c:v>
                </c:pt>
                <c:pt idx="3">
                  <c:v>1.7549000000000001</c:v>
                </c:pt>
                <c:pt idx="4">
                  <c:v>0.50140000000000007</c:v>
                </c:pt>
                <c:pt idx="5">
                  <c:v>1.7549000000000001</c:v>
                </c:pt>
                <c:pt idx="6">
                  <c:v>1.5042</c:v>
                </c:pt>
                <c:pt idx="7">
                  <c:v>10.278700000000001</c:v>
                </c:pt>
                <c:pt idx="8">
                  <c:v>1.0028000000000001</c:v>
                </c:pt>
                <c:pt idx="9">
                  <c:v>1.7549000000000001</c:v>
                </c:pt>
                <c:pt idx="10">
                  <c:v>0</c:v>
                </c:pt>
              </c:numCache>
            </c:numRef>
          </c:val>
          <c:extLst>
            <c:ext xmlns:c16="http://schemas.microsoft.com/office/drawing/2014/chart" uri="{C3380CC4-5D6E-409C-BE32-E72D297353CC}">
              <c16:uniqueId val="{00000000-8FB8-4DEF-8542-710F6A05742A}"/>
            </c:ext>
          </c:extLst>
        </c:ser>
        <c:ser>
          <c:idx val="1"/>
          <c:order val="1"/>
          <c:tx>
            <c:strRef>
              <c:f>'Power figures'!$C$59</c:f>
              <c:strCache>
                <c:ptCount val="1"/>
                <c:pt idx="0">
                  <c:v>DC Usage (kW)</c:v>
                </c:pt>
              </c:strCache>
            </c:strRef>
          </c:tx>
          <c:spPr>
            <a:solidFill>
              <a:srgbClr val="008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figures'!$C$60:$C$70</c:f>
              <c:numCache>
                <c:formatCode>0</c:formatCode>
                <c:ptCount val="11"/>
                <c:pt idx="0">
                  <c:v>39.294499999999999</c:v>
                </c:pt>
                <c:pt idx="1">
                  <c:v>39.185499999999998</c:v>
                </c:pt>
                <c:pt idx="2">
                  <c:v>44.69</c:v>
                </c:pt>
                <c:pt idx="3">
                  <c:v>31.1631</c:v>
                </c:pt>
                <c:pt idx="4">
                  <c:v>9.0360999999999994</c:v>
                </c:pt>
                <c:pt idx="5">
                  <c:v>59.339599999999997</c:v>
                </c:pt>
                <c:pt idx="6">
                  <c:v>42.422800000000002</c:v>
                </c:pt>
                <c:pt idx="7">
                  <c:v>22.966299999999997</c:v>
                </c:pt>
                <c:pt idx="8">
                  <c:v>19.1295</c:v>
                </c:pt>
                <c:pt idx="9">
                  <c:v>42.499099999999999</c:v>
                </c:pt>
                <c:pt idx="10">
                  <c:v>39.567</c:v>
                </c:pt>
              </c:numCache>
            </c:numRef>
          </c:val>
          <c:extLst>
            <c:ext xmlns:c16="http://schemas.microsoft.com/office/drawing/2014/chart" uri="{C3380CC4-5D6E-409C-BE32-E72D297353CC}">
              <c16:uniqueId val="{00000001-8FB8-4DEF-8542-710F6A05742A}"/>
            </c:ext>
          </c:extLst>
        </c:ser>
        <c:ser>
          <c:idx val="2"/>
          <c:order val="2"/>
          <c:tx>
            <c:strRef>
              <c:f>'Power figures'!$D$59</c:f>
              <c:strCache>
                <c:ptCount val="1"/>
                <c:pt idx="0">
                  <c:v>Reserved (kW)</c:v>
                </c:pt>
              </c:strCache>
            </c:strRef>
          </c:tx>
          <c:spPr>
            <a:solidFill>
              <a:srgbClr val="F79646">
                <a:lumMod val="75000"/>
              </a:srgbClr>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figures'!$D$60:$D$70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8FB8-4DEF-8542-710F6A05742A}"/>
            </c:ext>
          </c:extLst>
        </c:ser>
        <c:ser>
          <c:idx val="3"/>
          <c:order val="3"/>
          <c:tx>
            <c:strRef>
              <c:f>'Power figures'!$E$59</c:f>
              <c:strCache>
                <c:ptCount val="1"/>
                <c:pt idx="0">
                  <c:v>Forecast (kW)</c:v>
                </c:pt>
              </c:strCache>
            </c:strRef>
          </c:tx>
          <c:spPr>
            <a:solidFill>
              <a:srgbClr val="80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figures'!$E$60:$E$70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FB8-4DEF-8542-710F6A05742A}"/>
            </c:ext>
          </c:extLst>
        </c:ser>
        <c:ser>
          <c:idx val="4"/>
          <c:order val="4"/>
          <c:tx>
            <c:strRef>
              <c:f>'Power figures'!$F$59</c:f>
              <c:strCache>
                <c:ptCount val="1"/>
                <c:pt idx="0">
                  <c:v>Remaining Capacity (kW)</c:v>
                </c:pt>
              </c:strCache>
            </c:strRef>
          </c:tx>
          <c:spPr>
            <a:solidFill>
              <a:srgbClr val="0070C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figures'!$F$60:$F$70</c:f>
              <c:numCache>
                <c:formatCode>0</c:formatCode>
                <c:ptCount val="11"/>
                <c:pt idx="0">
                  <c:v>189.452</c:v>
                </c:pt>
                <c:pt idx="1">
                  <c:v>190.56380000000001</c:v>
                </c:pt>
                <c:pt idx="2">
                  <c:v>183.0565</c:v>
                </c:pt>
                <c:pt idx="3">
                  <c:v>197.08199999999999</c:v>
                </c:pt>
                <c:pt idx="4">
                  <c:v>52.462500000000006</c:v>
                </c:pt>
                <c:pt idx="5">
                  <c:v>168.90550000000002</c:v>
                </c:pt>
                <c:pt idx="6">
                  <c:v>243.07299999999998</c:v>
                </c:pt>
                <c:pt idx="7">
                  <c:v>196.755</c:v>
                </c:pt>
                <c:pt idx="8">
                  <c:v>190.86769999999999</c:v>
                </c:pt>
                <c:pt idx="9">
                  <c:v>185.74600000000001</c:v>
                </c:pt>
                <c:pt idx="10">
                  <c:v>131.43299999999999</c:v>
                </c:pt>
              </c:numCache>
            </c:numRef>
          </c:val>
          <c:extLst>
            <c:ext xmlns:c16="http://schemas.microsoft.com/office/drawing/2014/chart" uri="{C3380CC4-5D6E-409C-BE32-E72D297353CC}">
              <c16:uniqueId val="{00000000-2251-4BF8-9539-E99833E9A108}"/>
            </c:ext>
          </c:extLst>
        </c:ser>
        <c:dLbls>
          <c:showLegendKey val="0"/>
          <c:showVal val="0"/>
          <c:showCatName val="0"/>
          <c:showSerName val="0"/>
          <c:showPercent val="0"/>
          <c:showBubbleSize val="0"/>
        </c:dLbls>
        <c:gapWidth val="68"/>
        <c:overlap val="100"/>
        <c:axId val="212459904"/>
        <c:axId val="212461440"/>
      </c:barChart>
      <c:catAx>
        <c:axId val="212459904"/>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12461440"/>
        <c:crosses val="autoZero"/>
        <c:auto val="1"/>
        <c:lblAlgn val="ctr"/>
        <c:lblOffset val="100"/>
        <c:noMultiLvlLbl val="0"/>
      </c:catAx>
      <c:valAx>
        <c:axId val="212461440"/>
        <c:scaling>
          <c:orientation val="minMax"/>
          <c:max val="350"/>
          <c:min val="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2459904"/>
        <c:crosses val="autoZero"/>
        <c:crossBetween val="between"/>
      </c:valAx>
      <c:spPr>
        <a:solidFill>
          <a:srgbClr val="8064A2">
            <a:lumMod val="20000"/>
            <a:lumOff val="80000"/>
          </a:srgbClr>
        </a:solidFill>
      </c:spPr>
    </c:plotArea>
    <c:legend>
      <c:legendPos val="r"/>
      <c:layout>
        <c:manualLayout>
          <c:xMode val="edge"/>
          <c:yMode val="edge"/>
          <c:x val="0.77492443295334357"/>
          <c:y val="0.11893362923130543"/>
          <c:w val="0.1963722255001259"/>
          <c:h val="0.50032507927459291"/>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263757130859893"/>
          <c:y val="0.16101118939079984"/>
          <c:w val="0.57545491175152597"/>
          <c:h val="0.73032652081924665"/>
        </c:manualLayout>
      </c:layout>
      <c:barChart>
        <c:barDir val="col"/>
        <c:grouping val="stacked"/>
        <c:varyColors val="0"/>
        <c:ser>
          <c:idx val="0"/>
          <c:order val="0"/>
          <c:tx>
            <c:strRef>
              <c:f>'Inverter Loading'!$B$112</c:f>
              <c:strCache>
                <c:ptCount val="1"/>
                <c:pt idx="0">
                  <c:v>System Load (A)</c:v>
                </c:pt>
              </c:strCache>
            </c:strRef>
          </c:tx>
          <c:spPr>
            <a:solidFill>
              <a:srgbClr val="008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Loading'!$B$113:$B$115</c:f>
              <c:numCache>
                <c:formatCode>General</c:formatCode>
                <c:ptCount val="3"/>
                <c:pt idx="0">
                  <c:v>50</c:v>
                </c:pt>
                <c:pt idx="1">
                  <c:v>39</c:v>
                </c:pt>
                <c:pt idx="2">
                  <c:v>55</c:v>
                </c:pt>
              </c:numCache>
            </c:numRef>
          </c:val>
          <c:extLst>
            <c:ext xmlns:c16="http://schemas.microsoft.com/office/drawing/2014/chart" uri="{C3380CC4-5D6E-409C-BE32-E72D297353CC}">
              <c16:uniqueId val="{00000000-9C17-4CD0-87C7-E8877F16F66E}"/>
            </c:ext>
          </c:extLst>
        </c:ser>
        <c:ser>
          <c:idx val="1"/>
          <c:order val="1"/>
          <c:tx>
            <c:strRef>
              <c:f>'Inverter Loading'!$C$112</c:f>
              <c:strCache>
                <c:ptCount val="1"/>
                <c:pt idx="0">
                  <c:v>Forecast (A)</c:v>
                </c:pt>
              </c:strCache>
            </c:strRef>
          </c:tx>
          <c:spPr>
            <a:solidFill>
              <a:srgbClr val="800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Loading'!$C$113:$C$115</c:f>
              <c:numCache>
                <c:formatCode>General</c:formatCode>
                <c:ptCount val="3"/>
                <c:pt idx="0">
                  <c:v>0</c:v>
                </c:pt>
                <c:pt idx="1">
                  <c:v>0</c:v>
                </c:pt>
                <c:pt idx="2">
                  <c:v>0</c:v>
                </c:pt>
              </c:numCache>
            </c:numRef>
          </c:val>
          <c:extLst>
            <c:ext xmlns:c16="http://schemas.microsoft.com/office/drawing/2014/chart" uri="{C3380CC4-5D6E-409C-BE32-E72D297353CC}">
              <c16:uniqueId val="{00000001-9C17-4CD0-87C7-E8877F16F66E}"/>
            </c:ext>
          </c:extLst>
        </c:ser>
        <c:ser>
          <c:idx val="2"/>
          <c:order val="2"/>
          <c:tx>
            <c:strRef>
              <c:f>'Inverter Loading'!$D$112</c:f>
              <c:strCache>
                <c:ptCount val="1"/>
                <c:pt idx="0">
                  <c:v>Remaining Capacity (A)</c:v>
                </c:pt>
              </c:strCache>
            </c:strRef>
          </c:tx>
          <c:spPr>
            <a:solidFill>
              <a:srgbClr val="FFFFCC"/>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Loading'!$D$113:$D$115</c:f>
              <c:numCache>
                <c:formatCode>General</c:formatCode>
                <c:ptCount val="3"/>
                <c:pt idx="0">
                  <c:v>80</c:v>
                </c:pt>
                <c:pt idx="1">
                  <c:v>91</c:v>
                </c:pt>
                <c:pt idx="2">
                  <c:v>75</c:v>
                </c:pt>
              </c:numCache>
            </c:numRef>
          </c:val>
          <c:extLst>
            <c:ext xmlns:c16="http://schemas.microsoft.com/office/drawing/2014/chart" uri="{C3380CC4-5D6E-409C-BE32-E72D297353CC}">
              <c16:uniqueId val="{00000002-9C17-4CD0-87C7-E8877F16F66E}"/>
            </c:ext>
          </c:extLst>
        </c:ser>
        <c:dLbls>
          <c:showLegendKey val="0"/>
          <c:showVal val="0"/>
          <c:showCatName val="0"/>
          <c:showSerName val="0"/>
          <c:showPercent val="0"/>
          <c:showBubbleSize val="0"/>
        </c:dLbls>
        <c:gapWidth val="20"/>
        <c:overlap val="100"/>
        <c:axId val="212185856"/>
        <c:axId val="212187392"/>
      </c:barChart>
      <c:catAx>
        <c:axId val="212185856"/>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7392"/>
        <c:crosses val="autoZero"/>
        <c:auto val="1"/>
        <c:lblAlgn val="ctr"/>
        <c:lblOffset val="100"/>
        <c:noMultiLvlLbl val="0"/>
      </c:catAx>
      <c:valAx>
        <c:axId val="2121873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5856"/>
        <c:crosses val="autoZero"/>
        <c:crossBetween val="between"/>
      </c:valAx>
      <c:spPr>
        <a:solidFill>
          <a:srgbClr val="8064A2">
            <a:lumMod val="20000"/>
            <a:lumOff val="80000"/>
          </a:srgbClr>
        </a:solidFill>
      </c:spPr>
    </c:plotArea>
    <c:legend>
      <c:legendPos val="r"/>
      <c:layout>
        <c:manualLayout>
          <c:xMode val="edge"/>
          <c:yMode val="edge"/>
          <c:x val="0.69331512751657487"/>
          <c:y val="0.24263155395993849"/>
          <c:w val="0.30097310090573937"/>
          <c:h val="0.38833336968612997"/>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657811953750844"/>
          <c:y val="0.1954050985918159"/>
          <c:w val="0.62148931920247963"/>
          <c:h val="0.71158442694663171"/>
        </c:manualLayout>
      </c:layout>
      <c:barChart>
        <c:barDir val="col"/>
        <c:grouping val="stacked"/>
        <c:varyColors val="0"/>
        <c:ser>
          <c:idx val="0"/>
          <c:order val="0"/>
          <c:tx>
            <c:strRef>
              <c:f>'Cab Floorspace'!$B$84</c:f>
              <c:strCache>
                <c:ptCount val="1"/>
                <c:pt idx="0">
                  <c:v>Used (m²)</c:v>
                </c:pt>
              </c:strCache>
            </c:strRef>
          </c:tx>
          <c:spPr>
            <a:solidFill>
              <a:srgbClr val="008000"/>
            </a:solidFill>
            <a:ln>
              <a:solidFill>
                <a:sysClr val="windowText" lastClr="000000"/>
              </a:solidFill>
            </a:ln>
          </c:spPr>
          <c:invertIfNegative val="0"/>
          <c:val>
            <c:numRef>
              <c:f>'Cab Floorspace'!$B$85</c:f>
              <c:numCache>
                <c:formatCode>0</c:formatCode>
                <c:ptCount val="1"/>
                <c:pt idx="0">
                  <c:v>48.96</c:v>
                </c:pt>
              </c:numCache>
            </c:numRef>
          </c:val>
          <c:extLst>
            <c:ext xmlns:c16="http://schemas.microsoft.com/office/drawing/2014/chart" uri="{C3380CC4-5D6E-409C-BE32-E72D297353CC}">
              <c16:uniqueId val="{00000000-B5B3-4F5F-B45B-1A7C3CD5DD19}"/>
            </c:ext>
          </c:extLst>
        </c:ser>
        <c:ser>
          <c:idx val="1"/>
          <c:order val="1"/>
          <c:tx>
            <c:strRef>
              <c:f>'Cab Floorspace'!$C$84</c:f>
              <c:strCache>
                <c:ptCount val="1"/>
                <c:pt idx="0">
                  <c:v>Forecast (m²)</c:v>
                </c:pt>
              </c:strCache>
            </c:strRef>
          </c:tx>
          <c:spPr>
            <a:solidFill>
              <a:srgbClr val="800000"/>
            </a:solidFill>
            <a:ln>
              <a:solidFill>
                <a:sysClr val="windowText" lastClr="000000"/>
              </a:solidFill>
            </a:ln>
          </c:spPr>
          <c:invertIfNegative val="0"/>
          <c:val>
            <c:numRef>
              <c:f>'Cab Floorspace'!$C$85</c:f>
              <c:numCache>
                <c:formatCode>0</c:formatCode>
                <c:ptCount val="1"/>
                <c:pt idx="0">
                  <c:v>0</c:v>
                </c:pt>
              </c:numCache>
            </c:numRef>
          </c:val>
          <c:extLst>
            <c:ext xmlns:c16="http://schemas.microsoft.com/office/drawing/2014/chart" uri="{C3380CC4-5D6E-409C-BE32-E72D297353CC}">
              <c16:uniqueId val="{00000001-B5B3-4F5F-B45B-1A7C3CD5DD19}"/>
            </c:ext>
          </c:extLst>
        </c:ser>
        <c:ser>
          <c:idx val="2"/>
          <c:order val="2"/>
          <c:tx>
            <c:strRef>
              <c:f>'Cab Floorspace'!$D$84</c:f>
              <c:strCache>
                <c:ptCount val="1"/>
                <c:pt idx="0">
                  <c:v>Remaining (m²)</c:v>
                </c:pt>
              </c:strCache>
            </c:strRef>
          </c:tx>
          <c:spPr>
            <a:solidFill>
              <a:srgbClr val="FFFFCC"/>
            </a:solidFill>
            <a:ln>
              <a:solidFill>
                <a:sysClr val="windowText" lastClr="000000"/>
              </a:solidFill>
            </a:ln>
          </c:spPr>
          <c:invertIfNegative val="0"/>
          <c:val>
            <c:numRef>
              <c:f>'Cab Floorspace'!$D$85</c:f>
              <c:numCache>
                <c:formatCode>0</c:formatCode>
                <c:ptCount val="1"/>
                <c:pt idx="0">
                  <c:v>3.84</c:v>
                </c:pt>
              </c:numCache>
            </c:numRef>
          </c:val>
          <c:extLst>
            <c:ext xmlns:c16="http://schemas.microsoft.com/office/drawing/2014/chart" uri="{C3380CC4-5D6E-409C-BE32-E72D297353CC}">
              <c16:uniqueId val="{00000002-B5B3-4F5F-B45B-1A7C3CD5DD19}"/>
            </c:ext>
          </c:extLst>
        </c:ser>
        <c:dLbls>
          <c:showLegendKey val="0"/>
          <c:showVal val="0"/>
          <c:showCatName val="0"/>
          <c:showSerName val="0"/>
          <c:showPercent val="0"/>
          <c:showBubbleSize val="0"/>
        </c:dLbls>
        <c:gapWidth val="150"/>
        <c:overlap val="100"/>
        <c:axId val="212227968"/>
        <c:axId val="212229504"/>
      </c:barChart>
      <c:catAx>
        <c:axId val="212227968"/>
        <c:scaling>
          <c:orientation val="minMax"/>
        </c:scaling>
        <c:delete val="1"/>
        <c:axPos val="b"/>
        <c:majorTickMark val="out"/>
        <c:minorTickMark val="none"/>
        <c:tickLblPos val="nextTo"/>
        <c:crossAx val="212229504"/>
        <c:crosses val="autoZero"/>
        <c:auto val="1"/>
        <c:lblAlgn val="ctr"/>
        <c:lblOffset val="100"/>
        <c:noMultiLvlLbl val="0"/>
      </c:catAx>
      <c:valAx>
        <c:axId val="212229504"/>
        <c:scaling>
          <c:orientation val="minMax"/>
          <c:min val="0"/>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227968"/>
        <c:crosses val="autoZero"/>
        <c:crossBetween val="between"/>
        <c:majorUnit val="10"/>
      </c:valAx>
      <c:spPr>
        <a:solidFill>
          <a:srgbClr val="E6E0EC"/>
        </a:solidFill>
      </c:spPr>
    </c:plotArea>
    <c:legend>
      <c:legendPos val="r"/>
      <c:layout>
        <c:manualLayout>
          <c:xMode val="edge"/>
          <c:yMode val="edge"/>
          <c:x val="0.75366501548806908"/>
          <c:y val="0.24691185501377116"/>
          <c:w val="0.23946935636066635"/>
          <c:h val="0.3933307086614173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25.xml"/><Relationship Id="rId1" Type="http://schemas.openxmlformats.org/officeDocument/2006/relationships/chart" Target="../charts/chart24.xml"/></Relationships>
</file>

<file path=xl/drawings/_rels/drawing21.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6.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7.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40.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s>
</file>

<file path=xl/drawings/_rels/drawing44.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4" Type="http://schemas.openxmlformats.org/officeDocument/2006/relationships/chart" Target="../charts/chart44.xml"/></Relationships>
</file>

<file path=xl/drawings/_rels/drawing49.xml.rels><?xml version="1.0" encoding="UTF-8" standalone="yes"?>
<Relationships xmlns="http://schemas.openxmlformats.org/package/2006/relationships"><Relationship Id="rId2" Type="http://schemas.openxmlformats.org/officeDocument/2006/relationships/chart" Target="../charts/chart46.xml"/><Relationship Id="rId1" Type="http://schemas.openxmlformats.org/officeDocument/2006/relationships/chart" Target="../charts/chart45.xml"/></Relationships>
</file>

<file path=xl/drawings/_rels/drawing52.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s>
</file>

<file path=xl/drawings/drawing1.xml><?xml version="1.0" encoding="utf-8"?>
<xdr:wsDr xmlns:xdr="http://schemas.openxmlformats.org/drawingml/2006/spreadsheetDrawing" xmlns:a="http://schemas.openxmlformats.org/drawingml/2006/main">
  <xdr:twoCellAnchor>
    <xdr:from>
      <xdr:col>2</xdr:col>
      <xdr:colOff>19050</xdr:colOff>
      <xdr:row>59</xdr:row>
      <xdr:rowOff>1361</xdr:rowOff>
    </xdr:from>
    <xdr:to>
      <xdr:col>10</xdr:col>
      <xdr:colOff>117021</xdr:colOff>
      <xdr:row>101</xdr:row>
      <xdr:rowOff>76200</xdr:rowOff>
    </xdr:to>
    <xdr:graphicFrame macro="">
      <xdr:nvGraphicFramePr>
        <xdr:cNvPr id="27" name="Chart 9">
          <a:extLst>
            <a:ext uri="{FF2B5EF4-FFF2-40B4-BE49-F238E27FC236}">
              <a16:creationId xmlns:a16="http://schemas.microsoft.com/office/drawing/2014/main" id="{EAE41DE4-88C0-3DB6-A9F4-3E4479EFF292}"/>
            </a:ext>
            <a:ext uri="{147F2762-F138-4A5C-976F-8EAC2B608ADB}">
              <a16:predDERef xmlns:a16="http://schemas.microsoft.com/office/drawing/2014/main" pred="{D5F5A787-53FC-0AD5-BE88-DA86AC75A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59</xdr:row>
      <xdr:rowOff>38100</xdr:rowOff>
    </xdr:from>
    <xdr:to>
      <xdr:col>22</xdr:col>
      <xdr:colOff>400050</xdr:colOff>
      <xdr:row>101</xdr:row>
      <xdr:rowOff>57150</xdr:rowOff>
    </xdr:to>
    <xdr:graphicFrame macro="">
      <xdr:nvGraphicFramePr>
        <xdr:cNvPr id="30" name="Chart 10">
          <a:extLst>
            <a:ext uri="{FF2B5EF4-FFF2-40B4-BE49-F238E27FC236}">
              <a16:creationId xmlns:a16="http://schemas.microsoft.com/office/drawing/2014/main" id="{BCDACC24-B595-3151-C52B-8D3AB31C99CD}"/>
            </a:ext>
            <a:ext uri="{147F2762-F138-4A5C-976F-8EAC2B608ADB}">
              <a16:predDERef xmlns:a16="http://schemas.microsoft.com/office/drawing/2014/main" pred="{EAE41DE4-88C0-3DB6-A9F4-3E4479EFF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392858</xdr:colOff>
      <xdr:row>15</xdr:row>
      <xdr:rowOff>59673</xdr:rowOff>
    </xdr:from>
    <xdr:to>
      <xdr:col>13</xdr:col>
      <xdr:colOff>1034726</xdr:colOff>
      <xdr:row>57</xdr:row>
      <xdr:rowOff>127128</xdr:rowOff>
    </xdr:to>
    <xdr:graphicFrame macro="">
      <xdr:nvGraphicFramePr>
        <xdr:cNvPr id="6" name="Chart 2">
          <a:extLst>
            <a:ext uri="{FF2B5EF4-FFF2-40B4-BE49-F238E27FC236}">
              <a16:creationId xmlns:a16="http://schemas.microsoft.com/office/drawing/2014/main" id="{7974E33F-0494-4542-BDEF-05DCEFBF5B5F}"/>
            </a:ext>
            <a:ext uri="{147F2762-F138-4A5C-976F-8EAC2B608ADB}">
              <a16:predDERef xmlns:a16="http://schemas.microsoft.com/office/drawing/2014/main" pred="{BCDACC24-B595-3151-C52B-8D3AB31C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15</xdr:row>
      <xdr:rowOff>0</xdr:rowOff>
    </xdr:from>
    <xdr:to>
      <xdr:col>40</xdr:col>
      <xdr:colOff>533787</xdr:colOff>
      <xdr:row>57</xdr:row>
      <xdr:rowOff>66094</xdr:rowOff>
    </xdr:to>
    <xdr:graphicFrame macro="">
      <xdr:nvGraphicFramePr>
        <xdr:cNvPr id="5" name="Chart 2">
          <a:extLst>
            <a:ext uri="{FF2B5EF4-FFF2-40B4-BE49-F238E27FC236}">
              <a16:creationId xmlns:a16="http://schemas.microsoft.com/office/drawing/2014/main" id="{CEFB689D-37EC-4416-B75D-9B33D653431F}"/>
            </a:ext>
            <a:ext uri="{147F2762-F138-4A5C-976F-8EAC2B608ADB}">
              <a16:predDERef xmlns:a16="http://schemas.microsoft.com/office/drawing/2014/main" pred="{7974E33F-0494-4542-BDEF-05DCEFBF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809624</xdr:colOff>
      <xdr:row>151</xdr:row>
      <xdr:rowOff>133349</xdr:rowOff>
    </xdr:from>
    <xdr:to>
      <xdr:col>13</xdr:col>
      <xdr:colOff>200025</xdr:colOff>
      <xdr:row>172</xdr:row>
      <xdr:rowOff>28575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09624" y="23050499"/>
          <a:ext cx="9982201" cy="2895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Charging current</a:t>
          </a:r>
        </a:p>
        <a:p>
          <a:r>
            <a:rPr lang="en-GB" sz="1100" b="0" i="0" u="none" strike="noStrike" baseline="0">
              <a:solidFill>
                <a:schemeClr val="dk1"/>
              </a:solidFill>
              <a:latin typeface="+mn-lt"/>
              <a:ea typeface="+mn-ea"/>
              <a:cs typeface="+mn-cs"/>
            </a:rPr>
            <a:t>A discharged VRLA battery will accept a high recharge current, but for those seeking a more economical charging system a current limit of 0.08 C10 : 0.1 C3 (A) is adequate.</a:t>
          </a:r>
        </a:p>
        <a:p>
          <a:r>
            <a:rPr lang="en-GB" sz="1100" b="1" i="1" u="none" strike="noStrike" baseline="0">
              <a:solidFill>
                <a:schemeClr val="dk1"/>
              </a:solidFill>
              <a:latin typeface="+mn-lt"/>
              <a:ea typeface="+mn-ea"/>
              <a:cs typeface="+mn-cs"/>
            </a:rPr>
            <a:t>Note: </a:t>
          </a:r>
          <a:r>
            <a:rPr lang="en-GB" sz="1100" b="0" i="1" u="none" strike="noStrike" baseline="0">
              <a:solidFill>
                <a:schemeClr val="dk1"/>
              </a:solidFill>
              <a:latin typeface="+mn-lt"/>
              <a:ea typeface="+mn-ea"/>
              <a:cs typeface="+mn-cs"/>
            </a:rPr>
            <a:t>For a completely discharged battery, 80% of the capacity is</a:t>
          </a:r>
        </a:p>
        <a:p>
          <a:r>
            <a:rPr lang="en-GB" sz="1100" b="0" i="1" u="none" strike="noStrike" baseline="0">
              <a:solidFill>
                <a:schemeClr val="dk1"/>
              </a:solidFill>
              <a:latin typeface="+mn-lt"/>
              <a:ea typeface="+mn-ea"/>
              <a:cs typeface="+mn-cs"/>
            </a:rPr>
            <a:t>replaced in approximately:</a:t>
          </a:r>
        </a:p>
        <a:p>
          <a:r>
            <a:rPr lang="en-GB" sz="1100" b="0" i="1" u="none" strike="noStrike" baseline="0">
              <a:solidFill>
                <a:schemeClr val="dk1"/>
              </a:solidFill>
              <a:latin typeface="+mn-lt"/>
              <a:ea typeface="+mn-ea"/>
              <a:cs typeface="+mn-cs"/>
            </a:rPr>
            <a:t>10 hours at 0.1 C</a:t>
          </a:r>
          <a:r>
            <a:rPr lang="en-GB" sz="1100" b="0" i="1" u="none" strike="noStrike" baseline="-25000">
              <a:solidFill>
                <a:schemeClr val="dk1"/>
              </a:solidFill>
              <a:latin typeface="+mn-lt"/>
              <a:ea typeface="+mn-ea"/>
              <a:cs typeface="+mn-cs"/>
            </a:rPr>
            <a:t>10</a:t>
          </a:r>
        </a:p>
        <a:p>
          <a:pPr marL="0" indent="0"/>
          <a:r>
            <a:rPr lang="en-GB" sz="1100" b="0" i="1" u="none" strike="noStrike" baseline="0">
              <a:solidFill>
                <a:schemeClr val="dk1"/>
              </a:solidFill>
              <a:latin typeface="+mn-lt"/>
              <a:ea typeface="+mn-ea"/>
              <a:cs typeface="+mn-cs"/>
            </a:rPr>
            <a:t>6 hours at 0.3 C</a:t>
          </a:r>
          <a:r>
            <a:rPr lang="en-GB" sz="1100" b="0" i="1" u="none" strike="noStrike" baseline="-25000">
              <a:solidFill>
                <a:schemeClr val="dk1"/>
              </a:solidFill>
              <a:latin typeface="+mn-lt"/>
              <a:ea typeface="+mn-ea"/>
              <a:cs typeface="+mn-cs"/>
            </a:rPr>
            <a:t>10</a:t>
          </a:r>
        </a:p>
        <a:p>
          <a:r>
            <a:rPr lang="en-GB" sz="1100" b="0" i="1" u="none" strike="noStrike" baseline="0">
              <a:solidFill>
                <a:schemeClr val="dk1"/>
              </a:solidFill>
              <a:latin typeface="+mn-lt"/>
              <a:ea typeface="+mn-ea"/>
              <a:cs typeface="+mn-cs"/>
            </a:rPr>
            <a:t>5 hours no current limit applied</a:t>
          </a:r>
        </a:p>
        <a:p>
          <a:endParaRPr lang="en-GB" sz="1100" b="0" i="1" u="none" strike="noStrike" baseline="0">
            <a:solidFill>
              <a:schemeClr val="dk1"/>
            </a:solidFill>
            <a:latin typeface="+mn-lt"/>
            <a:ea typeface="+mn-ea"/>
            <a:cs typeface="+mn-cs"/>
          </a:endParaRPr>
        </a:p>
        <a:p>
          <a:r>
            <a:rPr lang="en-GB" sz="1100" b="0" i="1" u="none" strike="noStrike" baseline="0">
              <a:solidFill>
                <a:schemeClr val="dk1"/>
              </a:solidFill>
              <a:latin typeface="+mn-lt"/>
              <a:ea typeface="+mn-ea"/>
              <a:cs typeface="+mn-cs"/>
            </a:rPr>
            <a:t>For a  6V165/6 (the current standard MTX battery ) C</a:t>
          </a:r>
          <a:r>
            <a:rPr lang="en-GB" sz="1100" b="0" i="1" u="none" strike="noStrike" baseline="-25000">
              <a:solidFill>
                <a:schemeClr val="dk1"/>
              </a:solidFill>
              <a:latin typeface="+mn-lt"/>
              <a:ea typeface="+mn-ea"/>
              <a:cs typeface="+mn-cs"/>
            </a:rPr>
            <a:t>10</a:t>
          </a:r>
          <a:r>
            <a:rPr lang="en-GB" sz="1100" b="0" i="1" u="none" strike="noStrike" baseline="0">
              <a:solidFill>
                <a:schemeClr val="dk1"/>
              </a:solidFill>
              <a:latin typeface="+mn-lt"/>
              <a:ea typeface="+mn-ea"/>
              <a:cs typeface="+mn-cs"/>
            </a:rPr>
            <a:t> is 173 (Ah) @ 20degC   </a:t>
          </a:r>
        </a:p>
        <a:p>
          <a:r>
            <a:rPr lang="en-GB" sz="1100" b="0" i="1" u="none" strike="noStrike" baseline="0">
              <a:solidFill>
                <a:schemeClr val="dk1"/>
              </a:solidFill>
              <a:latin typeface="+mn-lt"/>
              <a:ea typeface="+mn-ea"/>
              <a:cs typeface="+mn-cs"/>
            </a:rPr>
            <a:t>The recommended power plant capacity reserved for charging is 10-30%</a:t>
          </a:r>
        </a:p>
        <a:p>
          <a:endParaRPr lang="en-GB" sz="1100" b="0" i="1" u="none" strike="noStrike" baseline="0">
            <a:solidFill>
              <a:schemeClr val="dk1"/>
            </a:solidFill>
            <a:latin typeface="+mn-lt"/>
            <a:ea typeface="+mn-ea"/>
            <a:cs typeface="+mn-cs"/>
          </a:endParaRPr>
        </a:p>
        <a:p>
          <a:r>
            <a:rPr lang="en-GB" sz="1100"/>
            <a:t>Recharge % rate is calculated by ((redundant rectifier capacity</a:t>
          </a:r>
          <a:r>
            <a:rPr lang="en-GB" sz="1100" baseline="0"/>
            <a:t> in amps/number of battery strings - </a:t>
          </a:r>
          <a:r>
            <a:rPr lang="en-GB" sz="1100" i="1" baseline="0"/>
            <a:t>2 strings per cab in 6V165/6 config)/</a:t>
          </a:r>
          <a:r>
            <a:rPr lang="en-GB" sz="1100" b="0" i="1" baseline="0">
              <a:solidFill>
                <a:schemeClr val="dk1"/>
              </a:solidFill>
              <a:effectLst/>
              <a:latin typeface="+mn-lt"/>
              <a:ea typeface="+mn-ea"/>
              <a:cs typeface="+mn-cs"/>
            </a:rPr>
            <a:t>C</a:t>
          </a:r>
          <a:r>
            <a:rPr lang="en-GB" sz="1100" b="0" i="1" baseline="-25000">
              <a:solidFill>
                <a:schemeClr val="dk1"/>
              </a:solidFill>
              <a:effectLst/>
              <a:latin typeface="+mn-lt"/>
              <a:ea typeface="+mn-ea"/>
              <a:cs typeface="+mn-cs"/>
            </a:rPr>
            <a:t>10 </a:t>
          </a:r>
          <a:r>
            <a:rPr lang="en-GB" sz="1100" b="0" i="1" baseline="0">
              <a:solidFill>
                <a:schemeClr val="dk1"/>
              </a:solidFill>
              <a:effectLst/>
              <a:latin typeface="+mn-lt"/>
              <a:ea typeface="+mn-ea"/>
              <a:cs typeface="+mn-cs"/>
            </a:rPr>
            <a:t> Value)*100</a:t>
          </a:r>
        </a:p>
        <a:p>
          <a:endParaRPr lang="en-GB" sz="1100" b="0" i="1" baseline="0">
            <a:solidFill>
              <a:schemeClr val="dk1"/>
            </a:solidFill>
            <a:effectLst/>
            <a:latin typeface="+mn-lt"/>
            <a:ea typeface="+mn-ea"/>
            <a:cs typeface="+mn-cs"/>
          </a:endParaRPr>
        </a:p>
        <a:p>
          <a:r>
            <a:rPr lang="en-GB" sz="1100" b="0" i="1" baseline="0">
              <a:solidFill>
                <a:schemeClr val="dk1"/>
              </a:solidFill>
              <a:effectLst/>
              <a:latin typeface="+mn-lt"/>
              <a:ea typeface="+mn-ea"/>
              <a:cs typeface="+mn-cs"/>
            </a:rPr>
            <a:t>For a standard LPF10 NetSure deployment the recharge rate using 50% of the rectifers is 33.9%</a:t>
          </a:r>
        </a:p>
        <a:p>
          <a:r>
            <a:rPr lang="en-GB" sz="1100" b="0" i="1" baseline="0">
              <a:solidFill>
                <a:schemeClr val="dk1"/>
              </a:solidFill>
              <a:effectLst/>
              <a:latin typeface="+mn-lt"/>
              <a:ea typeface="+mn-ea"/>
              <a:cs typeface="+mn-cs"/>
            </a:rPr>
            <a:t>For a standard LPF 10 eSure deployment the recharge rate using 50% of the rectifiers is 37.1%</a:t>
          </a:r>
          <a:endParaRPr lang="en-GB" sz="1100" i="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137160</xdr:colOff>
      <xdr:row>87</xdr:row>
      <xdr:rowOff>60960</xdr:rowOff>
    </xdr:from>
    <xdr:to>
      <xdr:col>8</xdr:col>
      <xdr:colOff>403860</xdr:colOff>
      <xdr:row>112</xdr:row>
      <xdr:rowOff>0</xdr:rowOff>
    </xdr:to>
    <xdr:sp macro="" textlink="">
      <xdr:nvSpPr>
        <xdr:cNvPr id="52186113" name="Object 1" hidden="1">
          <a:extLst>
            <a:ext uri="{63B3BB69-23CF-44E3-9099-C40C66FF867C}">
              <a14:compatExt xmlns:a14="http://schemas.microsoft.com/office/drawing/2010/main" spid="_x0000_s52186113"/>
            </a:ext>
            <a:ext uri="{FF2B5EF4-FFF2-40B4-BE49-F238E27FC236}">
              <a16:creationId xmlns:a16="http://schemas.microsoft.com/office/drawing/2014/main" id="{00000000-0008-0000-0800-0000014C1C03}"/>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28098</xdr:colOff>
      <xdr:row>4</xdr:row>
      <xdr:rowOff>49531</xdr:rowOff>
    </xdr:from>
    <xdr:to>
      <xdr:col>11</xdr:col>
      <xdr:colOff>297338</xdr:colOff>
      <xdr:row>36</xdr:row>
      <xdr:rowOff>114300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69</xdr:row>
      <xdr:rowOff>70909</xdr:rowOff>
    </xdr:from>
    <xdr:to>
      <xdr:col>11</xdr:col>
      <xdr:colOff>347133</xdr:colOff>
      <xdr:row>97</xdr:row>
      <xdr:rowOff>84667</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19050</xdr:colOff>
      <xdr:row>40</xdr:row>
      <xdr:rowOff>28575</xdr:rowOff>
    </xdr:from>
    <xdr:to>
      <xdr:col>29</xdr:col>
      <xdr:colOff>457200</xdr:colOff>
      <xdr:row>66</xdr:row>
      <xdr:rowOff>95250</xdr:rowOff>
    </xdr:to>
    <xdr:graphicFrame macro="">
      <xdr:nvGraphicFramePr>
        <xdr:cNvPr id="4" name="Chart 3">
          <a:extLst>
            <a:ext uri="{FF2B5EF4-FFF2-40B4-BE49-F238E27FC236}">
              <a16:creationId xmlns:a16="http://schemas.microsoft.com/office/drawing/2014/main" id="{00000000-0008-0000-0A00-000004000000}"/>
            </a:ext>
            <a:ext uri="{147F2762-F138-4A5C-976F-8EAC2B608ADB}">
              <a16:predDERef xmlns:a16="http://schemas.microsoft.com/office/drawing/2014/main" pre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82762</xdr:colOff>
      <xdr:row>40</xdr:row>
      <xdr:rowOff>34184</xdr:rowOff>
    </xdr:from>
    <xdr:to>
      <xdr:col>11</xdr:col>
      <xdr:colOff>385657</xdr:colOff>
      <xdr:row>62</xdr:row>
      <xdr:rowOff>84984</xdr:rowOff>
    </xdr:to>
    <xdr:graphicFrame macro="">
      <xdr:nvGraphicFramePr>
        <xdr:cNvPr id="7" name="Chart 6">
          <a:extLst>
            <a:ext uri="{FF2B5EF4-FFF2-40B4-BE49-F238E27FC236}">
              <a16:creationId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60809</xdr:colOff>
      <xdr:row>4</xdr:row>
      <xdr:rowOff>113694</xdr:rowOff>
    </xdr:from>
    <xdr:to>
      <xdr:col>30</xdr:col>
      <xdr:colOff>25400</xdr:colOff>
      <xdr:row>38</xdr:row>
      <xdr:rowOff>8467</xdr:rowOff>
    </xdr:to>
    <xdr:graphicFrame macro="">
      <xdr:nvGraphicFramePr>
        <xdr:cNvPr id="8" name="Chart 7">
          <a:extLst>
            <a:ext uri="{FF2B5EF4-FFF2-40B4-BE49-F238E27FC236}">
              <a16:creationId xmlns:a16="http://schemas.microsoft.com/office/drawing/2014/main" id="{AFB1EC23-F250-40A4-B57E-DA6C010CDE0B}"/>
            </a:ext>
            <a:ext uri="{147F2762-F138-4A5C-976F-8EAC2B608ADB}">
              <a16:predDERef xmlns:a16="http://schemas.microsoft.com/office/drawing/2014/main" pre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65616</xdr:colOff>
      <xdr:row>67</xdr:row>
      <xdr:rowOff>89534</xdr:rowOff>
    </xdr:from>
    <xdr:to>
      <xdr:col>29</xdr:col>
      <xdr:colOff>455082</xdr:colOff>
      <xdr:row>98</xdr:row>
      <xdr:rowOff>98000</xdr:rowOff>
    </xdr:to>
    <xdr:graphicFrame macro="">
      <xdr:nvGraphicFramePr>
        <xdr:cNvPr id="9" name="Chart 8">
          <a:extLst>
            <a:ext uri="{FF2B5EF4-FFF2-40B4-BE49-F238E27FC236}">
              <a16:creationId xmlns:a16="http://schemas.microsoft.com/office/drawing/2014/main" id="{5A4DA354-69F4-46D4-9024-9D22D3F9F651}"/>
            </a:ext>
            <a:ext uri="{147F2762-F138-4A5C-976F-8EAC2B608ADB}">
              <a16:predDERef xmlns:a16="http://schemas.microsoft.com/office/drawing/2014/main" pred="{AFB1EC23-F250-40A4-B57E-DA6C010CD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133350</xdr:colOff>
      <xdr:row>51</xdr:row>
      <xdr:rowOff>19050</xdr:rowOff>
    </xdr:from>
    <xdr:to>
      <xdr:col>12</xdr:col>
      <xdr:colOff>333375</xdr:colOff>
      <xdr:row>53</xdr:row>
      <xdr:rowOff>57150</xdr:rowOff>
    </xdr:to>
    <xdr:sp macro="" textlink="">
      <xdr:nvSpPr>
        <xdr:cNvPr id="10" name="TextBox 4">
          <a:extLst>
            <a:ext uri="{FF2B5EF4-FFF2-40B4-BE49-F238E27FC236}">
              <a16:creationId xmlns:a16="http://schemas.microsoft.com/office/drawing/2014/main" id="{AAAE80AC-9D79-42EB-8C37-0DF19012CEB3}"/>
            </a:ext>
            <a:ext uri="{147F2762-F138-4A5C-976F-8EAC2B608ADB}">
              <a16:predDERef xmlns:a16="http://schemas.microsoft.com/office/drawing/2014/main" pred="{5A4DA354-69F4-46D4-9024-9D22D3F9F651}"/>
            </a:ext>
          </a:extLst>
        </xdr:cNvPr>
        <xdr:cNvSpPr txBox="1"/>
      </xdr:nvSpPr>
      <xdr:spPr>
        <a:xfrm>
          <a:off x="9258300" y="6838950"/>
          <a:ext cx="20002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800" b="0">
              <a:latin typeface="Vodafone Rg" panose="020B0606080202020204" pitchFamily="34" charset="0"/>
            </a:rPr>
            <a:t>m²</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0.02079</cdr:x>
      <cdr:y>0.01977</cdr:y>
    </cdr:from>
    <cdr:to>
      <cdr:x>0.35657</cdr:x>
      <cdr:y>0.0962</cdr:y>
    </cdr:to>
    <cdr:sp macro="" textlink="">
      <cdr:nvSpPr>
        <cdr:cNvPr id="3" name="TextBox 2">
          <a:extLst xmlns:a="http://schemas.openxmlformats.org/drawingml/2006/main">
            <a:ext uri="{FF2B5EF4-FFF2-40B4-BE49-F238E27FC236}">
              <a16:creationId xmlns:a16="http://schemas.microsoft.com/office/drawing/2014/main" id="{6BF372CF-BCFC-451D-9510-892BA0C60A24}"/>
            </a:ext>
          </a:extLst>
        </cdr:cNvPr>
        <cdr:cNvSpPr txBox="1"/>
      </cdr:nvSpPr>
      <cdr:spPr>
        <a:xfrm xmlns:a="http://schemas.openxmlformats.org/drawingml/2006/main">
          <a:off x="173180" y="73913"/>
          <a:ext cx="2797034" cy="2857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NFV Sites Switchroom Usable Space</a:t>
          </a:r>
        </a:p>
      </cdr:txBody>
    </cdr:sp>
  </cdr:relSizeAnchor>
</c:userShapes>
</file>

<file path=xl/drawings/drawing6.xml><?xml version="1.0" encoding="utf-8"?>
<c:userShapes xmlns:c="http://schemas.openxmlformats.org/drawingml/2006/chart">
  <cdr:relSizeAnchor xmlns:cdr="http://schemas.openxmlformats.org/drawingml/2006/chartDrawing">
    <cdr:from>
      <cdr:x>0.01673</cdr:x>
      <cdr:y>0.36494</cdr:y>
    </cdr:from>
    <cdr:to>
      <cdr:x>0.05804</cdr:x>
      <cdr:y>0.50383</cdr:y>
    </cdr:to>
    <cdr:sp macro="" textlink="">
      <cdr:nvSpPr>
        <cdr:cNvPr id="2" name="TextBox 1">
          <a:extLst xmlns:a="http://schemas.openxmlformats.org/drawingml/2006/main">
            <a:ext uri="{FF2B5EF4-FFF2-40B4-BE49-F238E27FC236}">
              <a16:creationId xmlns:a16="http://schemas.microsoft.com/office/drawing/2014/main" id="{FFED7158-2D12-4BE3-85F0-AC21CF9A4187}"/>
            </a:ext>
          </a:extLst>
        </cdr:cNvPr>
        <cdr:cNvSpPr txBox="1"/>
      </cdr:nvSpPr>
      <cdr:spPr>
        <a:xfrm xmlns:a="http://schemas.openxmlformats.org/drawingml/2006/main">
          <a:off x="120017" y="1612900"/>
          <a:ext cx="296334" cy="613833"/>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800" b="0">
              <a:latin typeface="Vodafone Rg" panose="020B0606080202020204" pitchFamily="34" charset="0"/>
            </a:rPr>
            <a:t>kW</a:t>
          </a:r>
        </a:p>
      </cdr:txBody>
    </cdr:sp>
  </cdr:relSizeAnchor>
</c:userShapes>
</file>

<file path=xl/drawings/drawing7.xml><?xml version="1.0" encoding="utf-8"?>
<c:userShapes xmlns:c="http://schemas.openxmlformats.org/drawingml/2006/chart">
  <cdr:relSizeAnchor xmlns:cdr="http://schemas.openxmlformats.org/drawingml/2006/chartDrawing">
    <cdr:from>
      <cdr:x>0.00611</cdr:x>
      <cdr:y>0.37754</cdr:y>
    </cdr:from>
    <cdr:to>
      <cdr:x>0.03819</cdr:x>
      <cdr:y>0.52392</cdr:y>
    </cdr:to>
    <cdr:sp macro="" textlink="">
      <cdr:nvSpPr>
        <cdr:cNvPr id="2" name="TextBox 1">
          <a:extLst xmlns:a="http://schemas.openxmlformats.org/drawingml/2006/main">
            <a:ext uri="{FF2B5EF4-FFF2-40B4-BE49-F238E27FC236}">
              <a16:creationId xmlns:a16="http://schemas.microsoft.com/office/drawing/2014/main" id="{FDF1D6ED-229E-4355-9E43-27C5004D0D62}"/>
            </a:ext>
          </a:extLst>
        </cdr:cNvPr>
        <cdr:cNvSpPr txBox="1"/>
      </cdr:nvSpPr>
      <cdr:spPr>
        <a:xfrm xmlns:a="http://schemas.openxmlformats.org/drawingml/2006/main">
          <a:off x="50789" y="1610572"/>
          <a:ext cx="266500" cy="624417"/>
        </a:xfrm>
        <a:prstGeom xmlns:a="http://schemas.openxmlformats.org/drawingml/2006/main" prst="rect">
          <a:avLst/>
        </a:prstGeom>
      </cdr:spPr>
      <cdr:txBody>
        <a:bodyPr xmlns:a="http://schemas.openxmlformats.org/drawingml/2006/main" vert="vert270"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800" b="0">
              <a:latin typeface="Vodafone Rg" panose="020B0606080202020204" pitchFamily="34" charset="0"/>
            </a:rPr>
            <a:t>kW</a:t>
          </a:r>
        </a:p>
      </cdr:txBody>
    </cdr:sp>
  </cdr:relSizeAnchor>
</c:userShapes>
</file>

<file path=xl/drawings/drawing8.xml><?xml version="1.0" encoding="utf-8"?>
<xdr:wsDr xmlns:xdr="http://schemas.openxmlformats.org/drawingml/2006/spreadsheetDrawing" xmlns:a="http://schemas.openxmlformats.org/drawingml/2006/main">
  <xdr:twoCellAnchor>
    <xdr:from>
      <xdr:col>4</xdr:col>
      <xdr:colOff>428625</xdr:colOff>
      <xdr:row>0</xdr:row>
      <xdr:rowOff>47625</xdr:rowOff>
    </xdr:from>
    <xdr:to>
      <xdr:col>24</xdr:col>
      <xdr:colOff>180975</xdr:colOff>
      <xdr:row>40</xdr:row>
      <xdr:rowOff>95250</xdr:rowOff>
    </xdr:to>
    <xdr:graphicFrame macro="">
      <xdr:nvGraphicFramePr>
        <xdr:cNvPr id="5" name="Chart 6">
          <a:extLst>
            <a:ext uri="{FF2B5EF4-FFF2-40B4-BE49-F238E27FC236}">
              <a16:creationId xmlns:a16="http://schemas.microsoft.com/office/drawing/2014/main" id="{00000000-0008-0000-0B00-000007000000}"/>
            </a:ext>
            <a:ext uri="{147F2762-F138-4A5C-976F-8EAC2B608ADB}">
              <a16:predDERef xmlns:a16="http://schemas.microsoft.com/office/drawing/2014/main" pred="{0A8E4A8B-0F1B-4209-8F47-80E137BA7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144991</xdr:colOff>
      <xdr:row>44</xdr:row>
      <xdr:rowOff>102024</xdr:rowOff>
    </xdr:from>
    <xdr:to>
      <xdr:col>24</xdr:col>
      <xdr:colOff>313690</xdr:colOff>
      <xdr:row>75</xdr:row>
      <xdr:rowOff>56725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433917</xdr:colOff>
      <xdr:row>154</xdr:row>
      <xdr:rowOff>0</xdr:rowOff>
    </xdr:from>
    <xdr:to>
      <xdr:col>25</xdr:col>
      <xdr:colOff>93135</xdr:colOff>
      <xdr:row>180</xdr:row>
      <xdr:rowOff>19685</xdr:rowOff>
    </xdr:to>
    <xdr:graphicFrame macro="">
      <xdr:nvGraphicFramePr>
        <xdr:cNvPr id="12" name="Chart 11">
          <a:extLst>
            <a:ext uri="{FF2B5EF4-FFF2-40B4-BE49-F238E27FC236}">
              <a16:creationId xmlns:a16="http://schemas.microsoft.com/office/drawing/2014/main" id="{8232B1BB-C738-4C16-9E4B-3F71F9C70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0.09644</cdr:x>
      <cdr:y>0.88174</cdr:y>
    </cdr:from>
    <cdr:to>
      <cdr:x>0.97509</cdr:x>
      <cdr:y>0.93442</cdr:y>
    </cdr:to>
    <cdr:sp macro="" textlink="">
      <cdr:nvSpPr>
        <cdr:cNvPr id="2" name="TextBox 1"/>
        <cdr:cNvSpPr txBox="1"/>
      </cdr:nvSpPr>
      <cdr:spPr>
        <a:xfrm xmlns:a="http://schemas.openxmlformats.org/drawingml/2006/main">
          <a:off x="893891" y="5068445"/>
          <a:ext cx="8144065" cy="3028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400">
              <a:latin typeface="Vodafone Rg" panose="020B0606080202020204" pitchFamily="34" charset="0"/>
            </a:rPr>
            <a:t>       </a:t>
          </a:r>
          <a:r>
            <a:rPr lang="en-GB" sz="800">
              <a:latin typeface="Vodafone Rg" panose="020B0606080202020204" pitchFamily="34" charset="0"/>
            </a:rPr>
            <a:t>XBE                                                      XMS                                              XLD                                                        XEH                                               XGL                                                   XGR                                                    XOM</a:t>
          </a:r>
          <a:endParaRPr lang="en-GB" sz="800">
            <a:effectLst/>
            <a:latin typeface="Vodafone Rg" panose="020B0606080202020204" pitchFamily="34" charset="0"/>
          </a:endParaRPr>
        </a:p>
        <a:p xmlns:a="http://schemas.openxmlformats.org/drawingml/2006/main">
          <a:r>
            <a:rPr lang="en-GB" sz="800">
              <a:latin typeface="Vodafone Rg" panose="020B0606080202020204" pitchFamily="34" charset="0"/>
            </a:rPr>
            <a:t> </a:t>
          </a:r>
        </a:p>
        <a:p xmlns:a="http://schemas.openxmlformats.org/drawingml/2006/main">
          <a:r>
            <a:rPr lang="en-GB" sz="800">
              <a:latin typeface="Vodafone Rg" panose="020B0606080202020204" pitchFamily="34" charset="0"/>
            </a:rPr>
            <a:t>                </a:t>
          </a:r>
        </a:p>
      </cdr:txBody>
    </cdr:sp>
  </cdr:relSizeAnchor>
  <cdr:relSizeAnchor xmlns:cdr="http://schemas.openxmlformats.org/drawingml/2006/chartDrawing">
    <cdr:from>
      <cdr:x>0.01804</cdr:x>
      <cdr:y>0.02087</cdr:y>
    </cdr:from>
    <cdr:to>
      <cdr:x>0.35259</cdr:x>
      <cdr:y>0.06504</cdr:y>
    </cdr:to>
    <cdr:sp macro="" textlink="">
      <cdr:nvSpPr>
        <cdr:cNvPr id="3" name="TextBox 2">
          <a:extLst xmlns:a="http://schemas.openxmlformats.org/drawingml/2006/main">
            <a:ext uri="{FF2B5EF4-FFF2-40B4-BE49-F238E27FC236}">
              <a16:creationId xmlns:a16="http://schemas.microsoft.com/office/drawing/2014/main" id="{281654A8-7026-43E6-93DA-9DA143D0C196}"/>
            </a:ext>
          </a:extLst>
        </cdr:cNvPr>
        <cdr:cNvSpPr txBox="1"/>
      </cdr:nvSpPr>
      <cdr:spPr>
        <a:xfrm xmlns:a="http://schemas.openxmlformats.org/drawingml/2006/main">
          <a:off x="167218" y="120017"/>
          <a:ext cx="3100916"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12 Month Technology Load</a:t>
          </a:r>
        </a:p>
      </cdr:txBody>
    </cdr:sp>
  </cdr:relSizeAnchor>
</c:userShapes>
</file>

<file path=xl/drawings/drawing10.xml><?xml version="1.0" encoding="utf-8"?>
<c:userShapes xmlns:c="http://schemas.openxmlformats.org/drawingml/2006/chart">
  <cdr:relSizeAnchor xmlns:cdr="http://schemas.openxmlformats.org/drawingml/2006/chartDrawing">
    <cdr:from>
      <cdr:x>0.00447</cdr:x>
      <cdr:y>0.46186</cdr:y>
    </cdr:from>
    <cdr:to>
      <cdr:x>0.03738</cdr:x>
      <cdr:y>0.54786</cdr:y>
    </cdr:to>
    <cdr:sp macro="" textlink="">
      <cdr:nvSpPr>
        <cdr:cNvPr id="2" name="TextBox 7">
          <a:extLst xmlns:a="http://schemas.openxmlformats.org/drawingml/2006/main">
            <a:ext uri="{FF2B5EF4-FFF2-40B4-BE49-F238E27FC236}">
              <a16:creationId xmlns:a16="http://schemas.microsoft.com/office/drawing/2014/main" id="{00000000-0008-0000-0B00-000008000000}"/>
            </a:ext>
          </a:extLst>
        </cdr:cNvPr>
        <cdr:cNvSpPr txBox="1"/>
      </cdr:nvSpPr>
      <cdr:spPr>
        <a:xfrm xmlns:a="http://schemas.openxmlformats.org/drawingml/2006/main">
          <a:off x="31750" y="1659466"/>
          <a:ext cx="234004" cy="3090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vert270"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400">
              <a:latin typeface="Vodafone Rg" panose="020B0606080202020204" pitchFamily="34" charset="0"/>
            </a:rPr>
            <a:t>kW</a:t>
          </a:r>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507585</xdr:colOff>
      <xdr:row>1</xdr:row>
      <xdr:rowOff>0</xdr:rowOff>
    </xdr:from>
    <xdr:to>
      <xdr:col>9</xdr:col>
      <xdr:colOff>121067</xdr:colOff>
      <xdr:row>14</xdr:row>
      <xdr:rowOff>81661</xdr:rowOff>
    </xdr:to>
    <xdr:graphicFrame macro="">
      <xdr:nvGraphicFramePr>
        <xdr:cNvPr id="2" name="Chart 1">
          <a:extLst>
            <a:ext uri="{FF2B5EF4-FFF2-40B4-BE49-F238E27FC236}">
              <a16:creationId xmlns:a16="http://schemas.microsoft.com/office/drawing/2014/main" i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14061</xdr:colOff>
      <xdr:row>32</xdr:row>
      <xdr:rowOff>12699</xdr:rowOff>
    </xdr:from>
    <xdr:to>
      <xdr:col>9</xdr:col>
      <xdr:colOff>160489</xdr:colOff>
      <xdr:row>45</xdr:row>
      <xdr:rowOff>94360</xdr:rowOff>
    </xdr:to>
    <xdr:graphicFrame macro="">
      <xdr:nvGraphicFramePr>
        <xdr:cNvPr id="4" name="Chart 3">
          <a:extLst>
            <a:ext uri="{FF2B5EF4-FFF2-40B4-BE49-F238E27FC236}">
              <a16:creationId xmlns:a16="http://schemas.microsoft.com/office/drawing/2014/main" id="{B92E1A09-E1FD-4728-A55B-CEB7F9036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11339</xdr:colOff>
      <xdr:row>47</xdr:row>
      <xdr:rowOff>22679</xdr:rowOff>
    </xdr:from>
    <xdr:to>
      <xdr:col>9</xdr:col>
      <xdr:colOff>157767</xdr:colOff>
      <xdr:row>60</xdr:row>
      <xdr:rowOff>104340</xdr:rowOff>
    </xdr:to>
    <xdr:graphicFrame macro="">
      <xdr:nvGraphicFramePr>
        <xdr:cNvPr id="5" name="Chart 4">
          <a:extLst>
            <a:ext uri="{FF2B5EF4-FFF2-40B4-BE49-F238E27FC236}">
              <a16:creationId xmlns:a16="http://schemas.microsoft.com/office/drawing/2014/main" id="{5619C528-C783-4F31-BE5E-3D6F6932D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90715</xdr:colOff>
      <xdr:row>15</xdr:row>
      <xdr:rowOff>56697</xdr:rowOff>
    </xdr:from>
    <xdr:to>
      <xdr:col>11</xdr:col>
      <xdr:colOff>239048</xdr:colOff>
      <xdr:row>31</xdr:row>
      <xdr:rowOff>55354</xdr:rowOff>
    </xdr:to>
    <xdr:graphicFrame macro="">
      <xdr:nvGraphicFramePr>
        <xdr:cNvPr id="7" name="Chart 6">
          <a:extLst>
            <a:ext uri="{FF2B5EF4-FFF2-40B4-BE49-F238E27FC236}">
              <a16:creationId xmlns:a16="http://schemas.microsoft.com/office/drawing/2014/main" id="{40D857B2-C024-4D90-A7A0-D923E89BA9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0.06798</cdr:x>
      <cdr:y>0.80908</cdr:y>
    </cdr:from>
    <cdr:to>
      <cdr:x>0.94254</cdr:x>
      <cdr:y>0.88306</cdr:y>
    </cdr:to>
    <cdr:sp macro="" textlink="">
      <cdr:nvSpPr>
        <cdr:cNvPr id="2" name="TextBox 1"/>
        <cdr:cNvSpPr txBox="1"/>
      </cdr:nvSpPr>
      <cdr:spPr>
        <a:xfrm xmlns:a="http://schemas.openxmlformats.org/drawingml/2006/main">
          <a:off x="317677" y="2275257"/>
          <a:ext cx="4086645" cy="2080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600">
              <a:latin typeface="Vodafone Rg" panose="020B0606080202020204" pitchFamily="34" charset="0"/>
            </a:rPr>
            <a:t>       XBE   </a:t>
          </a:r>
          <a:r>
            <a:rPr lang="en-GB" sz="600" baseline="0">
              <a:latin typeface="Vodafone Rg" panose="020B0606080202020204" pitchFamily="34" charset="0"/>
            </a:rPr>
            <a:t>                         </a:t>
          </a:r>
          <a:r>
            <a:rPr lang="en-GB" sz="600">
              <a:latin typeface="Vodafone Rg" panose="020B0606080202020204" pitchFamily="34" charset="0"/>
            </a:rPr>
            <a:t>XMS                            XLD                             XEH                            XGL                           XGR                            XOM</a:t>
          </a:r>
          <a:endParaRPr lang="en-GB" sz="600">
            <a:effectLst/>
            <a:latin typeface="Vodafone Rg" panose="020B0606080202020204" pitchFamily="34" charset="0"/>
          </a:endParaRPr>
        </a:p>
        <a:p xmlns:a="http://schemas.openxmlformats.org/drawingml/2006/main">
          <a:r>
            <a:rPr lang="en-GB" sz="600">
              <a:latin typeface="Vodafone Rg" panose="020B0606080202020204" pitchFamily="34" charset="0"/>
            </a:rPr>
            <a:t> </a:t>
          </a:r>
        </a:p>
        <a:p xmlns:a="http://schemas.openxmlformats.org/drawingml/2006/main">
          <a:r>
            <a:rPr lang="en-GB" sz="600">
              <a:latin typeface="Vodafone Rg" panose="020B0606080202020204" pitchFamily="34" charset="0"/>
            </a:rPr>
            <a:t>                </a:t>
          </a:r>
        </a:p>
      </cdr:txBody>
    </cdr:sp>
  </cdr:relSizeAnchor>
</c:userShapes>
</file>

<file path=xl/drawings/drawing13.xml><?xml version="1.0" encoding="utf-8"?>
<xdr:wsDr xmlns:xdr="http://schemas.openxmlformats.org/drawingml/2006/spreadsheetDrawing" xmlns:a="http://schemas.openxmlformats.org/drawingml/2006/main">
  <xdr:twoCellAnchor>
    <xdr:from>
      <xdr:col>0</xdr:col>
      <xdr:colOff>428625</xdr:colOff>
      <xdr:row>17</xdr:row>
      <xdr:rowOff>76200</xdr:rowOff>
    </xdr:from>
    <xdr:to>
      <xdr:col>18</xdr:col>
      <xdr:colOff>57150</xdr:colOff>
      <xdr:row>38</xdr:row>
      <xdr:rowOff>114300</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514350</xdr:colOff>
      <xdr:row>17</xdr:row>
      <xdr:rowOff>0</xdr:rowOff>
    </xdr:from>
    <xdr:to>
      <xdr:col>24</xdr:col>
      <xdr:colOff>257175</xdr:colOff>
      <xdr:row>36</xdr:row>
      <xdr:rowOff>28575</xdr:rowOff>
    </xdr:to>
    <xdr:graphicFrame macro="">
      <xdr:nvGraphicFramePr>
        <xdr:cNvPr id="3" name="Chart 3">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50</xdr:row>
      <xdr:rowOff>9525</xdr:rowOff>
    </xdr:from>
    <xdr:to>
      <xdr:col>18</xdr:col>
      <xdr:colOff>133350</xdr:colOff>
      <xdr:row>80</xdr:row>
      <xdr:rowOff>28575</xdr:rowOff>
    </xdr:to>
    <xdr:graphicFrame macro="">
      <xdr:nvGraphicFramePr>
        <xdr:cNvPr id="4" name="Chart 1">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11" name="TextBox 10">
          <a:extLst>
            <a:ext uri="{FF2B5EF4-FFF2-40B4-BE49-F238E27FC236}">
              <a16:creationId xmlns:a16="http://schemas.microsoft.com/office/drawing/2014/main" id="{00000000-0008-0000-0F00-00000B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5</xdr:col>
      <xdr:colOff>123825</xdr:colOff>
      <xdr:row>1</xdr:row>
      <xdr:rowOff>76200</xdr:rowOff>
    </xdr:from>
    <xdr:to>
      <xdr:col>19</xdr:col>
      <xdr:colOff>352425</xdr:colOff>
      <xdr:row>6</xdr:row>
      <xdr:rowOff>47625</xdr:rowOff>
    </xdr:to>
    <xdr:sp macro="" textlink="">
      <xdr:nvSpPr>
        <xdr:cNvPr id="12" name="TextBox 11">
          <a:extLst>
            <a:ext uri="{FF2B5EF4-FFF2-40B4-BE49-F238E27FC236}">
              <a16:creationId xmlns:a16="http://schemas.microsoft.com/office/drawing/2014/main" id="{00000000-0008-0000-0F00-00000C000000}"/>
            </a:ext>
          </a:extLst>
        </xdr:cNvPr>
        <xdr:cNvSpPr txBox="1"/>
      </xdr:nvSpPr>
      <xdr:spPr>
        <a:xfrm>
          <a:off x="2790825" y="219075"/>
          <a:ext cx="76962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Type A Sites - Dual Running Analysis (DC)</a:t>
          </a:r>
        </a:p>
        <a:p>
          <a:pPr algn="ctr"/>
          <a:endParaRPr lang="en-GB" sz="1100"/>
        </a:p>
      </xdr:txBody>
    </xdr:sp>
    <xdr:clientData/>
  </xdr:twoCellAnchor>
  <xdr:twoCellAnchor>
    <xdr:from>
      <xdr:col>0</xdr:col>
      <xdr:colOff>504825</xdr:colOff>
      <xdr:row>7</xdr:row>
      <xdr:rowOff>66675</xdr:rowOff>
    </xdr:from>
    <xdr:to>
      <xdr:col>24</xdr:col>
      <xdr:colOff>533400</xdr:colOff>
      <xdr:row>42</xdr:row>
      <xdr:rowOff>104775</xdr:rowOff>
    </xdr:to>
    <xdr:graphicFrame macro="">
      <xdr:nvGraphicFramePr>
        <xdr:cNvPr id="44956859" name="Chart 2">
          <a:extLst>
            <a:ext uri="{FF2B5EF4-FFF2-40B4-BE49-F238E27FC236}">
              <a16:creationId xmlns:a16="http://schemas.microsoft.com/office/drawing/2014/main" id="{00000000-0008-0000-0F00-0000BB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504825</xdr:colOff>
      <xdr:row>43</xdr:row>
      <xdr:rowOff>0</xdr:rowOff>
    </xdr:from>
    <xdr:to>
      <xdr:col>11</xdr:col>
      <xdr:colOff>304800</xdr:colOff>
      <xdr:row>70</xdr:row>
      <xdr:rowOff>76200</xdr:rowOff>
    </xdr:to>
    <xdr:graphicFrame macro="">
      <xdr:nvGraphicFramePr>
        <xdr:cNvPr id="44956860" name="Chart 3">
          <a:extLst>
            <a:ext uri="{FF2B5EF4-FFF2-40B4-BE49-F238E27FC236}">
              <a16:creationId xmlns:a16="http://schemas.microsoft.com/office/drawing/2014/main" id="{00000000-0008-0000-0F00-0000BC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374650</xdr:colOff>
      <xdr:row>45</xdr:row>
      <xdr:rowOff>98424</xdr:rowOff>
    </xdr:from>
    <xdr:to>
      <xdr:col>24</xdr:col>
      <xdr:colOff>254000</xdr:colOff>
      <xdr:row>62</xdr:row>
      <xdr:rowOff>139699</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6242050" y="6384924"/>
          <a:ext cx="6813550" cy="2416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Arial" pitchFamily="34" charset="0"/>
            <a:buChar char="•"/>
          </a:pPr>
          <a:r>
            <a:rPr lang="en-GB" sz="2000">
              <a:latin typeface="Vodafone Lt" pitchFamily="34" charset="0"/>
            </a:rPr>
            <a:t>The top</a:t>
          </a:r>
          <a:r>
            <a:rPr lang="en-GB" sz="2000" baseline="0">
              <a:latin typeface="Vodafone Lt" pitchFamily="34" charset="0"/>
            </a:rPr>
            <a:t> graph shows the % of a site's DC load attributed to dual running</a:t>
          </a:r>
        </a:p>
        <a:p>
          <a:pPr marL="342900" indent="-342900">
            <a:buFont typeface="Arial" pitchFamily="34" charset="0"/>
            <a:buChar char="•"/>
          </a:pPr>
          <a:r>
            <a:rPr lang="en-GB" sz="2000" baseline="0">
              <a:latin typeface="Vodafone Lt" pitchFamily="34" charset="0"/>
            </a:rPr>
            <a:t>The lower graph shows which network elements are dual running and the % they use across all Type A sites</a:t>
          </a:r>
          <a:endParaRPr lang="en-GB" sz="2000">
            <a:latin typeface="Vodafone Lt" pitchFamily="34" charset="0"/>
          </a:endParaRPr>
        </a:p>
        <a:p>
          <a:pPr marL="342900" marR="0" indent="-342900" defTabSz="914400" eaLnBrk="1" fontAlgn="auto" latinLnBrk="0" hangingPunct="1">
            <a:lnSpc>
              <a:spcPct val="100000"/>
            </a:lnSpc>
            <a:spcBef>
              <a:spcPts val="0"/>
            </a:spcBef>
            <a:spcAft>
              <a:spcPts val="0"/>
            </a:spcAft>
            <a:buClrTx/>
            <a:buSzTx/>
            <a:buFont typeface="Arial" pitchFamily="34" charset="0"/>
            <a:buChar char="•"/>
            <a:tabLst/>
            <a:defRPr/>
          </a:pPr>
          <a:r>
            <a:rPr lang="en-GB" sz="2000">
              <a:solidFill>
                <a:schemeClr val="dk1"/>
              </a:solidFill>
              <a:effectLst/>
              <a:latin typeface="Vodafone Lt" pitchFamily="34" charset="0"/>
              <a:ea typeface="+mn-ea"/>
              <a:cs typeface="+mn-cs"/>
            </a:rPr>
            <a:t>Reducing the number</a:t>
          </a:r>
          <a:r>
            <a:rPr lang="en-GB" sz="2000" baseline="0">
              <a:solidFill>
                <a:schemeClr val="dk1"/>
              </a:solidFill>
              <a:effectLst/>
              <a:latin typeface="Vodafone Lt" pitchFamily="34" charset="0"/>
              <a:ea typeface="+mn-ea"/>
              <a:cs typeface="+mn-cs"/>
            </a:rPr>
            <a:t> of dual running elements could increase our DC capacity by 23%</a:t>
          </a:r>
          <a:endParaRPr lang="en-GB" sz="2000">
            <a:latin typeface="Vodafone Lt" pitchFamily="34" charset="0"/>
          </a:endParaRPr>
        </a:p>
        <a:p>
          <a:r>
            <a:rPr lang="en-GB" sz="2000">
              <a:latin typeface="Vodafone Lt" pitchFamily="34" charset="0"/>
            </a:rPr>
            <a:t>    </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107950</xdr:colOff>
      <xdr:row>10</xdr:row>
      <xdr:rowOff>146050</xdr:rowOff>
    </xdr:from>
    <xdr:to>
      <xdr:col>23</xdr:col>
      <xdr:colOff>374650</xdr:colOff>
      <xdr:row>58</xdr:row>
      <xdr:rowOff>120650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07950" y="1670050"/>
          <a:ext cx="12534900" cy="728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2400">
            <a:latin typeface="Vodafone Lt" pitchFamily="34" charset="0"/>
          </a:endParaRPr>
        </a:p>
        <a:p>
          <a:r>
            <a:rPr lang="en-GB" sz="3600" b="1">
              <a:solidFill>
                <a:srgbClr val="FF0000"/>
              </a:solidFill>
              <a:effectLst/>
              <a:latin typeface="Vodafone Lt" pitchFamily="34" charset="0"/>
              <a:ea typeface="+mn-ea"/>
              <a:cs typeface="+mn-cs"/>
            </a:rPr>
            <a:t>MTX Space and Power Utilisation</a:t>
          </a:r>
          <a:br>
            <a:rPr lang="en-GB" sz="3600" b="1">
              <a:solidFill>
                <a:srgbClr val="FF0000"/>
              </a:solidFill>
              <a:effectLst/>
              <a:latin typeface="Vodafone Lt" pitchFamily="34" charset="0"/>
              <a:ea typeface="+mn-ea"/>
              <a:cs typeface="+mn-cs"/>
            </a:rPr>
          </a:br>
          <a:br>
            <a:rPr lang="en-GB" sz="3600" b="1">
              <a:solidFill>
                <a:srgbClr val="FF0000"/>
              </a:solidFill>
              <a:effectLst/>
              <a:latin typeface="Vodafone Lt" pitchFamily="34" charset="0"/>
              <a:ea typeface="+mn-ea"/>
              <a:cs typeface="+mn-cs"/>
            </a:rPr>
          </a:br>
          <a:r>
            <a:rPr lang="en-GB" sz="3600" b="1">
              <a:solidFill>
                <a:srgbClr val="FF0000"/>
              </a:solidFill>
              <a:effectLst/>
              <a:latin typeface="Vodafone Lt" pitchFamily="34" charset="0"/>
              <a:ea typeface="+mn-ea"/>
              <a:cs typeface="+mn-cs"/>
            </a:rPr>
            <a:t>July 2017</a:t>
          </a:r>
        </a:p>
        <a:p>
          <a:br>
            <a:rPr lang="en-GB" sz="3600" b="1">
              <a:solidFill>
                <a:schemeClr val="dk1"/>
              </a:solidFill>
              <a:effectLst/>
              <a:latin typeface="Vodafone Lt" pitchFamily="34" charset="0"/>
              <a:ea typeface="+mn-ea"/>
              <a:cs typeface="+mn-cs"/>
            </a:rPr>
          </a:br>
          <a:br>
            <a:rPr lang="en-GB" sz="3600" b="1">
              <a:solidFill>
                <a:schemeClr val="dk1"/>
              </a:solidFill>
              <a:effectLst/>
              <a:latin typeface="Vodafone Lt" pitchFamily="34" charset="0"/>
              <a:ea typeface="+mn-ea"/>
              <a:cs typeface="+mn-cs"/>
            </a:rPr>
          </a:br>
          <a:r>
            <a:rPr lang="en-GB" sz="3600" b="1">
              <a:solidFill>
                <a:schemeClr val="bg1">
                  <a:lumMod val="85000"/>
                </a:schemeClr>
              </a:solidFill>
              <a:effectLst/>
              <a:latin typeface="Vodafone Lt" pitchFamily="34" charset="0"/>
              <a:ea typeface="+mn-ea"/>
              <a:cs typeface="+mn-cs"/>
            </a:rPr>
            <a:t>Leigh Peake, MTX  Infrastructure Team</a:t>
          </a:r>
          <a:endParaRPr lang="en-GB" sz="3600">
            <a:solidFill>
              <a:schemeClr val="bg1">
                <a:lumMod val="85000"/>
              </a:schemeClr>
            </a:solidFill>
            <a:latin typeface="Vodafone Lt"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114299</xdr:colOff>
      <xdr:row>1</xdr:row>
      <xdr:rowOff>133350</xdr:rowOff>
    </xdr:from>
    <xdr:to>
      <xdr:col>21</xdr:col>
      <xdr:colOff>123824</xdr:colOff>
      <xdr:row>54</xdr:row>
      <xdr:rowOff>123825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647699" y="276225"/>
          <a:ext cx="10677525" cy="756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u="sng">
              <a:latin typeface="Vodafone Lt" pitchFamily="34" charset="0"/>
            </a:rPr>
            <a:t>MTX Site Information</a:t>
          </a:r>
        </a:p>
        <a:p>
          <a:pPr algn="ctr"/>
          <a:endParaRPr lang="en-GB" sz="3200" u="sng">
            <a:latin typeface="Vodafone Lt" pitchFamily="34" charset="0"/>
          </a:endParaRPr>
        </a:p>
        <a:p>
          <a:pPr algn="l"/>
          <a:r>
            <a:rPr lang="en-GB" sz="2000" u="none">
              <a:latin typeface="Vodafone Lt" pitchFamily="34" charset="0"/>
            </a:rPr>
            <a:t>The</a:t>
          </a:r>
          <a:r>
            <a:rPr lang="en-GB" sz="2000" u="none" baseline="0">
              <a:latin typeface="Vodafone Lt" pitchFamily="34" charset="0"/>
            </a:rPr>
            <a:t> MTX sites are split into the following categories-</a:t>
          </a:r>
        </a:p>
        <a:p>
          <a:pPr algn="l"/>
          <a:endParaRPr lang="en-GB" sz="2000" u="none" baseline="0">
            <a:latin typeface="Vodafone Lt" pitchFamily="34" charset="0"/>
          </a:endParaRPr>
        </a:p>
        <a:p>
          <a:pPr algn="l"/>
          <a:r>
            <a:rPr lang="en-GB" sz="2000" u="sng" baseline="0">
              <a:latin typeface="Vodafone Lt" pitchFamily="34" charset="0"/>
            </a:rPr>
            <a:t>Core MTX Sites</a:t>
          </a:r>
          <a:r>
            <a:rPr lang="en-GB" sz="2000" u="none" baseline="0">
              <a:latin typeface="Vodafone Lt" pitchFamily="34" charset="0"/>
            </a:rPr>
            <a:t>  contain Core Network elements (switching, messaging and IN) RAN Capability and Transmission equipment</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x9 strategic sites for new Core deployment</a:t>
          </a:r>
        </a:p>
        <a:p>
          <a:pPr algn="l"/>
          <a:endParaRPr lang="en-GB" sz="2000" u="none" baseline="0">
            <a:latin typeface="Vodafone Lt" pitchFamily="34" charset="0"/>
          </a:endParaRPr>
        </a:p>
        <a:p>
          <a:pPr algn="l"/>
          <a:r>
            <a:rPr lang="en-GB" sz="2000" u="none" baseline="0">
              <a:latin typeface="Vodafone Lt" pitchFamily="34" charset="0"/>
            </a:rPr>
            <a:t>x5 non-strategic sites closed to new Core deployment</a:t>
          </a:r>
        </a:p>
        <a:p>
          <a:pPr algn="l"/>
          <a:endParaRPr lang="en-GB" sz="2000" u="none" baseline="0">
            <a:latin typeface="Vodafone Lt" pitchFamily="34" charset="0"/>
          </a:endParaRPr>
        </a:p>
        <a:p>
          <a:pPr algn="l"/>
          <a:r>
            <a:rPr lang="en-GB" sz="2000" u="sng" baseline="0">
              <a:latin typeface="Vodafone Lt" pitchFamily="34" charset="0"/>
            </a:rPr>
            <a:t>Network Aggregation Sites</a:t>
          </a:r>
          <a:r>
            <a:rPr lang="en-GB" sz="2000" u="none" baseline="0">
              <a:latin typeface="Vodafone Lt" pitchFamily="34" charset="0"/>
            </a:rPr>
            <a:t> </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x12 sites that generally only contain RAN Capability and Transmission equipment</a:t>
          </a:r>
        </a:p>
        <a:p>
          <a:pPr algn="l"/>
          <a:endParaRPr lang="en-GB" sz="2000" u="none" baseline="0">
            <a:latin typeface="Vodafone Lt" pitchFamily="34" charset="0"/>
          </a:endParaRPr>
        </a:p>
        <a:p>
          <a:pPr algn="l"/>
          <a:r>
            <a:rPr lang="en-GB" sz="2000" u="none" baseline="0">
              <a:latin typeface="Vodafone Lt" pitchFamily="34" charset="0"/>
            </a:rPr>
            <a:t>x2 sites that only contain Transmission equipment</a:t>
          </a:r>
        </a:p>
        <a:p>
          <a:pPr algn="l"/>
          <a:endParaRPr lang="en-GB" sz="2000" u="none" baseline="0">
            <a:latin typeface="Vodafone Lt" pitchFamily="34" charset="0"/>
          </a:endParaRPr>
        </a:p>
        <a:p>
          <a:pPr algn="l"/>
          <a:r>
            <a:rPr lang="en-GB" sz="2000" u="none" baseline="0">
              <a:latin typeface="Vodafone Lt" pitchFamily="34" charset="0"/>
            </a:rPr>
            <a:t>Canal House Computer Room at XNY has been included in the report as it is under Networks control</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76201</xdr:colOff>
      <xdr:row>0</xdr:row>
      <xdr:rowOff>9525</xdr:rowOff>
    </xdr:from>
    <xdr:to>
      <xdr:col>22</xdr:col>
      <xdr:colOff>203201</xdr:colOff>
      <xdr:row>3</xdr:row>
      <xdr:rowOff>114300</xdr:rowOff>
    </xdr:to>
    <xdr:sp macro="" textlink="">
      <xdr:nvSpPr>
        <xdr:cNvPr id="5" name="TextBox 4">
          <a:extLst>
            <a:ext uri="{FF2B5EF4-FFF2-40B4-BE49-F238E27FC236}">
              <a16:creationId xmlns:a16="http://schemas.microsoft.com/office/drawing/2014/main" id="{00000000-0008-0000-1500-000005000000}"/>
            </a:ext>
          </a:extLst>
        </xdr:cNvPr>
        <xdr:cNvSpPr txBox="1"/>
      </xdr:nvSpPr>
      <xdr:spPr>
        <a:xfrm>
          <a:off x="2743201" y="9525"/>
          <a:ext cx="9194800"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Power Breakdown</a:t>
          </a:r>
        </a:p>
        <a:p>
          <a:pPr>
            <a:lnSpc>
              <a:spcPts val="1100"/>
            </a:lnSpc>
          </a:pPr>
          <a:endParaRPr lang="en-GB" sz="1100"/>
        </a:p>
      </xdr:txBody>
    </xdr:sp>
    <xdr:clientData/>
  </xdr:twoCellAnchor>
  <xdr:twoCellAnchor>
    <xdr:from>
      <xdr:col>0</xdr:col>
      <xdr:colOff>312964</xdr:colOff>
      <xdr:row>61</xdr:row>
      <xdr:rowOff>108857</xdr:rowOff>
    </xdr:from>
    <xdr:to>
      <xdr:col>25</xdr:col>
      <xdr:colOff>517072</xdr:colOff>
      <xdr:row>73</xdr:row>
      <xdr:rowOff>108857</xdr:rowOff>
    </xdr:to>
    <xdr:sp macro="" textlink="">
      <xdr:nvSpPr>
        <xdr:cNvPr id="6" name="TextBox 5">
          <a:extLst>
            <a:ext uri="{FF2B5EF4-FFF2-40B4-BE49-F238E27FC236}">
              <a16:creationId xmlns:a16="http://schemas.microsoft.com/office/drawing/2014/main" id="{00000000-0008-0000-1500-000006000000}"/>
            </a:ext>
          </a:extLst>
        </xdr:cNvPr>
        <xdr:cNvSpPr txBox="1"/>
      </xdr:nvSpPr>
      <xdr:spPr>
        <a:xfrm>
          <a:off x="312964" y="9239250"/>
          <a:ext cx="13471072" cy="1796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500"/>
            </a:lnSpc>
            <a:spcBef>
              <a:spcPts val="60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60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342900" marR="0" lvl="0" indent="-342900" defTabSz="914400" eaLnBrk="1" fontAlgn="auto" latinLnBrk="0" hangingPunct="1">
            <a:lnSpc>
              <a:spcPts val="1500"/>
            </a:lnSpc>
            <a:spcBef>
              <a:spcPts val="60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remaining power capability at XMS is reserved for Virtulisation and is not currently deployed</a:t>
          </a:r>
        </a:p>
        <a:p>
          <a:pPr marL="342900" marR="0" lvl="0" indent="-342900" defTabSz="914400" eaLnBrk="1" fontAlgn="auto" latinLnBrk="0" hangingPunct="1">
            <a:lnSpc>
              <a:spcPts val="2000"/>
            </a:lnSpc>
            <a:spcBef>
              <a:spcPts val="600"/>
            </a:spcBef>
            <a:spcAft>
              <a:spcPts val="600"/>
            </a:spcAft>
            <a:buClrTx/>
            <a:buSzTx/>
            <a:buFont typeface="Arial" panose="020B0604020202020204"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9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xdr:txBody>
    </xdr:sp>
    <xdr:clientData/>
  </xdr:twoCellAnchor>
  <xdr:twoCellAnchor>
    <xdr:from>
      <xdr:col>6</xdr:col>
      <xdr:colOff>139699</xdr:colOff>
      <xdr:row>6</xdr:row>
      <xdr:rowOff>50801</xdr:rowOff>
    </xdr:from>
    <xdr:to>
      <xdr:col>16</xdr:col>
      <xdr:colOff>342152</xdr:colOff>
      <xdr:row>9</xdr:row>
      <xdr:rowOff>21189</xdr:rowOff>
    </xdr:to>
    <xdr:sp macro="" textlink="">
      <xdr:nvSpPr>
        <xdr:cNvPr id="7" name="TextBox 6">
          <a:extLst>
            <a:ext uri="{FF2B5EF4-FFF2-40B4-BE49-F238E27FC236}">
              <a16:creationId xmlns:a16="http://schemas.microsoft.com/office/drawing/2014/main" id="{00000000-0008-0000-1500-000007000000}"/>
            </a:ext>
          </a:extLst>
        </xdr:cNvPr>
        <xdr:cNvSpPr txBox="1"/>
      </xdr:nvSpPr>
      <xdr:spPr>
        <a:xfrm>
          <a:off x="3340099" y="889001"/>
          <a:ext cx="5536453" cy="389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itchFamily="34" charset="0"/>
            </a:rPr>
            <a:t>STRATEGIC SITES FOR NEW CORE DEPLOYMENT</a:t>
          </a:r>
          <a:br>
            <a:rPr lang="en-GB" sz="1100"/>
          </a:br>
          <a:br>
            <a:rPr lang="en-GB" sz="1100"/>
          </a:br>
          <a:endParaRPr lang="en-GB" sz="1100"/>
        </a:p>
      </xdr:txBody>
    </xdr:sp>
    <xdr:clientData/>
  </xdr:twoCellAnchor>
  <xdr:twoCellAnchor>
    <xdr:from>
      <xdr:col>22</xdr:col>
      <xdr:colOff>355600</xdr:colOff>
      <xdr:row>37</xdr:row>
      <xdr:rowOff>101600</xdr:rowOff>
    </xdr:from>
    <xdr:to>
      <xdr:col>24</xdr:col>
      <xdr:colOff>469900</xdr:colOff>
      <xdr:row>39</xdr:row>
      <xdr:rowOff>114300</xdr:rowOff>
    </xdr:to>
    <xdr:sp macro="" textlink="">
      <xdr:nvSpPr>
        <xdr:cNvPr id="9" name="TextBox 8">
          <a:extLst>
            <a:ext uri="{FF2B5EF4-FFF2-40B4-BE49-F238E27FC236}">
              <a16:creationId xmlns:a16="http://schemas.microsoft.com/office/drawing/2014/main" id="{00000000-0008-0000-1500-000009000000}"/>
            </a:ext>
          </a:extLst>
        </xdr:cNvPr>
        <xdr:cNvSpPr txBox="1"/>
      </xdr:nvSpPr>
      <xdr:spPr>
        <a:xfrm>
          <a:off x="12090400" y="5270500"/>
          <a:ext cx="11811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latin typeface="Vodafone Lt" pitchFamily="34" charset="0"/>
            </a:rPr>
            <a:t>* - CHE SITEC</a:t>
          </a:r>
        </a:p>
      </xdr:txBody>
    </xdr:sp>
    <xdr:clientData/>
  </xdr:twoCellAnchor>
  <xdr:twoCellAnchor>
    <xdr:from>
      <xdr:col>0</xdr:col>
      <xdr:colOff>257175</xdr:colOff>
      <xdr:row>4</xdr:row>
      <xdr:rowOff>85725</xdr:rowOff>
    </xdr:from>
    <xdr:to>
      <xdr:col>25</xdr:col>
      <xdr:colOff>390525</xdr:colOff>
      <xdr:row>61</xdr:row>
      <xdr:rowOff>66675</xdr:rowOff>
    </xdr:to>
    <xdr:graphicFrame macro="">
      <xdr:nvGraphicFramePr>
        <xdr:cNvPr id="10926307" name="Chart 9">
          <a:extLst>
            <a:ext uri="{FF2B5EF4-FFF2-40B4-BE49-F238E27FC236}">
              <a16:creationId xmlns:a16="http://schemas.microsoft.com/office/drawing/2014/main" id="{00000000-0008-0000-1500-0000E3B8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355601</xdr:colOff>
      <xdr:row>24</xdr:row>
      <xdr:rowOff>38100</xdr:rowOff>
    </xdr:from>
    <xdr:ext cx="478593" cy="1308100"/>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355601" y="3630386"/>
          <a:ext cx="478593" cy="130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GB" sz="2000">
              <a:latin typeface="Vodafone Lt" pitchFamily="34" charset="0"/>
            </a:rPr>
            <a:t>Power (kW)</a:t>
          </a:r>
        </a:p>
      </xdr:txBody>
    </xdr:sp>
    <xdr:clientData/>
  </xdr:oneCellAnchor>
</xdr:wsDr>
</file>

<file path=xl/drawings/drawing18.xml><?xml version="1.0" encoding="utf-8"?>
<c:userShapes xmlns:c="http://schemas.openxmlformats.org/drawingml/2006/chart">
  <cdr:relSizeAnchor xmlns:cdr="http://schemas.openxmlformats.org/drawingml/2006/chartDrawing">
    <cdr:from>
      <cdr:x>0.78147</cdr:x>
      <cdr:y>0.03386</cdr:y>
    </cdr:from>
    <cdr:to>
      <cdr:x>0.7827</cdr:x>
      <cdr:y>0.03299</cdr:y>
    </cdr:to>
    <cdr:sp macro="" textlink="">
      <cdr:nvSpPr>
        <cdr:cNvPr id="2" name="TextBox 1"/>
        <cdr:cNvSpPr txBox="1"/>
      </cdr:nvSpPr>
      <cdr:spPr>
        <a:xfrm xmlns:a="http://schemas.openxmlformats.org/drawingml/2006/main">
          <a:off x="3670300" y="304800"/>
          <a:ext cx="505460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0.78116</cdr:x>
      <cdr:y>0.03434</cdr:y>
    </cdr:from>
    <cdr:to>
      <cdr:x>0.78268</cdr:x>
      <cdr:y>0.03325</cdr:y>
    </cdr:to>
    <cdr:sp macro="" textlink="">
      <cdr:nvSpPr>
        <cdr:cNvPr id="3" name="TextBox 2"/>
        <cdr:cNvSpPr txBox="1"/>
      </cdr:nvSpPr>
      <cdr:spPr>
        <a:xfrm xmlns:a="http://schemas.openxmlformats.org/drawingml/2006/main">
          <a:off x="3352611" y="321783"/>
          <a:ext cx="5410390" cy="45291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itchFamily="34" charset="0"/>
            </a:rPr>
            <a:t>STRATEGIC SITES FOR NEW CORE DEPLOYMENT</a:t>
          </a:r>
        </a:p>
      </cdr:txBody>
    </cdr:sp>
  </cdr:relSizeAnchor>
  <cdr:relSizeAnchor xmlns:cdr="http://schemas.openxmlformats.org/drawingml/2006/chartDrawing">
    <cdr:from>
      <cdr:x>0.83148</cdr:x>
      <cdr:y>0.90013</cdr:y>
    </cdr:from>
    <cdr:to>
      <cdr:x>0.95851</cdr:x>
      <cdr:y>0.95963</cdr:y>
    </cdr:to>
    <cdr:sp macro="" textlink="">
      <cdr:nvSpPr>
        <cdr:cNvPr id="4" name="TextBox 3"/>
        <cdr:cNvSpPr txBox="1"/>
      </cdr:nvSpPr>
      <cdr:spPr>
        <a:xfrm xmlns:a="http://schemas.openxmlformats.org/drawingml/2006/main">
          <a:off x="11198657" y="7150480"/>
          <a:ext cx="1710893" cy="4726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a:latin typeface="Vodafone Lt" pitchFamily="34" charset="0"/>
            </a:rPr>
            <a:t>*- CHE SITE</a:t>
          </a:r>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101600</xdr:colOff>
      <xdr:row>5</xdr:row>
      <xdr:rowOff>133351</xdr:rowOff>
    </xdr:from>
    <xdr:to>
      <xdr:col>31</xdr:col>
      <xdr:colOff>412750</xdr:colOff>
      <xdr:row>40</xdr:row>
      <xdr:rowOff>63501</xdr:rowOff>
    </xdr:to>
    <xdr:graphicFrame macro="">
      <xdr:nvGraphicFramePr>
        <xdr:cNvPr id="10928277" name="Chart 9">
          <a:extLst>
            <a:ext uri="{FF2B5EF4-FFF2-40B4-BE49-F238E27FC236}">
              <a16:creationId xmlns:a16="http://schemas.microsoft.com/office/drawing/2014/main" id="{00000000-0008-0000-1600-000095C0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127001</xdr:colOff>
      <xdr:row>75</xdr:row>
      <xdr:rowOff>1</xdr:rowOff>
    </xdr:from>
    <xdr:to>
      <xdr:col>31</xdr:col>
      <xdr:colOff>254001</xdr:colOff>
      <xdr:row>83</xdr:row>
      <xdr:rowOff>47625</xdr:rowOff>
    </xdr:to>
    <xdr:sp macro="" textlink="">
      <xdr:nvSpPr>
        <xdr:cNvPr id="4" name="TextBox 3">
          <a:extLst>
            <a:ext uri="{FF2B5EF4-FFF2-40B4-BE49-F238E27FC236}">
              <a16:creationId xmlns:a16="http://schemas.microsoft.com/office/drawing/2014/main" id="{00000000-0008-0000-1600-000004000000}"/>
            </a:ext>
          </a:extLst>
        </xdr:cNvPr>
        <xdr:cNvSpPr txBox="1"/>
      </xdr:nvSpPr>
      <xdr:spPr>
        <a:xfrm>
          <a:off x="127001" y="11176001"/>
          <a:ext cx="16859250" cy="1190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900"/>
            </a:lnSpc>
            <a:spcBef>
              <a:spcPts val="0"/>
            </a:spcBef>
            <a:spcAft>
              <a:spcPts val="900"/>
            </a:spcAft>
            <a:buClrTx/>
            <a:buSzTx/>
            <a:buFontTx/>
            <a:buNone/>
            <a:tabLst/>
            <a:defRPr/>
          </a:pPr>
          <a:r>
            <a:rPr lang="en-GB" sz="2400" b="0" i="0" baseline="0">
              <a:solidFill>
                <a:schemeClr val="dk1"/>
              </a:solidFill>
              <a:effectLst/>
              <a:latin typeface="Vodafone Lt" panose="020B0606040202020204" pitchFamily="34" charset="0"/>
              <a:ea typeface="+mn-ea"/>
              <a:cs typeface="+mn-cs"/>
            </a:rPr>
            <a:t>Derived AC expansion and deployed capability is subject to DC power availability at each site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The reserved and forecast figures at XBE, XMS and XLD are for Virtulisation use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IC13GL, IC14GL, IC12LD and IC13LD are TSi inverter systems for Voicemail use</a:t>
          </a:r>
        </a:p>
        <a:p>
          <a:pPr marL="0" indent="0">
            <a:lnSpc>
              <a:spcPts val="2000"/>
            </a:lnSpc>
            <a:buFontTx/>
            <a:buNone/>
          </a:pPr>
          <a:endParaRPr lang="en-GB" sz="2000" b="0" i="0" u="none" strike="noStrike" baseline="0">
            <a:solidFill>
              <a:sysClr val="windowText" lastClr="000000"/>
            </a:solidFill>
            <a:effectLst/>
            <a:latin typeface="Vodafone Lt" pitchFamily="34" charset="0"/>
            <a:ea typeface="+mn-ea"/>
            <a:cs typeface="+mn-cs"/>
          </a:endParaRPr>
        </a:p>
        <a:p>
          <a:pPr marL="342900" indent="-342900">
            <a:lnSpc>
              <a:spcPts val="2000"/>
            </a:lnSpc>
            <a:buFont typeface="Arial" panose="020B0604020202020204" pitchFamily="34" charset="0"/>
            <a:buChar char="•"/>
          </a:pPr>
          <a:endParaRPr lang="en-GB" sz="2000" b="0" i="0" u="none" strike="noStrike" baseline="0">
            <a:solidFill>
              <a:sysClr val="windowText" lastClr="000000"/>
            </a:solidFill>
            <a:effectLst/>
            <a:latin typeface="Vodafone Lt" pitchFamily="34" charset="0"/>
            <a:ea typeface="+mn-ea"/>
            <a:cs typeface="+mn-cs"/>
          </a:endParaRPr>
        </a:p>
        <a:p>
          <a:pPr marL="0" indent="0">
            <a:lnSpc>
              <a:spcPts val="1900"/>
            </a:lnSpc>
            <a:buFontTx/>
            <a:buNone/>
          </a:pPr>
          <a:endParaRPr lang="en-GB" sz="2000" b="0" i="0" u="none" strike="noStrike">
            <a:solidFill>
              <a:sysClr val="windowText" lastClr="000000"/>
            </a:solidFill>
            <a:effectLst/>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r>
            <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endParaRPr lang="en-GB" sz="2000" b="0" i="0" u="none" strike="noStrike">
            <a:solidFill>
              <a:sysClr val="windowText" lastClr="000000"/>
            </a:solidFill>
            <a:effectLst/>
            <a:latin typeface="Vodafone Lt" pitchFamily="34" charset="0"/>
            <a:ea typeface="+mn-ea"/>
            <a:cs typeface="+mn-cs"/>
          </a:endParaRPr>
        </a:p>
      </xdr:txBody>
    </xdr:sp>
    <xdr:clientData/>
  </xdr:twoCellAnchor>
  <xdr:twoCellAnchor>
    <xdr:from>
      <xdr:col>8</xdr:col>
      <xdr:colOff>435428</xdr:colOff>
      <xdr:row>0</xdr:row>
      <xdr:rowOff>9526</xdr:rowOff>
    </xdr:from>
    <xdr:to>
      <xdr:col>21</xdr:col>
      <xdr:colOff>298449</xdr:colOff>
      <xdr:row>4</xdr:row>
      <xdr:rowOff>54430</xdr:rowOff>
    </xdr:to>
    <xdr:sp macro="" textlink="">
      <xdr:nvSpPr>
        <xdr:cNvPr id="5" name="TextBox 4">
          <a:extLst>
            <a:ext uri="{FF2B5EF4-FFF2-40B4-BE49-F238E27FC236}">
              <a16:creationId xmlns:a16="http://schemas.microsoft.com/office/drawing/2014/main" id="{00000000-0008-0000-1600-000005000000}"/>
            </a:ext>
          </a:extLst>
        </xdr:cNvPr>
        <xdr:cNvSpPr txBox="1"/>
      </xdr:nvSpPr>
      <xdr:spPr>
        <a:xfrm>
          <a:off x="4680857" y="9526"/>
          <a:ext cx="6761842" cy="643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800" b="1">
              <a:latin typeface="Vodafone Lt" pitchFamily="34" charset="0"/>
            </a:rPr>
            <a:t> CHE </a:t>
          </a:r>
          <a:r>
            <a:rPr lang="en-GB" sz="3800" b="1" baseline="0">
              <a:latin typeface="Vodafone Lt" pitchFamily="34" charset="0"/>
            </a:rPr>
            <a:t>Sites - Power Breakdown</a:t>
          </a:r>
          <a:endParaRPr lang="en-GB" sz="3800" b="1">
            <a:latin typeface="Vodafone Lt" pitchFamily="34" charset="0"/>
          </a:endParaRPr>
        </a:p>
      </xdr:txBody>
    </xdr:sp>
    <xdr:clientData/>
  </xdr:twoCellAnchor>
  <xdr:twoCellAnchor>
    <xdr:from>
      <xdr:col>0</xdr:col>
      <xdr:colOff>111124</xdr:colOff>
      <xdr:row>40</xdr:row>
      <xdr:rowOff>111125</xdr:rowOff>
    </xdr:from>
    <xdr:to>
      <xdr:col>31</xdr:col>
      <xdr:colOff>412750</xdr:colOff>
      <xdr:row>74</xdr:row>
      <xdr:rowOff>0</xdr:rowOff>
    </xdr:to>
    <xdr:graphicFrame macro="">
      <xdr:nvGraphicFramePr>
        <xdr:cNvPr id="15" name="Chart 14">
          <a:extLst>
            <a:ext uri="{FF2B5EF4-FFF2-40B4-BE49-F238E27FC236}">
              <a16:creationId xmlns:a16="http://schemas.microsoft.com/office/drawing/2014/main" id="{00000000-0008-0000-1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0.00712</cdr:x>
      <cdr:y>0.24488</cdr:y>
    </cdr:from>
    <cdr:to>
      <cdr:x>0.0294</cdr:x>
      <cdr:y>0.5801</cdr:y>
    </cdr:to>
    <cdr:sp macro="" textlink="">
      <cdr:nvSpPr>
        <cdr:cNvPr id="2" name="TextBox 1"/>
        <cdr:cNvSpPr txBox="1"/>
      </cdr:nvSpPr>
      <cdr:spPr>
        <a:xfrm xmlns:a="http://schemas.openxmlformats.org/drawingml/2006/main">
          <a:off x="121216" y="1294550"/>
          <a:ext cx="379631" cy="1772053"/>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r>
            <a:rPr lang="en-GB" sz="2000">
              <a:latin typeface="Vodafone Lt" panose="020B0606040202020204" pitchFamily="34" charset="0"/>
            </a:rPr>
            <a:t>Power (kW)</a:t>
          </a:r>
        </a:p>
      </cdr:txBody>
    </cdr:sp>
  </cdr:relSizeAnchor>
  <cdr:relSizeAnchor xmlns:cdr="http://schemas.openxmlformats.org/drawingml/2006/chartDrawing">
    <cdr:from>
      <cdr:x>0.39143</cdr:x>
      <cdr:y>0.01201</cdr:y>
    </cdr:from>
    <cdr:to>
      <cdr:x>0.57409</cdr:x>
      <cdr:y>0.0991</cdr:y>
    </cdr:to>
    <cdr:sp macro="" textlink="">
      <cdr:nvSpPr>
        <cdr:cNvPr id="3" name="TextBox 2"/>
        <cdr:cNvSpPr txBox="1"/>
      </cdr:nvSpPr>
      <cdr:spPr>
        <a:xfrm xmlns:a="http://schemas.openxmlformats.org/drawingml/2006/main">
          <a:off x="6667501" y="63500"/>
          <a:ext cx="3111500" cy="460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600" b="1">
              <a:latin typeface="Vodafone Lt" panose="020B0606040202020204" pitchFamily="34" charset="0"/>
            </a:rPr>
            <a:t>Inverter Capacity (AC)</a:t>
          </a:r>
        </a:p>
      </cdr:txBody>
    </cdr:sp>
  </cdr:relSizeAnchor>
</c:userShapes>
</file>

<file path=xl/drawings/drawing21.xml><?xml version="1.0" encoding="utf-8"?>
<xdr:wsDr xmlns:xdr="http://schemas.openxmlformats.org/drawingml/2006/spreadsheetDrawing" xmlns:a="http://schemas.openxmlformats.org/drawingml/2006/main">
  <xdr:twoCellAnchor>
    <xdr:from>
      <xdr:col>0</xdr:col>
      <xdr:colOff>171450</xdr:colOff>
      <xdr:row>5</xdr:row>
      <xdr:rowOff>104775</xdr:rowOff>
    </xdr:from>
    <xdr:to>
      <xdr:col>25</xdr:col>
      <xdr:colOff>323850</xdr:colOff>
      <xdr:row>36</xdr:row>
      <xdr:rowOff>0</xdr:rowOff>
    </xdr:to>
    <xdr:graphicFrame macro="">
      <xdr:nvGraphicFramePr>
        <xdr:cNvPr id="10935482" name="Chart 11">
          <a:extLst>
            <a:ext uri="{FF2B5EF4-FFF2-40B4-BE49-F238E27FC236}">
              <a16:creationId xmlns:a16="http://schemas.microsoft.com/office/drawing/2014/main" id="{00000000-0008-0000-1700-0000BA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196849</xdr:colOff>
      <xdr:row>14</xdr:row>
      <xdr:rowOff>108857</xdr:rowOff>
    </xdr:from>
    <xdr:to>
      <xdr:col>1</xdr:col>
      <xdr:colOff>136071</xdr:colOff>
      <xdr:row>24</xdr:row>
      <xdr:rowOff>0</xdr:rowOff>
    </xdr:to>
    <xdr:sp macro="" textlink="">
      <xdr:nvSpPr>
        <xdr:cNvPr id="11" name="TextBox 10">
          <a:extLst>
            <a:ext uri="{FF2B5EF4-FFF2-40B4-BE49-F238E27FC236}">
              <a16:creationId xmlns:a16="http://schemas.microsoft.com/office/drawing/2014/main" id="{00000000-0008-0000-1700-00000B000000}"/>
            </a:ext>
          </a:extLst>
        </xdr:cNvPr>
        <xdr:cNvSpPr txBox="1"/>
      </xdr:nvSpPr>
      <xdr:spPr>
        <a:xfrm>
          <a:off x="196849" y="2204357"/>
          <a:ext cx="469901" cy="1387929"/>
        </a:xfrm>
        <a:prstGeom prst="rect">
          <a:avLst/>
        </a:prstGeom>
        <a:solidFill>
          <a:sysClr val="window" lastClr="FFFFFF"/>
        </a:solidFill>
        <a:ln w="9525" cmpd="sng">
          <a:noFill/>
        </a:ln>
        <a:effectLst/>
      </xdr:spPr>
      <xdr:txBody>
        <a:bodyPr vertOverflow="clip" horzOverflow="clip" vert="vert270"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(kW)</a:t>
          </a:r>
        </a:p>
      </xdr:txBody>
    </xdr:sp>
    <xdr:clientData/>
  </xdr:twoCellAnchor>
  <xdr:twoCellAnchor>
    <xdr:from>
      <xdr:col>4</xdr:col>
      <xdr:colOff>215106</xdr:colOff>
      <xdr:row>0</xdr:row>
      <xdr:rowOff>64293</xdr:rowOff>
    </xdr:from>
    <xdr:to>
      <xdr:col>20</xdr:col>
      <xdr:colOff>291306</xdr:colOff>
      <xdr:row>5</xdr:row>
      <xdr:rowOff>13493</xdr:rowOff>
    </xdr:to>
    <xdr:sp macro="" textlink="">
      <xdr:nvSpPr>
        <xdr:cNvPr id="12" name="TextBox 11">
          <a:extLst>
            <a:ext uri="{FF2B5EF4-FFF2-40B4-BE49-F238E27FC236}">
              <a16:creationId xmlns:a16="http://schemas.microsoft.com/office/drawing/2014/main" id="{00000000-0008-0000-1700-00000C000000}"/>
            </a:ext>
          </a:extLst>
        </xdr:cNvPr>
        <xdr:cNvSpPr txBox="1"/>
      </xdr:nvSpPr>
      <xdr:spPr>
        <a:xfrm>
          <a:off x="2358231" y="64293"/>
          <a:ext cx="8648700" cy="663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Sites (Non- CHE) - Plant Usage</a:t>
          </a:r>
        </a:p>
        <a:p>
          <a:endParaRPr lang="en-GB" sz="1100"/>
        </a:p>
      </xdr:txBody>
    </xdr:sp>
    <xdr:clientData/>
  </xdr:twoCellAnchor>
  <xdr:twoCellAnchor>
    <xdr:from>
      <xdr:col>0</xdr:col>
      <xdr:colOff>161925</xdr:colOff>
      <xdr:row>36</xdr:row>
      <xdr:rowOff>38100</xdr:rowOff>
    </xdr:from>
    <xdr:to>
      <xdr:col>15</xdr:col>
      <xdr:colOff>514350</xdr:colOff>
      <xdr:row>68</xdr:row>
      <xdr:rowOff>133350</xdr:rowOff>
    </xdr:to>
    <xdr:graphicFrame macro="">
      <xdr:nvGraphicFramePr>
        <xdr:cNvPr id="10935485" name="Chart 1">
          <a:extLst>
            <a:ext uri="{FF2B5EF4-FFF2-40B4-BE49-F238E27FC236}">
              <a16:creationId xmlns:a16="http://schemas.microsoft.com/office/drawing/2014/main" id="{00000000-0008-0000-1700-0000BD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176893</xdr:colOff>
      <xdr:row>39</xdr:row>
      <xdr:rowOff>140152</xdr:rowOff>
    </xdr:from>
    <xdr:to>
      <xdr:col>26</xdr:col>
      <xdr:colOff>68036</xdr:colOff>
      <xdr:row>67</xdr:row>
      <xdr:rowOff>136071</xdr:rowOff>
    </xdr:to>
    <xdr:sp macro="" textlink="">
      <xdr:nvSpPr>
        <xdr:cNvPr id="14" name="TextBox 13">
          <a:extLst>
            <a:ext uri="{FF2B5EF4-FFF2-40B4-BE49-F238E27FC236}">
              <a16:creationId xmlns:a16="http://schemas.microsoft.com/office/drawing/2014/main" id="{00000000-0008-0000-1700-00000E000000}"/>
            </a:ext>
          </a:extLst>
        </xdr:cNvPr>
        <xdr:cNvSpPr txBox="1"/>
      </xdr:nvSpPr>
      <xdr:spPr>
        <a:xfrm>
          <a:off x="8667750" y="5977616"/>
          <a:ext cx="5197929" cy="4186919"/>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HLR and DSC cabs at XCY and XGR are installed and included in the forecast figures , but not due to be powered on until 2018</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IC5AN is reserved for security cab use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wsDr>
</file>

<file path=xl/drawings/drawing22.xml><?xml version="1.0" encoding="utf-8"?>
<c:userShapes xmlns:c="http://schemas.openxmlformats.org/drawingml/2006/chart">
  <cdr:relSizeAnchor xmlns:cdr="http://schemas.openxmlformats.org/drawingml/2006/chartDrawing">
    <cdr:from>
      <cdr:x>0.87064</cdr:x>
      <cdr:y>0.01217</cdr:y>
    </cdr:from>
    <cdr:to>
      <cdr:x>0.87393</cdr:x>
      <cdr:y>0.01415</cdr:y>
    </cdr:to>
    <cdr:sp macro="" textlink="">
      <cdr:nvSpPr>
        <cdr:cNvPr id="3" name="TextBox 2"/>
        <cdr:cNvSpPr txBox="1"/>
      </cdr:nvSpPr>
      <cdr:spPr>
        <a:xfrm xmlns:a="http://schemas.openxmlformats.org/drawingml/2006/main">
          <a:off x="2956414" y="80069"/>
          <a:ext cx="6809886" cy="4279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GB" sz="2400" b="1" i="0" baseline="0">
              <a:effectLst/>
              <a:latin typeface="Vodafone Lt" pitchFamily="34" charset="0"/>
              <a:ea typeface="+mn-ea"/>
              <a:cs typeface="+mn-cs"/>
            </a:rPr>
            <a:t>Non- CHE Strategic Sites DC Plant Utilisation </a:t>
          </a:r>
          <a:endParaRPr lang="en-GB" sz="2400">
            <a:effectLst/>
            <a:latin typeface="Vodafone Lt" pitchFamily="34" charset="0"/>
          </a:endParaRPr>
        </a:p>
        <a:p xmlns:a="http://schemas.openxmlformats.org/drawingml/2006/main">
          <a:endParaRPr lang="en-GB" sz="2400">
            <a:latin typeface="Vodafone Lt" pitchFamily="34" charset="0"/>
          </a:endParaRPr>
        </a:p>
      </cdr:txBody>
    </cdr:sp>
  </cdr:relSizeAnchor>
  <cdr:relSizeAnchor xmlns:cdr="http://schemas.openxmlformats.org/drawingml/2006/chartDrawing">
    <cdr:from>
      <cdr:x>0.25453</cdr:x>
      <cdr:y>0.01156</cdr:y>
    </cdr:from>
    <cdr:to>
      <cdr:x>0.70803</cdr:x>
      <cdr:y>0.11619</cdr:y>
    </cdr:to>
    <cdr:sp macro="" textlink="">
      <cdr:nvSpPr>
        <cdr:cNvPr id="5" name="TextBox 4"/>
        <cdr:cNvSpPr txBox="1"/>
      </cdr:nvSpPr>
      <cdr:spPr>
        <a:xfrm xmlns:a="http://schemas.openxmlformats.org/drawingml/2006/main">
          <a:off x="3448050" y="50006"/>
          <a:ext cx="6143625" cy="4524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Strategic Sites (Non- CHE) </a:t>
          </a:r>
          <a:r>
            <a:rPr lang="en-GB" sz="2400" b="1" baseline="0">
              <a:latin typeface="Vodafone Lt" panose="020B0606040202020204" pitchFamily="34" charset="0"/>
            </a:rPr>
            <a:t> </a:t>
          </a:r>
          <a:r>
            <a:rPr lang="en-GB" sz="2400" b="1">
              <a:latin typeface="Vodafone Lt" panose="020B0606040202020204" pitchFamily="34" charset="0"/>
            </a:rPr>
            <a:t>DC Plant Utilisation</a:t>
          </a:r>
        </a:p>
      </cdr:txBody>
    </cdr:sp>
  </cdr:relSizeAnchor>
</c:userShapes>
</file>

<file path=xl/drawings/drawing23.xml><?xml version="1.0" encoding="utf-8"?>
<c:userShapes xmlns:c="http://schemas.openxmlformats.org/drawingml/2006/chart">
  <cdr:relSizeAnchor xmlns:cdr="http://schemas.openxmlformats.org/drawingml/2006/chartDrawing">
    <cdr:from>
      <cdr:x>0.08369</cdr:x>
      <cdr:y>0.01033</cdr:y>
    </cdr:from>
    <cdr:to>
      <cdr:x>0.85955</cdr:x>
      <cdr:y>0.10641</cdr:y>
    </cdr:to>
    <cdr:sp macro="" textlink="">
      <cdr:nvSpPr>
        <cdr:cNvPr id="6" name="TextBox 5"/>
        <cdr:cNvSpPr txBox="1"/>
      </cdr:nvSpPr>
      <cdr:spPr>
        <a:xfrm xmlns:a="http://schemas.openxmlformats.org/drawingml/2006/main">
          <a:off x="695681" y="50462"/>
          <a:ext cx="6449429" cy="4693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GB" sz="2400" b="1">
              <a:latin typeface="Vodafone Lt" pitchFamily="34" charset="0"/>
            </a:rPr>
            <a:t>     Strategic Sites (Non- CHE)  AC Plant Utilisation</a:t>
          </a:r>
        </a:p>
      </cdr:txBody>
    </cdr:sp>
  </cdr:relSizeAnchor>
</c:userShapes>
</file>

<file path=xl/drawings/drawing2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3" name="TextBox 2">
          <a:extLst>
            <a:ext uri="{FF2B5EF4-FFF2-40B4-BE49-F238E27FC236}">
              <a16:creationId xmlns:a16="http://schemas.microsoft.com/office/drawing/2014/main" id="{00000000-0008-0000-1800-000003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3</xdr:col>
      <xdr:colOff>342900</xdr:colOff>
      <xdr:row>0</xdr:row>
      <xdr:rowOff>88900</xdr:rowOff>
    </xdr:from>
    <xdr:to>
      <xdr:col>22</xdr:col>
      <xdr:colOff>520700</xdr:colOff>
      <xdr:row>5</xdr:row>
      <xdr:rowOff>50800</xdr:rowOff>
    </xdr:to>
    <xdr:sp macro="" textlink="">
      <xdr:nvSpPr>
        <xdr:cNvPr id="4" name="TextBox 3">
          <a:extLst>
            <a:ext uri="{FF2B5EF4-FFF2-40B4-BE49-F238E27FC236}">
              <a16:creationId xmlns:a16="http://schemas.microsoft.com/office/drawing/2014/main" id="{00000000-0008-0000-1800-000004000000}"/>
            </a:ext>
          </a:extLst>
        </xdr:cNvPr>
        <xdr:cNvSpPr txBox="1"/>
      </xdr:nvSpPr>
      <xdr:spPr>
        <a:xfrm>
          <a:off x="1943100" y="88900"/>
          <a:ext cx="10312400" cy="660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- 12 Month Power Usage</a:t>
          </a:r>
        </a:p>
        <a:p>
          <a:pPr algn="ctr"/>
          <a:endParaRPr lang="en-GB" sz="1100"/>
        </a:p>
      </xdr:txBody>
    </xdr:sp>
    <xdr:clientData/>
  </xdr:twoCellAnchor>
  <xdr:twoCellAnchor>
    <xdr:from>
      <xdr:col>1</xdr:col>
      <xdr:colOff>50798</xdr:colOff>
      <xdr:row>44</xdr:row>
      <xdr:rowOff>15875</xdr:rowOff>
    </xdr:from>
    <xdr:to>
      <xdr:col>26</xdr:col>
      <xdr:colOff>476250</xdr:colOff>
      <xdr:row>72</xdr:row>
      <xdr:rowOff>47625</xdr:rowOff>
    </xdr:to>
    <xdr:sp macro="" textlink="">
      <xdr:nvSpPr>
        <xdr:cNvPr id="5" name="TextBox 4">
          <a:extLst>
            <a:ext uri="{FF2B5EF4-FFF2-40B4-BE49-F238E27FC236}">
              <a16:creationId xmlns:a16="http://schemas.microsoft.com/office/drawing/2014/main" id="{00000000-0008-0000-1800-000005000000}"/>
            </a:ext>
          </a:extLst>
        </xdr:cNvPr>
        <xdr:cNvSpPr txBox="1"/>
      </xdr:nvSpPr>
      <xdr:spPr>
        <a:xfrm>
          <a:off x="590548" y="6302375"/>
          <a:ext cx="13919202" cy="403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usage figures on AC plants are included in the DC figures as AC power is derived from the DC plants</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XGL and XLD values include TSi inverter figures that are powered by raw mains</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1"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an overall decrease in power usage of 113kW across Strategic Core MTX sites. However, the forecast and reserved figures predict an increase of 461kW, resulting in an increase of 288kW  year on year</a:t>
          </a: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r>
            <a:rPr kumimoji="0" lang="en-GB" sz="2000" b="0" i="0" u="sng" strike="noStrike" kern="0" cap="none" spc="0" normalizeH="0" baseline="0" noProof="0">
              <a:ln>
                <a:noFill/>
              </a:ln>
              <a:solidFill>
                <a:sysClr val="windowText" lastClr="000000"/>
              </a:solidFill>
              <a:effectLst/>
              <a:uLnTx/>
              <a:uFillTx/>
              <a:latin typeface="Vodafone Lt" pitchFamily="34" charset="0"/>
              <a:ea typeface="+mn-ea"/>
              <a:cs typeface="+mn-cs"/>
            </a:rPr>
            <a:t>Power decreases</a:t>
          </a: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 The decreases at  XBE, XGL, XMS, and XLD are due to a combination of the powering down of MCA, ACF, CLS and SSM cabs and CHE and Vosnet cab equipment</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chemeClr val="bg1">
                  <a:lumMod val="50000"/>
                </a:schemeClr>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At XAN, there is  20kW reserved to support a new security cab suite</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Virtulisation requirements account for the reserved and forecast figures at XBE, XLD and XMS                                                          </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xdr:txBody>
    </xdr:sp>
    <xdr:clientData/>
  </xdr:twoCellAnchor>
  <xdr:twoCellAnchor>
    <xdr:from>
      <xdr:col>1</xdr:col>
      <xdr:colOff>28575</xdr:colOff>
      <xdr:row>5</xdr:row>
      <xdr:rowOff>123825</xdr:rowOff>
    </xdr:from>
    <xdr:to>
      <xdr:col>26</xdr:col>
      <xdr:colOff>460375</xdr:colOff>
      <xdr:row>43</xdr:row>
      <xdr:rowOff>31750</xdr:rowOff>
    </xdr:to>
    <xdr:graphicFrame macro="">
      <xdr:nvGraphicFramePr>
        <xdr:cNvPr id="10941592" name="Chart 8">
          <a:extLst>
            <a:ext uri="{FF2B5EF4-FFF2-40B4-BE49-F238E27FC236}">
              <a16:creationId xmlns:a16="http://schemas.microsoft.com/office/drawing/2014/main" id="{00000000-0008-0000-1800-000098F4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0.83555</cdr:x>
      <cdr:y>0.03087</cdr:y>
    </cdr:from>
    <cdr:to>
      <cdr:x>0.83723</cdr:x>
      <cdr:y>0.0322</cdr:y>
    </cdr:to>
    <cdr:sp macro="" textlink="">
      <cdr:nvSpPr>
        <cdr:cNvPr id="2" name="TextBox 1"/>
        <cdr:cNvSpPr txBox="1"/>
      </cdr:nvSpPr>
      <cdr:spPr>
        <a:xfrm xmlns:a="http://schemas.openxmlformats.org/drawingml/2006/main">
          <a:off x="3365041" y="210961"/>
          <a:ext cx="5194759" cy="51293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endParaRPr lang="en-GB" sz="2000">
            <a:latin typeface="Vodafone Lt" pitchFamily="34" charset="0"/>
          </a:endParaRPr>
        </a:p>
      </cdr:txBody>
    </cdr:sp>
  </cdr:relSizeAnchor>
  <cdr:relSizeAnchor xmlns:cdr="http://schemas.openxmlformats.org/drawingml/2006/chartDrawing">
    <cdr:from>
      <cdr:x>0.00983</cdr:x>
      <cdr:y>0.3718</cdr:y>
    </cdr:from>
    <cdr:to>
      <cdr:x>0.04</cdr:x>
      <cdr:y>0.59504</cdr:y>
    </cdr:to>
    <cdr:sp macro="" textlink="">
      <cdr:nvSpPr>
        <cdr:cNvPr id="4" name="TextBox 3"/>
        <cdr:cNvSpPr txBox="1"/>
      </cdr:nvSpPr>
      <cdr:spPr>
        <a:xfrm xmlns:a="http://schemas.openxmlformats.org/drawingml/2006/main">
          <a:off x="130066" y="2271032"/>
          <a:ext cx="399251" cy="1363619"/>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1800">
              <a:latin typeface="Vodafone Lt" panose="020B0606040202020204" pitchFamily="34" charset="0"/>
            </a:rPr>
            <a:t>Power (kW)</a:t>
          </a:r>
        </a:p>
      </cdr:txBody>
    </cdr:sp>
  </cdr:relSizeAnchor>
</c:userShapes>
</file>

<file path=xl/drawings/drawing26.xml><?xml version="1.0" encoding="utf-8"?>
<xdr:wsDr xmlns:xdr="http://schemas.openxmlformats.org/drawingml/2006/spreadsheetDrawing" xmlns:a="http://schemas.openxmlformats.org/drawingml/2006/main">
  <xdr:twoCellAnchor>
    <xdr:from>
      <xdr:col>6</xdr:col>
      <xdr:colOff>425450</xdr:colOff>
      <xdr:row>0</xdr:row>
      <xdr:rowOff>34923</xdr:rowOff>
    </xdr:from>
    <xdr:to>
      <xdr:col>27</xdr:col>
      <xdr:colOff>476250</xdr:colOff>
      <xdr:row>4</xdr:row>
      <xdr:rowOff>127000</xdr:rowOff>
    </xdr:to>
    <xdr:sp macro="" textlink="">
      <xdr:nvSpPr>
        <xdr:cNvPr id="3" name="TextBox 2">
          <a:extLst>
            <a:ext uri="{FF2B5EF4-FFF2-40B4-BE49-F238E27FC236}">
              <a16:creationId xmlns:a16="http://schemas.microsoft.com/office/drawing/2014/main" id="{00000000-0008-0000-1900-000003000000}"/>
            </a:ext>
          </a:extLst>
        </xdr:cNvPr>
        <xdr:cNvSpPr txBox="1"/>
      </xdr:nvSpPr>
      <xdr:spPr>
        <a:xfrm>
          <a:off x="3663950" y="34923"/>
          <a:ext cx="11385550" cy="6635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 Strategic Core MTX Sites - Switchroom </a:t>
          </a:r>
          <a:r>
            <a:rPr lang="en-GB" sz="3600" b="1">
              <a:latin typeface="Vodafone Lt" pitchFamily="34" charset="0"/>
            </a:rPr>
            <a:t>Floor Space Usage </a:t>
          </a:r>
        </a:p>
      </xdr:txBody>
    </xdr:sp>
    <xdr:clientData/>
  </xdr:twoCellAnchor>
  <xdr:twoCellAnchor>
    <xdr:from>
      <xdr:col>19</xdr:col>
      <xdr:colOff>238125</xdr:colOff>
      <xdr:row>63</xdr:row>
      <xdr:rowOff>25400</xdr:rowOff>
    </xdr:from>
    <xdr:to>
      <xdr:col>31</xdr:col>
      <xdr:colOff>495300</xdr:colOff>
      <xdr:row>86</xdr:row>
      <xdr:rowOff>0</xdr:rowOff>
    </xdr:to>
    <xdr:sp macro="" textlink="">
      <xdr:nvSpPr>
        <xdr:cNvPr id="15" name="TextBox 14">
          <a:extLst>
            <a:ext uri="{FF2B5EF4-FFF2-40B4-BE49-F238E27FC236}">
              <a16:creationId xmlns:a16="http://schemas.microsoft.com/office/drawing/2014/main" id="{00000000-0008-0000-1900-00000F000000}"/>
            </a:ext>
          </a:extLst>
        </xdr:cNvPr>
        <xdr:cNvSpPr txBox="1"/>
      </xdr:nvSpPr>
      <xdr:spPr>
        <a:xfrm>
          <a:off x="10372725" y="9626600"/>
          <a:ext cx="6657975" cy="3651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400"/>
            </a:lnSpc>
          </a:pPr>
          <a:r>
            <a:rPr lang="en-GB" sz="2400">
              <a:latin typeface="Vodafone Lt" panose="020B0606040202020204" pitchFamily="34" charset="0"/>
            </a:rPr>
            <a:t>At the CHE sites, and</a:t>
          </a:r>
          <a:r>
            <a:rPr lang="en-GB" sz="2400" baseline="0">
              <a:latin typeface="Vodafone Lt" panose="020B0606040202020204" pitchFamily="34" charset="0"/>
            </a:rPr>
            <a:t> </a:t>
          </a:r>
          <a:r>
            <a:rPr lang="en-GB" sz="2400">
              <a:latin typeface="Vodafone Lt" panose="020B0606040202020204" pitchFamily="34" charset="0"/>
            </a:rPr>
            <a:t>at XAN, hot air containment areas are deployed  </a:t>
          </a:r>
        </a:p>
        <a:p>
          <a:pPr>
            <a:lnSpc>
              <a:spcPts val="2400"/>
            </a:lnSpc>
          </a:pPr>
          <a:r>
            <a:rPr lang="en-GB" sz="2400">
              <a:latin typeface="Vodafone Lt" panose="020B0606040202020204" pitchFamily="34" charset="0"/>
            </a:rPr>
            <a:t>These areas are to allow for deployment of platforms that have large power requirements and therefore exhaust  a considerable amount of hot air. Such equipment includes Voice Mail, VCA, Gi LAN and SPGW platforms </a:t>
          </a:r>
        </a:p>
        <a:p>
          <a:pPr>
            <a:lnSpc>
              <a:spcPts val="2400"/>
            </a:lnSpc>
          </a:pPr>
          <a:endParaRPr lang="en-GB" sz="2400">
            <a:latin typeface="Vodafone Lt" panose="020B0606040202020204" pitchFamily="34" charset="0"/>
          </a:endParaRPr>
        </a:p>
        <a:p>
          <a:pPr marL="342900" indent="-342900">
            <a:lnSpc>
              <a:spcPts val="2400"/>
            </a:lnSpc>
            <a:spcBef>
              <a:spcPts val="0"/>
            </a:spcBef>
            <a:spcAft>
              <a:spcPts val="0"/>
            </a:spcAft>
            <a:buFont typeface="Arial" panose="020B0604020202020204" pitchFamily="34" charset="0"/>
            <a:buChar char="•"/>
          </a:pPr>
          <a:r>
            <a:rPr lang="en-GB" sz="2400">
              <a:latin typeface="Vodafone Lt" panose="020B0606040202020204" pitchFamily="34" charset="0"/>
            </a:rPr>
            <a:t>The reserved and forecast</a:t>
          </a:r>
          <a:r>
            <a:rPr lang="en-GB" sz="2400" baseline="0">
              <a:latin typeface="Vodafone Lt" panose="020B0606040202020204" pitchFamily="34" charset="0"/>
            </a:rPr>
            <a:t> </a:t>
          </a:r>
          <a:r>
            <a:rPr lang="en-GB" sz="2400">
              <a:latin typeface="Vodafone Lt" panose="020B0606040202020204" pitchFamily="34" charset="0"/>
            </a:rPr>
            <a:t>spaces at XBE, XLD and XMS are</a:t>
          </a:r>
          <a:r>
            <a:rPr lang="en-GB" sz="2400" baseline="0">
              <a:latin typeface="Vodafone Lt" panose="020B0606040202020204" pitchFamily="34" charset="0"/>
            </a:rPr>
            <a:t> </a:t>
          </a:r>
          <a:r>
            <a:rPr lang="en-GB" sz="2400">
              <a:latin typeface="Vodafone Lt" panose="020B0606040202020204" pitchFamily="34" charset="0"/>
            </a:rPr>
            <a:t>to be used for Virtulisation hardware</a:t>
          </a:r>
        </a:p>
      </xdr:txBody>
    </xdr:sp>
    <xdr:clientData/>
  </xdr:twoCellAnchor>
  <xdr:twoCellAnchor>
    <xdr:from>
      <xdr:col>0</xdr:col>
      <xdr:colOff>288925</xdr:colOff>
      <xdr:row>47</xdr:row>
      <xdr:rowOff>41274</xdr:rowOff>
    </xdr:from>
    <xdr:to>
      <xdr:col>31</xdr:col>
      <xdr:colOff>95250</xdr:colOff>
      <xdr:row>56</xdr:row>
      <xdr:rowOff>38100</xdr:rowOff>
    </xdr:to>
    <xdr:sp macro="" textlink="">
      <xdr:nvSpPr>
        <xdr:cNvPr id="16" name="TextBox 15">
          <a:extLst>
            <a:ext uri="{FF2B5EF4-FFF2-40B4-BE49-F238E27FC236}">
              <a16:creationId xmlns:a16="http://schemas.microsoft.com/office/drawing/2014/main" id="{00000000-0008-0000-1900-000010000000}"/>
            </a:ext>
          </a:extLst>
        </xdr:cNvPr>
        <xdr:cNvSpPr txBox="1"/>
      </xdr:nvSpPr>
      <xdr:spPr>
        <a:xfrm>
          <a:off x="288925" y="7204074"/>
          <a:ext cx="16341725" cy="1368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300"/>
            </a:spcAft>
          </a:pPr>
          <a:r>
            <a:rPr lang="en-GB" sz="2400">
              <a:latin typeface="Vodafone Lt" panose="020B0606040202020204" pitchFamily="34" charset="0"/>
            </a:rPr>
            <a:t>The above figures are based on total switchroom floorspace,</a:t>
          </a:r>
          <a:r>
            <a:rPr lang="en-GB" sz="2400" baseline="0">
              <a:latin typeface="Vodafone Lt" panose="020B0606040202020204" pitchFamily="34" charset="0"/>
            </a:rPr>
            <a:t> minus </a:t>
          </a:r>
          <a:r>
            <a:rPr lang="en-GB" sz="2400">
              <a:latin typeface="Vodafone Lt" panose="020B0606040202020204" pitchFamily="34" charset="0"/>
            </a:rPr>
            <a:t>the hot air containment areas at the CHE sites and XAN and caged areas at XAN and XBE</a:t>
          </a:r>
        </a:p>
        <a:p>
          <a:pPr marL="342900" indent="-342900">
            <a:spcAft>
              <a:spcPts val="300"/>
            </a:spcAft>
            <a:buFont typeface="Arial" panose="020B0604020202020204" pitchFamily="34" charset="0"/>
            <a:buChar char="•"/>
          </a:pPr>
          <a:r>
            <a:rPr lang="en-GB" sz="2400">
              <a:latin typeface="Vodafone Lt" panose="020B0606040202020204" pitchFamily="34" charset="0"/>
            </a:rPr>
            <a:t>Space has been reserved for new inverter systems</a:t>
          </a:r>
          <a:r>
            <a:rPr lang="en-GB" sz="2400" baseline="0">
              <a:latin typeface="Vodafone Lt" panose="020B0606040202020204" pitchFamily="34" charset="0"/>
            </a:rPr>
            <a:t> at XAN, XCY, XGR, XOM and XRM and for NFV cabs at XBE and XMS</a:t>
          </a:r>
          <a:endParaRPr lang="en-GB" sz="2400">
            <a:latin typeface="Vodafone Lt" panose="020B0606040202020204" pitchFamily="34" charset="0"/>
          </a:endParaRPr>
        </a:p>
      </xdr:txBody>
    </xdr:sp>
    <xdr:clientData/>
  </xdr:twoCellAnchor>
  <xdr:twoCellAnchor>
    <xdr:from>
      <xdr:col>0</xdr:col>
      <xdr:colOff>209550</xdr:colOff>
      <xdr:row>5</xdr:row>
      <xdr:rowOff>76200</xdr:rowOff>
    </xdr:from>
    <xdr:to>
      <xdr:col>32</xdr:col>
      <xdr:colOff>247650</xdr:colOff>
      <xdr:row>46</xdr:row>
      <xdr:rowOff>133350</xdr:rowOff>
    </xdr:to>
    <xdr:graphicFrame macro="">
      <xdr:nvGraphicFramePr>
        <xdr:cNvPr id="10944775" name="Chart 17">
          <a:extLst>
            <a:ext uri="{FF2B5EF4-FFF2-40B4-BE49-F238E27FC236}">
              <a16:creationId xmlns:a16="http://schemas.microsoft.com/office/drawing/2014/main" id="{00000000-0008-0000-1900-0000070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479424</xdr:colOff>
      <xdr:row>55</xdr:row>
      <xdr:rowOff>139700</xdr:rowOff>
    </xdr:from>
    <xdr:to>
      <xdr:col>19</xdr:col>
      <xdr:colOff>342899</xdr:colOff>
      <xdr:row>59</xdr:row>
      <xdr:rowOff>28574</xdr:rowOff>
    </xdr:to>
    <xdr:sp macro="" textlink="">
      <xdr:nvSpPr>
        <xdr:cNvPr id="4" name="TextBox 3">
          <a:extLst>
            <a:ext uri="{FF2B5EF4-FFF2-40B4-BE49-F238E27FC236}">
              <a16:creationId xmlns:a16="http://schemas.microsoft.com/office/drawing/2014/main" id="{00000000-0008-0000-1900-000004000000}"/>
            </a:ext>
          </a:extLst>
        </xdr:cNvPr>
        <xdr:cNvSpPr txBox="1"/>
      </xdr:nvSpPr>
      <xdr:spPr>
        <a:xfrm>
          <a:off x="6346824" y="8521700"/>
          <a:ext cx="4130675" cy="498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3600" b="1">
              <a:latin typeface="Vodafone Lt" panose="020B0606040202020204" pitchFamily="34" charset="0"/>
            </a:rPr>
            <a:t>Hot Air Containment</a:t>
          </a:r>
        </a:p>
      </xdr:txBody>
    </xdr:sp>
    <xdr:clientData/>
  </xdr:twoCellAnchor>
  <xdr:twoCellAnchor>
    <xdr:from>
      <xdr:col>9</xdr:col>
      <xdr:colOff>244929</xdr:colOff>
      <xdr:row>8</xdr:row>
      <xdr:rowOff>40821</xdr:rowOff>
    </xdr:from>
    <xdr:to>
      <xdr:col>20</xdr:col>
      <xdr:colOff>142875</xdr:colOff>
      <xdr:row>11</xdr:row>
      <xdr:rowOff>31750</xdr:rowOff>
    </xdr:to>
    <xdr:sp macro="" textlink="">
      <xdr:nvSpPr>
        <xdr:cNvPr id="5" name="TextBox 4">
          <a:extLst>
            <a:ext uri="{FF2B5EF4-FFF2-40B4-BE49-F238E27FC236}">
              <a16:creationId xmlns:a16="http://schemas.microsoft.com/office/drawing/2014/main" id="{00000000-0008-0000-1900-000005000000}"/>
            </a:ext>
          </a:extLst>
        </xdr:cNvPr>
        <xdr:cNvSpPr txBox="1"/>
      </xdr:nvSpPr>
      <xdr:spPr>
        <a:xfrm>
          <a:off x="5102679" y="1183821"/>
          <a:ext cx="5835196" cy="4195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anose="020B0606040202020204" pitchFamily="34" charset="0"/>
            </a:rPr>
            <a:t>STRATEGIC SITES CLOSED TO NEW CORE DEPLOYMENT</a:t>
          </a:r>
        </a:p>
      </xdr:txBody>
    </xdr:sp>
    <xdr:clientData/>
  </xdr:twoCellAnchor>
  <xdr:twoCellAnchor>
    <xdr:from>
      <xdr:col>0</xdr:col>
      <xdr:colOff>342900</xdr:colOff>
      <xdr:row>60</xdr:row>
      <xdr:rowOff>0</xdr:rowOff>
    </xdr:from>
    <xdr:to>
      <xdr:col>19</xdr:col>
      <xdr:colOff>190500</xdr:colOff>
      <xdr:row>88</xdr:row>
      <xdr:rowOff>133350</xdr:rowOff>
    </xdr:to>
    <xdr:graphicFrame macro="">
      <xdr:nvGraphicFramePr>
        <xdr:cNvPr id="17" name="Chart 16">
          <a:extLst>
            <a:ext uri="{FF2B5EF4-FFF2-40B4-BE49-F238E27FC236}">
              <a16:creationId xmlns:a16="http://schemas.microsoft.com/office/drawing/2014/main" id="{00000000-0008-0000-1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0.0053</cdr:x>
      <cdr:y>0.36858</cdr:y>
    </cdr:from>
    <cdr:to>
      <cdr:x>0.03118</cdr:x>
      <cdr:y>0.60657</cdr:y>
    </cdr:to>
    <cdr:sp macro="" textlink="">
      <cdr:nvSpPr>
        <cdr:cNvPr id="2" name="TextBox 1"/>
        <cdr:cNvSpPr txBox="1"/>
      </cdr:nvSpPr>
      <cdr:spPr>
        <a:xfrm xmlns:a="http://schemas.openxmlformats.org/drawingml/2006/main">
          <a:off x="90666" y="2324100"/>
          <a:ext cx="442733" cy="1500657"/>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cdr:txBody>
    </cdr:sp>
  </cdr:relSizeAnchor>
</c:userShapes>
</file>

<file path=xl/drawings/drawing28.xml><?xml version="1.0" encoding="utf-8"?>
<c:userShapes xmlns:c="http://schemas.openxmlformats.org/drawingml/2006/chart">
  <cdr:relSizeAnchor xmlns:cdr="http://schemas.openxmlformats.org/drawingml/2006/chartDrawing">
    <cdr:from>
      <cdr:x>0.01145</cdr:x>
      <cdr:y>0.29167</cdr:y>
    </cdr:from>
    <cdr:to>
      <cdr:x>0.04962</cdr:x>
      <cdr:y>0.57917</cdr:y>
    </cdr:to>
    <cdr:sp macro="" textlink="">
      <cdr:nvSpPr>
        <cdr:cNvPr id="2" name="TextBox 1"/>
        <cdr:cNvSpPr txBox="1"/>
      </cdr:nvSpPr>
      <cdr:spPr>
        <a:xfrm xmlns:a="http://schemas.openxmlformats.org/drawingml/2006/main">
          <a:off x="114300" y="1333500"/>
          <a:ext cx="381000" cy="13144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800">
              <a:latin typeface="Vodafone Lt" panose="020B0606040202020204" pitchFamily="34" charset="0"/>
            </a:rPr>
            <a:t>Space </a:t>
          </a:r>
          <a:r>
            <a:rPr lang="en-GB" sz="1800" baseline="0">
              <a:latin typeface="Vodafone Lt" panose="020B0606040202020204" pitchFamily="34" charset="0"/>
            </a:rPr>
            <a:t> </a:t>
          </a:r>
          <a:r>
            <a:rPr lang="en-GB" sz="1800">
              <a:effectLst/>
              <a:latin typeface="Vodafone Lt" panose="020B0606040202020204" pitchFamily="34" charset="0"/>
              <a:ea typeface="+mn-ea"/>
              <a:cs typeface="+mn-cs"/>
            </a:rPr>
            <a:t>(m²)</a:t>
          </a:r>
          <a:endParaRPr lang="en-GB" sz="1800">
            <a:effectLst/>
            <a:latin typeface="Vodafone Lt" panose="020B0606040202020204" pitchFamily="34" charset="0"/>
          </a:endParaRPr>
        </a:p>
        <a:p xmlns:a="http://schemas.openxmlformats.org/drawingml/2006/main">
          <a:endParaRPr lang="en-GB" sz="1100"/>
        </a:p>
      </cdr:txBody>
    </cdr:sp>
  </cdr:relSizeAnchor>
</c:userShapes>
</file>

<file path=xl/drawings/drawing29.xml><?xml version="1.0" encoding="utf-8"?>
<xdr:wsDr xmlns:xdr="http://schemas.openxmlformats.org/drawingml/2006/spreadsheetDrawing" xmlns:a="http://schemas.openxmlformats.org/drawingml/2006/main">
  <xdr:twoCellAnchor>
    <xdr:from>
      <xdr:col>3</xdr:col>
      <xdr:colOff>390524</xdr:colOff>
      <xdr:row>33</xdr:row>
      <xdr:rowOff>63500</xdr:rowOff>
    </xdr:from>
    <xdr:to>
      <xdr:col>4</xdr:col>
      <xdr:colOff>266700</xdr:colOff>
      <xdr:row>42</xdr:row>
      <xdr:rowOff>92074</xdr:rowOff>
    </xdr:to>
    <xdr:sp macro="" textlink="">
      <xdr:nvSpPr>
        <xdr:cNvPr id="21" name="TextBox 20">
          <a:extLst>
            <a:ext uri="{FF2B5EF4-FFF2-40B4-BE49-F238E27FC236}">
              <a16:creationId xmlns:a16="http://schemas.microsoft.com/office/drawing/2014/main" id="{00000000-0008-0000-1A00-000015000000}"/>
            </a:ext>
          </a:extLst>
        </xdr:cNvPr>
        <xdr:cNvSpPr txBox="1"/>
      </xdr:nvSpPr>
      <xdr:spPr>
        <a:xfrm>
          <a:off x="1990724" y="4673600"/>
          <a:ext cx="409576" cy="12858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itchFamily="34" charset="0"/>
            </a:rPr>
            <a:t>Power</a:t>
          </a:r>
          <a:r>
            <a:rPr lang="en-GB" sz="2000" baseline="0">
              <a:latin typeface="Vodafone Lt" pitchFamily="34" charset="0"/>
            </a:rPr>
            <a:t> (kW)</a:t>
          </a:r>
          <a:endParaRPr lang="en-GB" sz="2000">
            <a:latin typeface="Vodafone Lt" pitchFamily="34" charset="0"/>
          </a:endParaRPr>
        </a:p>
      </xdr:txBody>
    </xdr:sp>
    <xdr:clientData/>
  </xdr:twoCellAnchor>
  <xdr:twoCellAnchor>
    <xdr:from>
      <xdr:col>3</xdr:col>
      <xdr:colOff>330200</xdr:colOff>
      <xdr:row>0</xdr:row>
      <xdr:rowOff>9525</xdr:rowOff>
    </xdr:from>
    <xdr:to>
      <xdr:col>23</xdr:col>
      <xdr:colOff>368299</xdr:colOff>
      <xdr:row>3</xdr:row>
      <xdr:rowOff>76200</xdr:rowOff>
    </xdr:to>
    <xdr:sp macro="" textlink="">
      <xdr:nvSpPr>
        <xdr:cNvPr id="24" name="TextBox 23">
          <a:extLst>
            <a:ext uri="{FF2B5EF4-FFF2-40B4-BE49-F238E27FC236}">
              <a16:creationId xmlns:a16="http://schemas.microsoft.com/office/drawing/2014/main" id="{00000000-0008-0000-1A00-000018000000}"/>
            </a:ext>
          </a:extLst>
        </xdr:cNvPr>
        <xdr:cNvSpPr txBox="1"/>
      </xdr:nvSpPr>
      <xdr:spPr>
        <a:xfrm>
          <a:off x="1930400" y="9525"/>
          <a:ext cx="10706099"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Power Breakdown</a:t>
          </a:r>
        </a:p>
        <a:p>
          <a:pPr>
            <a:lnSpc>
              <a:spcPts val="1100"/>
            </a:lnSpc>
          </a:pPr>
          <a:endParaRPr lang="en-GB" sz="1100"/>
        </a:p>
      </xdr:txBody>
    </xdr:sp>
    <xdr:clientData/>
  </xdr:twoCellAnchor>
  <xdr:twoCellAnchor>
    <xdr:from>
      <xdr:col>0</xdr:col>
      <xdr:colOff>228600</xdr:colOff>
      <xdr:row>64</xdr:row>
      <xdr:rowOff>88900</xdr:rowOff>
    </xdr:from>
    <xdr:to>
      <xdr:col>25</xdr:col>
      <xdr:colOff>495300</xdr:colOff>
      <xdr:row>75</xdr:row>
      <xdr:rowOff>63500</xdr:rowOff>
    </xdr:to>
    <xdr:sp macro="" textlink="">
      <xdr:nvSpPr>
        <xdr:cNvPr id="25" name="TextBox 24">
          <a:extLst>
            <a:ext uri="{FF2B5EF4-FFF2-40B4-BE49-F238E27FC236}">
              <a16:creationId xmlns:a16="http://schemas.microsoft.com/office/drawing/2014/main" id="{00000000-0008-0000-1A00-000019000000}"/>
            </a:ext>
          </a:extLst>
        </xdr:cNvPr>
        <xdr:cNvSpPr txBox="1"/>
      </xdr:nvSpPr>
      <xdr:spPr>
        <a:xfrm>
          <a:off x="228600" y="9029700"/>
          <a:ext cx="13601700" cy="151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XKS, due to the limitations regarding the power on the 2nd floor, deployment to this floor is restricted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reserved power at XEH is for Virtulisation use</a:t>
          </a:r>
          <a:endParaRPr kumimoji="0" lang="en-GB" sz="2000" b="0" i="0" u="none" strike="noStrike" kern="0" cap="none" spc="0" normalizeH="0" baseline="0" noProof="0">
            <a:ln>
              <a:noFill/>
            </a:ln>
            <a:solidFill>
              <a:srgbClr val="FF0000"/>
            </a:solidFill>
            <a:effectLst/>
            <a:uLnTx/>
            <a:uFillTx/>
            <a:latin typeface="Vodafone Lt" pitchFamily="34" charset="0"/>
            <a:ea typeface="+mn-ea"/>
            <a:cs typeface="+mn-cs"/>
          </a:endParaRPr>
        </a:p>
      </xdr:txBody>
    </xdr:sp>
    <xdr:clientData/>
  </xdr:twoCellAnchor>
  <xdr:twoCellAnchor>
    <xdr:from>
      <xdr:col>9</xdr:col>
      <xdr:colOff>87085</xdr:colOff>
      <xdr:row>13</xdr:row>
      <xdr:rowOff>119743</xdr:rowOff>
    </xdr:from>
    <xdr:to>
      <xdr:col>18</xdr:col>
      <xdr:colOff>326571</xdr:colOff>
      <xdr:row>16</xdr:row>
      <xdr:rowOff>39007</xdr:rowOff>
    </xdr:to>
    <xdr:sp macro="" textlink="">
      <xdr:nvSpPr>
        <xdr:cNvPr id="2" name="TextBox 1">
          <a:extLst>
            <a:ext uri="{FF2B5EF4-FFF2-40B4-BE49-F238E27FC236}">
              <a16:creationId xmlns:a16="http://schemas.microsoft.com/office/drawing/2014/main" id="{00000000-0008-0000-1A00-000002000000}"/>
            </a:ext>
          </a:extLst>
        </xdr:cNvPr>
        <xdr:cNvSpPr txBox="1"/>
      </xdr:nvSpPr>
      <xdr:spPr>
        <a:xfrm>
          <a:off x="4887685" y="1935843"/>
          <a:ext cx="5040086" cy="33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a:latin typeface="Vodafone Lt" pitchFamily="34" charset="0"/>
            </a:rPr>
            <a:t>SITES CLOSED</a:t>
          </a:r>
          <a:r>
            <a:rPr lang="en-GB" sz="2000" baseline="0">
              <a:latin typeface="Vodafone Lt" pitchFamily="34" charset="0"/>
            </a:rPr>
            <a:t> TO NEW CORE DEPLOYMENT</a:t>
          </a:r>
          <a:endParaRPr lang="en-GB" sz="2000">
            <a:latin typeface="Vodafone Lt" pitchFamily="34" charset="0"/>
          </a:endParaRPr>
        </a:p>
      </xdr:txBody>
    </xdr:sp>
    <xdr:clientData/>
  </xdr:twoCellAnchor>
  <xdr:twoCellAnchor>
    <xdr:from>
      <xdr:col>0</xdr:col>
      <xdr:colOff>190500</xdr:colOff>
      <xdr:row>5</xdr:row>
      <xdr:rowOff>12700</xdr:rowOff>
    </xdr:from>
    <xdr:to>
      <xdr:col>25</xdr:col>
      <xdr:colOff>431800</xdr:colOff>
      <xdr:row>63</xdr:row>
      <xdr:rowOff>127000</xdr:rowOff>
    </xdr:to>
    <xdr:graphicFrame macro="">
      <xdr:nvGraphicFramePr>
        <xdr:cNvPr id="10" name="Chart 9">
          <a:extLst>
            <a:ext uri="{FF2B5EF4-FFF2-40B4-BE49-F238E27FC236}">
              <a16:creationId xmlns:a16="http://schemas.microsoft.com/office/drawing/2014/main" id="{00000000-0008-0000-1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155575</xdr:colOff>
      <xdr:row>5</xdr:row>
      <xdr:rowOff>50800</xdr:rowOff>
    </xdr:from>
    <xdr:to>
      <xdr:col>25</xdr:col>
      <xdr:colOff>368300</xdr:colOff>
      <xdr:row>36</xdr:row>
      <xdr:rowOff>38100</xdr:rowOff>
    </xdr:to>
    <xdr:graphicFrame macro="">
      <xdr:nvGraphicFramePr>
        <xdr:cNvPr id="10948836" name="Chart 30">
          <a:extLst>
            <a:ext uri="{FF2B5EF4-FFF2-40B4-BE49-F238E27FC236}">
              <a16:creationId xmlns:a16="http://schemas.microsoft.com/office/drawing/2014/main" id="{00000000-0008-0000-1A00-0000E41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330200</xdr:colOff>
      <xdr:row>28</xdr:row>
      <xdr:rowOff>12700</xdr:rowOff>
    </xdr:from>
    <xdr:to>
      <xdr:col>1</xdr:col>
      <xdr:colOff>203200</xdr:colOff>
      <xdr:row>36</xdr:row>
      <xdr:rowOff>101600</xdr:rowOff>
    </xdr:to>
    <xdr:sp macro="" textlink="">
      <xdr:nvSpPr>
        <xdr:cNvPr id="3" name="TextBox 2">
          <a:extLst>
            <a:ext uri="{FF2B5EF4-FFF2-40B4-BE49-F238E27FC236}">
              <a16:creationId xmlns:a16="http://schemas.microsoft.com/office/drawing/2014/main" id="{00000000-0008-0000-1A00-000003000000}"/>
            </a:ext>
          </a:extLst>
        </xdr:cNvPr>
        <xdr:cNvSpPr txBox="1"/>
      </xdr:nvSpPr>
      <xdr:spPr>
        <a:xfrm>
          <a:off x="330200" y="3924300"/>
          <a:ext cx="406400" cy="120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1800">
              <a:latin typeface="Vodafone Lt" panose="020B0606040202020204" pitchFamily="34" charset="0"/>
            </a:rPr>
            <a:t>Power</a:t>
          </a:r>
          <a:r>
            <a:rPr lang="en-GB" sz="1800" baseline="0">
              <a:latin typeface="Vodafone Lt" panose="020B0606040202020204" pitchFamily="34" charset="0"/>
            </a:rPr>
            <a:t> (kW)</a:t>
          </a:r>
          <a:endParaRPr lang="en-GB" sz="1800">
            <a:latin typeface="Vodafone Lt" panose="020B0606040202020204" pitchFamily="34" charset="0"/>
          </a:endParaRPr>
        </a:p>
      </xdr:txBody>
    </xdr:sp>
    <xdr:clientData/>
  </xdr:twoCellAnchor>
</xdr:wsDr>
</file>

<file path=xl/drawings/drawing30.xml><?xml version="1.0" encoding="utf-8"?>
<c:userShapes xmlns:c="http://schemas.openxmlformats.org/drawingml/2006/chart">
  <cdr:relSizeAnchor xmlns:cdr="http://schemas.openxmlformats.org/drawingml/2006/chartDrawing">
    <cdr:from>
      <cdr:x>0.30122</cdr:x>
      <cdr:y>0.03555</cdr:y>
    </cdr:from>
    <cdr:to>
      <cdr:x>0.64172</cdr:x>
      <cdr:y>0.08501</cdr:y>
    </cdr:to>
    <cdr:sp macro="" textlink="">
      <cdr:nvSpPr>
        <cdr:cNvPr id="2" name="TextBox 1"/>
        <cdr:cNvSpPr txBox="1"/>
      </cdr:nvSpPr>
      <cdr:spPr>
        <a:xfrm xmlns:a="http://schemas.openxmlformats.org/drawingml/2006/main">
          <a:off x="4089400" y="292100"/>
          <a:ext cx="4622800" cy="406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anose="020B0606040202020204" pitchFamily="34" charset="0"/>
            </a:rPr>
            <a:t>SITES CLOSED TO NEW CORE DEPLOYMENT</a:t>
          </a:r>
        </a:p>
      </cdr:txBody>
    </cdr:sp>
  </cdr:relSizeAnchor>
</c:userShapes>
</file>

<file path=xl/drawings/drawing31.xml><?xml version="1.0" encoding="utf-8"?>
<c:userShapes xmlns:c="http://schemas.openxmlformats.org/drawingml/2006/chart">
  <cdr:relSizeAnchor xmlns:cdr="http://schemas.openxmlformats.org/drawingml/2006/chartDrawing">
    <cdr:from>
      <cdr:x>0.70911</cdr:x>
      <cdr:y>0.3052</cdr:y>
    </cdr:from>
    <cdr:to>
      <cdr:x>0.98255</cdr:x>
      <cdr:y>0.89237</cdr:y>
    </cdr:to>
    <cdr:sp macro="" textlink="">
      <cdr:nvSpPr>
        <cdr:cNvPr id="2" name="TextBox 1"/>
        <cdr:cNvSpPr txBox="1"/>
      </cdr:nvSpPr>
      <cdr:spPr>
        <a:xfrm xmlns:a="http://schemas.openxmlformats.org/drawingml/2006/main">
          <a:off x="4927600" y="1092200"/>
          <a:ext cx="1930400" cy="2082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0.03973</cdr:x>
      <cdr:y>0.88824</cdr:y>
    </cdr:from>
    <cdr:to>
      <cdr:x>0.98938</cdr:x>
      <cdr:y>0.98529</cdr:y>
    </cdr:to>
    <cdr:sp macro="" textlink="">
      <cdr:nvSpPr>
        <cdr:cNvPr id="5" name="TextBox 21"/>
        <cdr:cNvSpPr txBox="1"/>
      </cdr:nvSpPr>
      <cdr:spPr>
        <a:xfrm xmlns:a="http://schemas.openxmlformats.org/drawingml/2006/main">
          <a:off x="156039" y="4110185"/>
          <a:ext cx="3729708" cy="44908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nSpc>
              <a:spcPct val="100000"/>
            </a:lnSpc>
          </a:pPr>
          <a:r>
            <a:rPr lang="en-GB" sz="1400">
              <a:solidFill>
                <a:schemeClr val="dk1"/>
              </a:solidFill>
              <a:effectLst/>
              <a:latin typeface="Vodafone Lt" pitchFamily="34" charset="0"/>
              <a:ea typeface="+mn-ea"/>
              <a:cs typeface="+mn-cs"/>
            </a:rPr>
            <a:t>The max power availabilty </a:t>
          </a:r>
          <a:r>
            <a:rPr lang="en-GB" sz="1400" baseline="0">
              <a:solidFill>
                <a:schemeClr val="dk1"/>
              </a:solidFill>
              <a:effectLst/>
              <a:latin typeface="Vodafone Lt" pitchFamily="34" charset="0"/>
              <a:ea typeface="+mn-ea"/>
              <a:cs typeface="+mn-cs"/>
            </a:rPr>
            <a:t>of each floor is governed by the cooling capability at  N+2</a:t>
          </a:r>
          <a:endParaRPr lang="en-GB" sz="1400">
            <a:effectLst/>
            <a:latin typeface="Vodafone Lt" pitchFamily="34" charset="0"/>
          </a:endParaRPr>
        </a:p>
      </cdr:txBody>
    </cdr:sp>
  </cdr:relSizeAnchor>
  <cdr:relSizeAnchor xmlns:cdr="http://schemas.openxmlformats.org/drawingml/2006/chartDrawing">
    <cdr:from>
      <cdr:x>0.01178</cdr:x>
      <cdr:y>0.33166</cdr:y>
    </cdr:from>
    <cdr:to>
      <cdr:x>0.07328</cdr:x>
      <cdr:y>0.55078</cdr:y>
    </cdr:to>
    <cdr:sp macro="" textlink="">
      <cdr:nvSpPr>
        <cdr:cNvPr id="7" name="TextBox 6"/>
        <cdr:cNvSpPr txBox="1"/>
      </cdr:nvSpPr>
      <cdr:spPr>
        <a:xfrm xmlns:a="http://schemas.openxmlformats.org/drawingml/2006/main">
          <a:off x="48792" y="1524000"/>
          <a:ext cx="254647" cy="1006929"/>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itchFamily="34" charset="0"/>
            </a:rPr>
            <a:t>Power (kW)</a:t>
          </a:r>
        </a:p>
      </cdr:txBody>
    </cdr:sp>
  </cdr:relSizeAnchor>
  <cdr:relSizeAnchor xmlns:cdr="http://schemas.openxmlformats.org/drawingml/2006/chartDrawing">
    <cdr:from>
      <cdr:x>0.30169</cdr:x>
      <cdr:y>0.0535</cdr:y>
    </cdr:from>
    <cdr:to>
      <cdr:x>0.7815</cdr:x>
      <cdr:y>0.10294</cdr:y>
    </cdr:to>
    <cdr:sp macro="" textlink="">
      <cdr:nvSpPr>
        <cdr:cNvPr id="8" name="TextBox 7"/>
        <cdr:cNvSpPr txBox="1"/>
      </cdr:nvSpPr>
      <cdr:spPr>
        <a:xfrm xmlns:a="http://schemas.openxmlformats.org/drawingml/2006/main">
          <a:off x="1190625" y="231013"/>
          <a:ext cx="1893584" cy="21348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600">
              <a:latin typeface="Vodafone Lt" pitchFamily="34" charset="0"/>
            </a:rPr>
            <a:t>XKS Power by Floor</a:t>
          </a:r>
        </a:p>
      </cdr:txBody>
    </cdr:sp>
  </cdr:relSizeAnchor>
</c:userShapes>
</file>

<file path=xl/drawings/drawing32.xml><?xml version="1.0" encoding="utf-8"?>
<xdr:wsDr xmlns:xdr="http://schemas.openxmlformats.org/drawingml/2006/spreadsheetDrawing" xmlns:a="http://schemas.openxmlformats.org/drawingml/2006/main">
  <xdr:twoCellAnchor>
    <xdr:from>
      <xdr:col>4</xdr:col>
      <xdr:colOff>381000</xdr:colOff>
      <xdr:row>1</xdr:row>
      <xdr:rowOff>25400</xdr:rowOff>
    </xdr:from>
    <xdr:to>
      <xdr:col>21</xdr:col>
      <xdr:colOff>152400</xdr:colOff>
      <xdr:row>6</xdr:row>
      <xdr:rowOff>127000</xdr:rowOff>
    </xdr:to>
    <xdr:sp macro="" textlink="">
      <xdr:nvSpPr>
        <xdr:cNvPr id="3" name="TextBox 2">
          <a:extLst>
            <a:ext uri="{FF2B5EF4-FFF2-40B4-BE49-F238E27FC236}">
              <a16:creationId xmlns:a16="http://schemas.microsoft.com/office/drawing/2014/main" id="{00000000-0008-0000-1B00-000003000000}"/>
            </a:ext>
          </a:extLst>
        </xdr:cNvPr>
        <xdr:cNvSpPr txBox="1"/>
      </xdr:nvSpPr>
      <xdr:spPr>
        <a:xfrm>
          <a:off x="2514600" y="165100"/>
          <a:ext cx="88392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b="1">
              <a:latin typeface="Vodafone Lt" pitchFamily="34" charset="0"/>
            </a:rPr>
            <a:t>Non-</a:t>
          </a:r>
          <a:r>
            <a:rPr lang="en-GB" sz="3600" b="1" baseline="0">
              <a:latin typeface="Vodafone Lt" pitchFamily="34" charset="0"/>
            </a:rPr>
            <a:t> </a:t>
          </a:r>
          <a:r>
            <a:rPr lang="en-GB" sz="3600" b="1">
              <a:latin typeface="Vodafone Lt" pitchFamily="34" charset="0"/>
            </a:rPr>
            <a:t>Strategic Core</a:t>
          </a:r>
          <a:r>
            <a:rPr lang="en-GB" sz="3600" b="1" baseline="0">
              <a:latin typeface="Vodafone Lt" pitchFamily="34" charset="0"/>
            </a:rPr>
            <a:t> MTX</a:t>
          </a:r>
          <a:r>
            <a:rPr lang="en-GB" sz="3600" b="1">
              <a:latin typeface="Vodafone Lt" pitchFamily="34" charset="0"/>
            </a:rPr>
            <a:t> Sites -</a:t>
          </a:r>
          <a:r>
            <a:rPr lang="en-GB" sz="3600" b="1" baseline="0">
              <a:latin typeface="Vodafone Lt" pitchFamily="34" charset="0"/>
            </a:rPr>
            <a:t> Plant Usage </a:t>
          </a:r>
          <a:endParaRPr lang="en-GB" sz="3600" b="1">
            <a:latin typeface="Vodafone Lt" pitchFamily="34" charset="0"/>
          </a:endParaRPr>
        </a:p>
      </xdr:txBody>
    </xdr:sp>
    <xdr:clientData/>
  </xdr:twoCellAnchor>
  <xdr:twoCellAnchor>
    <xdr:from>
      <xdr:col>0</xdr:col>
      <xdr:colOff>101600</xdr:colOff>
      <xdr:row>36</xdr:row>
      <xdr:rowOff>25400</xdr:rowOff>
    </xdr:from>
    <xdr:to>
      <xdr:col>14</xdr:col>
      <xdr:colOff>466725</xdr:colOff>
      <xdr:row>65</xdr:row>
      <xdr:rowOff>104775</xdr:rowOff>
    </xdr:to>
    <xdr:graphicFrame macro="">
      <xdr:nvGraphicFramePr>
        <xdr:cNvPr id="10954063" name="Chart 7">
          <a:extLst>
            <a:ext uri="{FF2B5EF4-FFF2-40B4-BE49-F238E27FC236}">
              <a16:creationId xmlns:a16="http://schemas.microsoft.com/office/drawing/2014/main" id="{00000000-0008-0000-1B00-00004F25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203200</xdr:colOff>
      <xdr:row>44</xdr:row>
      <xdr:rowOff>88900</xdr:rowOff>
    </xdr:from>
    <xdr:to>
      <xdr:col>0</xdr:col>
      <xdr:colOff>520700</xdr:colOff>
      <xdr:row>56</xdr:row>
      <xdr:rowOff>12700</xdr:rowOff>
    </xdr:to>
    <xdr:sp macro="" textlink="">
      <xdr:nvSpPr>
        <xdr:cNvPr id="5" name="TextBox 4">
          <a:extLst>
            <a:ext uri="{FF2B5EF4-FFF2-40B4-BE49-F238E27FC236}">
              <a16:creationId xmlns:a16="http://schemas.microsoft.com/office/drawing/2014/main" id="{00000000-0008-0000-1B00-000005000000}"/>
            </a:ext>
          </a:extLst>
        </xdr:cNvPr>
        <xdr:cNvSpPr txBox="1"/>
      </xdr:nvSpPr>
      <xdr:spPr>
        <a:xfrm>
          <a:off x="203200" y="6235700"/>
          <a:ext cx="3175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6</xdr:col>
      <xdr:colOff>266700</xdr:colOff>
      <xdr:row>7</xdr:row>
      <xdr:rowOff>9525</xdr:rowOff>
    </xdr:from>
    <xdr:to>
      <xdr:col>17</xdr:col>
      <xdr:colOff>381000</xdr:colOff>
      <xdr:row>10</xdr:row>
      <xdr:rowOff>9525</xdr:rowOff>
    </xdr:to>
    <xdr:sp macro="" textlink="">
      <xdr:nvSpPr>
        <xdr:cNvPr id="15" name="TextBox 14">
          <a:extLst>
            <a:ext uri="{FF2B5EF4-FFF2-40B4-BE49-F238E27FC236}">
              <a16:creationId xmlns:a16="http://schemas.microsoft.com/office/drawing/2014/main" id="{00000000-0008-0000-1B00-00000F000000}"/>
            </a:ext>
          </a:extLst>
        </xdr:cNvPr>
        <xdr:cNvSpPr txBox="1"/>
      </xdr:nvSpPr>
      <xdr:spPr>
        <a:xfrm>
          <a:off x="3467100" y="987425"/>
          <a:ext cx="5981700" cy="419100"/>
        </a:xfrm>
        <a:prstGeom prst="rect">
          <a:avLst/>
        </a:prstGeom>
        <a:solidFill>
          <a:sysClr val="window" lastClr="FFFFFF"/>
        </a:solid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DC Plant Utilisation</a:t>
          </a:r>
          <a:endParaRPr kumimoji="0" lang="en-GB" sz="2400" b="1"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152400</xdr:colOff>
      <xdr:row>14</xdr:row>
      <xdr:rowOff>114300</xdr:rowOff>
    </xdr:from>
    <xdr:to>
      <xdr:col>1</xdr:col>
      <xdr:colOff>12700</xdr:colOff>
      <xdr:row>26</xdr:row>
      <xdr:rowOff>38100</xdr:rowOff>
    </xdr:to>
    <xdr:sp macro="" textlink="">
      <xdr:nvSpPr>
        <xdr:cNvPr id="8" name="TextBox 7">
          <a:extLst>
            <a:ext uri="{FF2B5EF4-FFF2-40B4-BE49-F238E27FC236}">
              <a16:creationId xmlns:a16="http://schemas.microsoft.com/office/drawing/2014/main" id="{00000000-0008-0000-1B00-000008000000}"/>
            </a:ext>
          </a:extLst>
        </xdr:cNvPr>
        <xdr:cNvSpPr txBox="1"/>
      </xdr:nvSpPr>
      <xdr:spPr>
        <a:xfrm>
          <a:off x="152400" y="2070100"/>
          <a:ext cx="3937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1</xdr:col>
      <xdr:colOff>444500</xdr:colOff>
      <xdr:row>36</xdr:row>
      <xdr:rowOff>63500</xdr:rowOff>
    </xdr:from>
    <xdr:to>
      <xdr:col>12</xdr:col>
      <xdr:colOff>63500</xdr:colOff>
      <xdr:row>39</xdr:row>
      <xdr:rowOff>76200</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977900" y="5092700"/>
          <a:ext cx="54864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AC Plant Utilisation</a:t>
          </a:r>
          <a:endParaRPr kumimoji="0" lang="en-GB" sz="2400" b="1" i="0" u="none" strike="noStrike" kern="0" cap="none" spc="0" normalizeH="0" baseline="0" noProof="0">
            <a:ln>
              <a:noFill/>
            </a:ln>
            <a:solidFill>
              <a:sysClr val="windowText" lastClr="000000"/>
            </a:solidFill>
            <a:effectLst/>
            <a:uLnTx/>
            <a:uFillTx/>
            <a:latin typeface="+mn-lt"/>
            <a:ea typeface="+mn-ea"/>
            <a:cs typeface="+mn-cs"/>
          </a:endParaRPr>
        </a:p>
        <a:p>
          <a:endParaRPr lang="en-GB" sz="1100"/>
        </a:p>
      </xdr:txBody>
    </xdr:sp>
    <xdr:clientData/>
  </xdr:twoCellAnchor>
  <xdr:twoCellAnchor>
    <xdr:from>
      <xdr:col>0</xdr:col>
      <xdr:colOff>127000</xdr:colOff>
      <xdr:row>66</xdr:row>
      <xdr:rowOff>12700</xdr:rowOff>
    </xdr:from>
    <xdr:to>
      <xdr:col>25</xdr:col>
      <xdr:colOff>76200</xdr:colOff>
      <xdr:row>70</xdr:row>
      <xdr:rowOff>76200</xdr:rowOff>
    </xdr:to>
    <xdr:sp macro="" textlink="">
      <xdr:nvSpPr>
        <xdr:cNvPr id="4" name="TextBox 3">
          <a:extLst>
            <a:ext uri="{FF2B5EF4-FFF2-40B4-BE49-F238E27FC236}">
              <a16:creationId xmlns:a16="http://schemas.microsoft.com/office/drawing/2014/main" id="{00000000-0008-0000-1B00-000004000000}"/>
            </a:ext>
          </a:extLst>
        </xdr:cNvPr>
        <xdr:cNvSpPr txBox="1"/>
      </xdr:nvSpPr>
      <xdr:spPr>
        <a:xfrm>
          <a:off x="127000" y="9232900"/>
          <a:ext cx="132842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twoCellAnchor>
    <xdr:from>
      <xdr:col>15</xdr:col>
      <xdr:colOff>127000</xdr:colOff>
      <xdr:row>42</xdr:row>
      <xdr:rowOff>25400</xdr:rowOff>
    </xdr:from>
    <xdr:to>
      <xdr:col>24</xdr:col>
      <xdr:colOff>317500</xdr:colOff>
      <xdr:row>63</xdr:row>
      <xdr:rowOff>19307</xdr:rowOff>
    </xdr:to>
    <xdr:sp macro="" textlink="">
      <xdr:nvSpPr>
        <xdr:cNvPr id="11" name="TextBox 10">
          <a:extLst>
            <a:ext uri="{FF2B5EF4-FFF2-40B4-BE49-F238E27FC236}">
              <a16:creationId xmlns:a16="http://schemas.microsoft.com/office/drawing/2014/main" id="{00000000-0008-0000-1B00-00000B000000}"/>
            </a:ext>
          </a:extLst>
        </xdr:cNvPr>
        <xdr:cNvSpPr txBox="1"/>
      </xdr:nvSpPr>
      <xdr:spPr>
        <a:xfrm>
          <a:off x="8128000" y="5892800"/>
          <a:ext cx="4991100" cy="2927607"/>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ts val="25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342900" marR="0" lvl="0" indent="-342900" defTabSz="914400" eaLnBrk="1" fontAlgn="auto" latinLnBrk="0" hangingPunct="1">
            <a:lnSpc>
              <a:spcPts val="25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 reserved figure at XEH is for Virtulisation use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twoCellAnchor>
    <xdr:from>
      <xdr:col>0</xdr:col>
      <xdr:colOff>101600</xdr:colOff>
      <xdr:row>7</xdr:row>
      <xdr:rowOff>25400</xdr:rowOff>
    </xdr:from>
    <xdr:to>
      <xdr:col>25</xdr:col>
      <xdr:colOff>139700</xdr:colOff>
      <xdr:row>35</xdr:row>
      <xdr:rowOff>50800</xdr:rowOff>
    </xdr:to>
    <xdr:graphicFrame macro="">
      <xdr:nvGraphicFramePr>
        <xdr:cNvPr id="18" name="Chart 17">
          <a:extLst>
            <a:ext uri="{FF2B5EF4-FFF2-40B4-BE49-F238E27FC236}">
              <a16:creationId xmlns:a16="http://schemas.microsoft.com/office/drawing/2014/main" id="{00000000-0008-0000-1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0.82967</cdr:x>
      <cdr:y>0.01211</cdr:y>
    </cdr:from>
    <cdr:to>
      <cdr:x>0.83411</cdr:x>
      <cdr:y>0.01221</cdr:y>
    </cdr:to>
    <cdr:sp macro="" textlink="">
      <cdr:nvSpPr>
        <cdr:cNvPr id="3" name="TextBox 2"/>
        <cdr:cNvSpPr txBox="1"/>
      </cdr:nvSpPr>
      <cdr:spPr>
        <a:xfrm xmlns:a="http://schemas.openxmlformats.org/drawingml/2006/main">
          <a:off x="2041526" y="88901"/>
          <a:ext cx="84201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400" b="1">
              <a:latin typeface="Vodafone Lt" pitchFamily="34" charset="0"/>
            </a:rPr>
            <a:t>Non- Strategic Core Sites AC</a:t>
          </a:r>
          <a:r>
            <a:rPr lang="en-GB" sz="2400" b="1" baseline="0">
              <a:latin typeface="Vodafone Lt" pitchFamily="34" charset="0"/>
            </a:rPr>
            <a:t> Plant Utilisation</a:t>
          </a:r>
          <a:endParaRPr lang="en-GB" sz="2400" b="1">
            <a:latin typeface="Vodafone Lt" pitchFamily="34" charset="0"/>
          </a:endParaRPr>
        </a:p>
      </cdr:txBody>
    </cdr:sp>
  </cdr:relSizeAnchor>
</c:userShapes>
</file>

<file path=xl/drawings/drawing34.xml><?xml version="1.0" encoding="utf-8"?>
<c:userShapes xmlns:c="http://schemas.openxmlformats.org/drawingml/2006/chart">
  <cdr:relSizeAnchor xmlns:cdr="http://schemas.openxmlformats.org/drawingml/2006/chartDrawing">
    <cdr:from>
      <cdr:x>0.0095</cdr:x>
      <cdr:y>0.28333</cdr:y>
    </cdr:from>
    <cdr:to>
      <cdr:x>0.02944</cdr:x>
      <cdr:y>0.71667</cdr:y>
    </cdr:to>
    <cdr:sp macro="" textlink="">
      <cdr:nvSpPr>
        <cdr:cNvPr id="2" name="TextBox 1"/>
        <cdr:cNvSpPr txBox="1"/>
      </cdr:nvSpPr>
      <cdr:spPr>
        <a:xfrm xmlns:a="http://schemas.openxmlformats.org/drawingml/2006/main">
          <a:off x="127000" y="1079500"/>
          <a:ext cx="266700" cy="1651000"/>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Power (kW)</a:t>
          </a:r>
        </a:p>
      </cdr:txBody>
    </cdr:sp>
  </cdr:relSizeAnchor>
  <cdr:relSizeAnchor xmlns:cdr="http://schemas.openxmlformats.org/drawingml/2006/chartDrawing">
    <cdr:from>
      <cdr:x>0.29535</cdr:x>
      <cdr:y>0.02333</cdr:y>
    </cdr:from>
    <cdr:to>
      <cdr:x>0.69611</cdr:x>
      <cdr:y>0.14</cdr:y>
    </cdr:to>
    <cdr:sp macro="" textlink="">
      <cdr:nvSpPr>
        <cdr:cNvPr id="3" name="TextBox 2"/>
        <cdr:cNvSpPr txBox="1"/>
      </cdr:nvSpPr>
      <cdr:spPr>
        <a:xfrm xmlns:a="http://schemas.openxmlformats.org/drawingml/2006/main">
          <a:off x="3949700" y="88900"/>
          <a:ext cx="53594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Non- Strategic Core Sites DC Plant Utilisation</a:t>
          </a:r>
        </a:p>
      </cdr:txBody>
    </cdr:sp>
  </cdr:relSizeAnchor>
</c:userShapes>
</file>

<file path=xl/drawings/drawing35.xml><?xml version="1.0" encoding="utf-8"?>
<xdr:wsDr xmlns:xdr="http://schemas.openxmlformats.org/drawingml/2006/spreadsheetDrawing" xmlns:a="http://schemas.openxmlformats.org/drawingml/2006/main">
  <xdr:twoCellAnchor>
    <xdr:from>
      <xdr:col>3</xdr:col>
      <xdr:colOff>279400</xdr:colOff>
      <xdr:row>1</xdr:row>
      <xdr:rowOff>0</xdr:rowOff>
    </xdr:from>
    <xdr:to>
      <xdr:col>23</xdr:col>
      <xdr:colOff>88900</xdr:colOff>
      <xdr:row>6</xdr:row>
      <xdr:rowOff>0</xdr:rowOff>
    </xdr:to>
    <xdr:sp macro="" textlink="">
      <xdr:nvSpPr>
        <xdr:cNvPr id="3" name="TextBox 2">
          <a:extLst>
            <a:ext uri="{FF2B5EF4-FFF2-40B4-BE49-F238E27FC236}">
              <a16:creationId xmlns:a16="http://schemas.microsoft.com/office/drawing/2014/main" id="{00000000-0008-0000-1C00-000003000000}"/>
            </a:ext>
          </a:extLst>
        </xdr:cNvPr>
        <xdr:cNvSpPr txBox="1"/>
      </xdr:nvSpPr>
      <xdr:spPr>
        <a:xfrm>
          <a:off x="1879600" y="142875"/>
          <a:ext cx="104775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- 12 Month Power Usage</a:t>
          </a:r>
        </a:p>
        <a:p>
          <a:endParaRPr lang="en-GB" sz="1100"/>
        </a:p>
      </xdr:txBody>
    </xdr:sp>
    <xdr:clientData/>
  </xdr:twoCellAnchor>
  <xdr:twoCellAnchor>
    <xdr:from>
      <xdr:col>0</xdr:col>
      <xdr:colOff>365122</xdr:colOff>
      <xdr:row>53</xdr:row>
      <xdr:rowOff>111125</xdr:rowOff>
    </xdr:from>
    <xdr:to>
      <xdr:col>27</xdr:col>
      <xdr:colOff>412750</xdr:colOff>
      <xdr:row>74</xdr:row>
      <xdr:rowOff>0</xdr:rowOff>
    </xdr:to>
    <xdr:sp macro="" textlink="">
      <xdr:nvSpPr>
        <xdr:cNvPr id="4" name="TextBox 3">
          <a:extLst>
            <a:ext uri="{FF2B5EF4-FFF2-40B4-BE49-F238E27FC236}">
              <a16:creationId xmlns:a16="http://schemas.microsoft.com/office/drawing/2014/main" id="{00000000-0008-0000-1C00-000004000000}"/>
            </a:ext>
          </a:extLst>
        </xdr:cNvPr>
        <xdr:cNvSpPr txBox="1"/>
      </xdr:nvSpPr>
      <xdr:spPr>
        <a:xfrm>
          <a:off x="365122" y="7683500"/>
          <a:ext cx="14620878" cy="288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0" fontAlgn="base" latinLnBrk="0" hangingPunct="0">
            <a:lnSpc>
              <a:spcPts val="16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usage figures on AC plants are included in the DC figures as AC power is derived from the DC plants</a:t>
          </a:r>
        </a:p>
        <a:p>
          <a:pPr marL="0" marR="0" lvl="0" indent="0" defTabSz="914400" rtl="0" eaLnBrk="0" fontAlgn="base" latinLnBrk="0" hangingPunct="0">
            <a:lnSpc>
              <a:spcPts val="16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 decrease of 22kW in power usage across Non- Strategic Core MTX sites.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forecast and reserved figures predict an increase of 158kW, resulting in a increase of 136kW year on year</a:t>
          </a: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Power  Decreases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downs of RNC, BSC and CBX elements along with the power down and closure of the basement have contibuted to        power decrease figures at XKS</a:t>
          </a:r>
        </a:p>
        <a:p>
          <a:pPr marL="0" marR="0" lvl="0" indent="0" defTabSz="914400" rtl="0" eaLnBrk="0" fontAlgn="base" latinLnBrk="0" hangingPunct="0">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XSY, the reserved figures include 4kW for CSDB (installed HLR cab not due to be powered on until 2018)</a:t>
          </a:r>
        </a:p>
        <a:p>
          <a:pPr marL="0" marR="0" lvl="0" indent="0" defTabSz="914400" rtl="0" eaLnBrk="0" fontAlgn="base" latinLnBrk="0" hangingPunct="0">
            <a:lnSpc>
              <a:spcPts val="29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a:p>
          <a:pPr marL="171450" marR="0" lvl="0" indent="-171450" defTabSz="914400" rtl="0" eaLnBrk="0" fontAlgn="base" latinLnBrk="0" hangingPunct="0">
            <a:lnSpc>
              <a:spcPts val="29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ts val="7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a:lnSpc>
              <a:spcPts val="700"/>
            </a:lnSpc>
          </a:pPr>
          <a:endParaRPr lang="en-GB" sz="1100"/>
        </a:p>
      </xdr:txBody>
    </xdr:sp>
    <xdr:clientData/>
  </xdr:twoCellAnchor>
  <xdr:twoCellAnchor>
    <xdr:from>
      <xdr:col>8</xdr:col>
      <xdr:colOff>368300</xdr:colOff>
      <xdr:row>10</xdr:row>
      <xdr:rowOff>0</xdr:rowOff>
    </xdr:from>
    <xdr:to>
      <xdr:col>18</xdr:col>
      <xdr:colOff>241300</xdr:colOff>
      <xdr:row>12</xdr:row>
      <xdr:rowOff>76200</xdr:rowOff>
    </xdr:to>
    <xdr:sp macro="" textlink="">
      <xdr:nvSpPr>
        <xdr:cNvPr id="8" name="TextBox 7">
          <a:extLst>
            <a:ext uri="{FF2B5EF4-FFF2-40B4-BE49-F238E27FC236}">
              <a16:creationId xmlns:a16="http://schemas.microsoft.com/office/drawing/2014/main" id="{00000000-0008-0000-1C00-000008000000}"/>
            </a:ext>
          </a:extLst>
        </xdr:cNvPr>
        <xdr:cNvSpPr txBox="1"/>
      </xdr:nvSpPr>
      <xdr:spPr>
        <a:xfrm>
          <a:off x="4635500" y="1397000"/>
          <a:ext cx="5207000" cy="355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SITES CLOSED TO NEW CORE DEPLOYMENT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485775</xdr:colOff>
      <xdr:row>6</xdr:row>
      <xdr:rowOff>38100</xdr:rowOff>
    </xdr:from>
    <xdr:to>
      <xdr:col>25</xdr:col>
      <xdr:colOff>485775</xdr:colOff>
      <xdr:row>53</xdr:row>
      <xdr:rowOff>66675</xdr:rowOff>
    </xdr:to>
    <xdr:graphicFrame macro="">
      <xdr:nvGraphicFramePr>
        <xdr:cNvPr id="10956952" name="Chart 6">
          <a:extLst>
            <a:ext uri="{FF2B5EF4-FFF2-40B4-BE49-F238E27FC236}">
              <a16:creationId xmlns:a16="http://schemas.microsoft.com/office/drawing/2014/main" id="{00000000-0008-0000-1C00-0000983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c:userShapes xmlns:c="http://schemas.openxmlformats.org/drawingml/2006/chart">
  <cdr:relSizeAnchor xmlns:cdr="http://schemas.openxmlformats.org/drawingml/2006/chartDrawing">
    <cdr:from>
      <cdr:x>0.83849</cdr:x>
      <cdr:y>0.00756</cdr:y>
    </cdr:from>
    <cdr:to>
      <cdr:x>0.84067</cdr:x>
      <cdr:y>0.00857</cdr:y>
    </cdr:to>
    <cdr:sp macro="" textlink="">
      <cdr:nvSpPr>
        <cdr:cNvPr id="3" name="TextBox 2"/>
        <cdr:cNvSpPr txBox="1"/>
      </cdr:nvSpPr>
      <cdr:spPr>
        <a:xfrm xmlns:a="http://schemas.openxmlformats.org/drawingml/2006/main">
          <a:off x="3284277" y="278737"/>
          <a:ext cx="5067700" cy="365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itchFamily="34" charset="0"/>
            </a:rPr>
            <a:t>SITES CLOSED TO NEW CORE DEPLOYMENT</a:t>
          </a:r>
        </a:p>
      </cdr:txBody>
    </cdr:sp>
  </cdr:relSizeAnchor>
  <cdr:relSizeAnchor xmlns:cdr="http://schemas.openxmlformats.org/drawingml/2006/chartDrawing">
    <cdr:from>
      <cdr:x>0.0079</cdr:x>
      <cdr:y>0.3587</cdr:y>
    </cdr:from>
    <cdr:to>
      <cdr:x>0.03621</cdr:x>
      <cdr:y>0.57006</cdr:y>
    </cdr:to>
    <cdr:sp macro="" textlink="">
      <cdr:nvSpPr>
        <cdr:cNvPr id="4" name="TextBox 3"/>
        <cdr:cNvSpPr txBox="1"/>
      </cdr:nvSpPr>
      <cdr:spPr>
        <a:xfrm xmlns:a="http://schemas.openxmlformats.org/drawingml/2006/main">
          <a:off x="104809" y="2533650"/>
          <a:ext cx="375588" cy="1492951"/>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Power (kW)</a:t>
          </a:r>
        </a:p>
      </cdr:txBody>
    </cdr:sp>
  </cdr:relSizeAnchor>
</c:userShapes>
</file>

<file path=xl/drawings/drawing37.xml><?xml version="1.0" encoding="utf-8"?>
<xdr:wsDr xmlns:xdr="http://schemas.openxmlformats.org/drawingml/2006/spreadsheetDrawing" xmlns:a="http://schemas.openxmlformats.org/drawingml/2006/main">
  <xdr:twoCellAnchor>
    <xdr:from>
      <xdr:col>2</xdr:col>
      <xdr:colOff>12700</xdr:colOff>
      <xdr:row>0</xdr:row>
      <xdr:rowOff>79374</xdr:rowOff>
    </xdr:from>
    <xdr:to>
      <xdr:col>24</xdr:col>
      <xdr:colOff>254000</xdr:colOff>
      <xdr:row>4</xdr:row>
      <xdr:rowOff>127000</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1079500" y="79374"/>
          <a:ext cx="11976100" cy="606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Switchroom </a:t>
          </a:r>
          <a:r>
            <a:rPr lang="en-GB" sz="3600" b="1">
              <a:latin typeface="Vodafone Lt" pitchFamily="34" charset="0"/>
            </a:rPr>
            <a:t>Floor Space Usage </a:t>
          </a:r>
        </a:p>
      </xdr:txBody>
    </xdr:sp>
    <xdr:clientData/>
  </xdr:twoCellAnchor>
  <xdr:twoCellAnchor>
    <xdr:from>
      <xdr:col>0</xdr:col>
      <xdr:colOff>203200</xdr:colOff>
      <xdr:row>67</xdr:row>
      <xdr:rowOff>111125</xdr:rowOff>
    </xdr:from>
    <xdr:to>
      <xdr:col>25</xdr:col>
      <xdr:colOff>482600</xdr:colOff>
      <xdr:row>76</xdr:row>
      <xdr:rowOff>12700</xdr:rowOff>
    </xdr:to>
    <xdr:sp macro="" textlink="">
      <xdr:nvSpPr>
        <xdr:cNvPr id="3" name="TextBox 2">
          <a:extLst>
            <a:ext uri="{FF2B5EF4-FFF2-40B4-BE49-F238E27FC236}">
              <a16:creationId xmlns:a16="http://schemas.microsoft.com/office/drawing/2014/main" id="{00000000-0008-0000-1D00-000003000000}"/>
            </a:ext>
          </a:extLst>
        </xdr:cNvPr>
        <xdr:cNvSpPr txBox="1"/>
      </xdr:nvSpPr>
      <xdr:spPr>
        <a:xfrm>
          <a:off x="203200" y="9683750"/>
          <a:ext cx="137731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The XKS floorspace figures exclude the caged area on the 3rd floor</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Space has been reserved for new inverter systems at the above sites</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At XEH, space has also been reserved for x15 Virtulistaion cabs</a:t>
          </a:r>
        </a:p>
        <a:p>
          <a:pPr marL="0" marR="0" lvl="0" indent="0" defTabSz="914400" eaLnBrk="1" fontAlgn="auto" latinLnBrk="0" hangingPunct="1">
            <a:lnSpc>
              <a:spcPct val="100000"/>
            </a:lnSpc>
            <a:spcBef>
              <a:spcPts val="0"/>
            </a:spcBef>
            <a:spcAft>
              <a:spcPts val="0"/>
            </a:spcAft>
            <a:buClrTx/>
            <a:buSzTx/>
            <a:buFontTx/>
            <a:buNone/>
            <a:tabLst/>
            <a:defRPr/>
          </a:pPr>
          <a:endParaRPr lang="en-GB"/>
        </a:p>
      </xdr:txBody>
    </xdr:sp>
    <xdr:clientData/>
  </xdr:twoCellAnchor>
  <xdr:twoCellAnchor>
    <xdr:from>
      <xdr:col>0</xdr:col>
      <xdr:colOff>406400</xdr:colOff>
      <xdr:row>31</xdr:row>
      <xdr:rowOff>25400</xdr:rowOff>
    </xdr:from>
    <xdr:to>
      <xdr:col>1</xdr:col>
      <xdr:colOff>292100</xdr:colOff>
      <xdr:row>41</xdr:row>
      <xdr:rowOff>38100</xdr:rowOff>
    </xdr:to>
    <xdr:sp macro="" textlink="">
      <xdr:nvSpPr>
        <xdr:cNvPr id="4" name="TextBox 3">
          <a:extLst>
            <a:ext uri="{FF2B5EF4-FFF2-40B4-BE49-F238E27FC236}">
              <a16:creationId xmlns:a16="http://schemas.microsoft.com/office/drawing/2014/main" id="{00000000-0008-0000-1D00-000004000000}"/>
            </a:ext>
          </a:extLst>
        </xdr:cNvPr>
        <xdr:cNvSpPr txBox="1"/>
      </xdr:nvSpPr>
      <xdr:spPr>
        <a:xfrm>
          <a:off x="406400" y="4356100"/>
          <a:ext cx="419100" cy="1409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xdr:txBody>
    </xdr:sp>
    <xdr:clientData/>
  </xdr:twoCellAnchor>
  <xdr:twoCellAnchor>
    <xdr:from>
      <xdr:col>0</xdr:col>
      <xdr:colOff>238125</xdr:colOff>
      <xdr:row>5</xdr:row>
      <xdr:rowOff>47625</xdr:rowOff>
    </xdr:from>
    <xdr:to>
      <xdr:col>26</xdr:col>
      <xdr:colOff>95250</xdr:colOff>
      <xdr:row>66</xdr:row>
      <xdr:rowOff>63500</xdr:rowOff>
    </xdr:to>
    <xdr:graphicFrame macro="">
      <xdr:nvGraphicFramePr>
        <xdr:cNvPr id="11" name="Chart 10">
          <a:extLst>
            <a:ext uri="{FF2B5EF4-FFF2-40B4-BE49-F238E27FC236}">
              <a16:creationId xmlns:a16="http://schemas.microsoft.com/office/drawing/2014/main" i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127000</xdr:colOff>
      <xdr:row>5</xdr:row>
      <xdr:rowOff>79374</xdr:rowOff>
    </xdr:from>
    <xdr:to>
      <xdr:col>26</xdr:col>
      <xdr:colOff>44450</xdr:colOff>
      <xdr:row>35</xdr:row>
      <xdr:rowOff>95249</xdr:rowOff>
    </xdr:to>
    <xdr:graphicFrame macro="">
      <xdr:nvGraphicFramePr>
        <xdr:cNvPr id="10959038" name="Chart 6">
          <a:extLst>
            <a:ext uri="{FF2B5EF4-FFF2-40B4-BE49-F238E27FC236}">
              <a16:creationId xmlns:a16="http://schemas.microsoft.com/office/drawing/2014/main" id="{00000000-0008-0000-1D00-0000BE38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333374</xdr:colOff>
      <xdr:row>7</xdr:row>
      <xdr:rowOff>111124</xdr:rowOff>
    </xdr:from>
    <xdr:to>
      <xdr:col>17</xdr:col>
      <xdr:colOff>444499</xdr:colOff>
      <xdr:row>10</xdr:row>
      <xdr:rowOff>79374</xdr:rowOff>
    </xdr:to>
    <xdr:sp macro="" textlink="">
      <xdr:nvSpPr>
        <xdr:cNvPr id="5" name="TextBox 4">
          <a:extLst>
            <a:ext uri="{FF2B5EF4-FFF2-40B4-BE49-F238E27FC236}">
              <a16:creationId xmlns:a16="http://schemas.microsoft.com/office/drawing/2014/main" id="{00000000-0008-0000-1D00-000005000000}"/>
            </a:ext>
          </a:extLst>
        </xdr:cNvPr>
        <xdr:cNvSpPr txBox="1"/>
      </xdr:nvSpPr>
      <xdr:spPr>
        <a:xfrm>
          <a:off x="3032124" y="1111249"/>
          <a:ext cx="658812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a typeface="+mn-ea"/>
              <a:cs typeface="+mn-cs"/>
            </a:rPr>
            <a:t>NON- STRATEGIC SITES CLOSED TO NEW CORE DEPLOYMENT</a:t>
          </a:r>
        </a:p>
        <a:p>
          <a:endParaRPr lang="en-GB" sz="1100"/>
        </a:p>
      </xdr:txBody>
    </xdr:sp>
    <xdr:clientData/>
  </xdr:twoCellAnchor>
</xdr:wsDr>
</file>

<file path=xl/drawings/drawing38.xml><?xml version="1.0" encoding="utf-8"?>
<c:userShapes xmlns:c="http://schemas.openxmlformats.org/drawingml/2006/chart">
  <cdr:relSizeAnchor xmlns:cdr="http://schemas.openxmlformats.org/drawingml/2006/chartDrawing">
    <cdr:from>
      <cdr:x>0.00758</cdr:x>
      <cdr:y>0.35455</cdr:y>
    </cdr:from>
    <cdr:to>
      <cdr:x>0.04</cdr:x>
      <cdr:y>0.56385</cdr:y>
    </cdr:to>
    <cdr:sp macro="" textlink="">
      <cdr:nvSpPr>
        <cdr:cNvPr id="4" name="TextBox 3"/>
        <cdr:cNvSpPr txBox="1"/>
      </cdr:nvSpPr>
      <cdr:spPr>
        <a:xfrm xmlns:a="http://schemas.openxmlformats.org/drawingml/2006/main">
          <a:off x="105330" y="3095625"/>
          <a:ext cx="450295" cy="1827447"/>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2000">
              <a:latin typeface="Vodafone Lt" panose="020B0606040202020204" pitchFamily="34" charset="0"/>
            </a:rPr>
            <a:t>Space (</a:t>
          </a:r>
          <a:r>
            <a:rPr lang="en-GB" sz="2000">
              <a:effectLst/>
              <a:latin typeface="Vodafone Lt" panose="020B0606040202020204" pitchFamily="34" charset="0"/>
              <a:ea typeface="+mn-ea"/>
              <a:cs typeface="+mn-cs"/>
            </a:rPr>
            <a:t>m²)</a:t>
          </a:r>
          <a:endParaRPr lang="en-GB" sz="2000">
            <a:effectLst/>
            <a:latin typeface="Vodafone Lt" panose="020B0606040202020204" pitchFamily="34" charset="0"/>
          </a:endParaRPr>
        </a:p>
        <a:p xmlns:a="http://schemas.openxmlformats.org/drawingml/2006/main">
          <a:endParaRPr lang="en-GB" sz="2000"/>
        </a:p>
      </cdr:txBody>
    </cdr:sp>
  </cdr:relSizeAnchor>
</c:userShapes>
</file>

<file path=xl/drawings/drawing39.xml><?xml version="1.0" encoding="utf-8"?>
<c:userShapes xmlns:c="http://schemas.openxmlformats.org/drawingml/2006/chart">
  <cdr:relSizeAnchor xmlns:cdr="http://schemas.openxmlformats.org/drawingml/2006/chartDrawing">
    <cdr:from>
      <cdr:x>0</cdr:x>
      <cdr:y>0.38745</cdr:y>
    </cdr:from>
    <cdr:to>
      <cdr:x>0.07496</cdr:x>
      <cdr:y>0.62984</cdr:y>
    </cdr:to>
    <cdr:sp macro="" textlink="">
      <cdr:nvSpPr>
        <cdr:cNvPr id="2" name="TextBox 1"/>
        <cdr:cNvSpPr txBox="1"/>
      </cdr:nvSpPr>
      <cdr:spPr>
        <a:xfrm xmlns:a="http://schemas.openxmlformats.org/drawingml/2006/main">
          <a:off x="0" y="1666876"/>
          <a:ext cx="317500" cy="1042774"/>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anose="020B0606040202020204" pitchFamily="34" charset="0"/>
            </a:rPr>
            <a:t>Space (m</a:t>
          </a:r>
          <a:r>
            <a:rPr lang="en-GB" sz="1400">
              <a:latin typeface="Vodafone Lt" panose="020B0606040202020204" pitchFamily="34" charset="0"/>
              <a:cs typeface="Arial"/>
            </a:rPr>
            <a:t>²)</a:t>
          </a:r>
          <a:endParaRPr lang="en-GB" sz="1400">
            <a:latin typeface="Vodafone Lt" panose="020B0606040202020204" pitchFamily="34" charset="0"/>
          </a:endParaRPr>
        </a:p>
      </cdr:txBody>
    </cdr:sp>
  </cdr:relSizeAnchor>
  <cdr:relSizeAnchor xmlns:cdr="http://schemas.openxmlformats.org/drawingml/2006/chartDrawing">
    <cdr:from>
      <cdr:x>0.02926</cdr:x>
      <cdr:y>0.816</cdr:y>
    </cdr:from>
    <cdr:to>
      <cdr:x>0.97872</cdr:x>
      <cdr:y>0.964</cdr:y>
    </cdr:to>
    <cdr:sp macro="" textlink="">
      <cdr:nvSpPr>
        <cdr:cNvPr id="3" name="TextBox 2"/>
        <cdr:cNvSpPr txBox="1"/>
      </cdr:nvSpPr>
      <cdr:spPr>
        <a:xfrm xmlns:a="http://schemas.openxmlformats.org/drawingml/2006/main">
          <a:off x="139700" y="2590800"/>
          <a:ext cx="4533900" cy="469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0.3632</cdr:x>
      <cdr:y>0.11034</cdr:y>
    </cdr:from>
    <cdr:to>
      <cdr:x>0.84454</cdr:x>
      <cdr:y>0.18953</cdr:y>
    </cdr:to>
    <cdr:sp macro="" textlink="">
      <cdr:nvSpPr>
        <cdr:cNvPr id="6" name="TextBox 5"/>
        <cdr:cNvSpPr txBox="1"/>
      </cdr:nvSpPr>
      <cdr:spPr>
        <a:xfrm xmlns:a="http://schemas.openxmlformats.org/drawingml/2006/main">
          <a:off x="1499105" y="462794"/>
          <a:ext cx="1986731" cy="33213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800">
              <a:latin typeface="Vodafone Lt" panose="020B0606040202020204" pitchFamily="34" charset="0"/>
            </a:rPr>
            <a:t>XKS Space by Floor</a:t>
          </a:r>
        </a:p>
      </cdr:txBody>
    </cdr:sp>
  </cdr:relSizeAnchor>
</c:userShapes>
</file>

<file path=xl/drawings/drawing40.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10962069" name="Chart 1">
          <a:extLst>
            <a:ext uri="{FF2B5EF4-FFF2-40B4-BE49-F238E27FC236}">
              <a16:creationId xmlns:a16="http://schemas.microsoft.com/office/drawing/2014/main" id="{00000000-0008-0000-1E00-000095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E00-000003000000}"/>
            </a:ext>
          </a:extLst>
        </xdr:cNvPr>
        <xdr:cNvSpPr txBox="1"/>
      </xdr:nvSpPr>
      <xdr:spPr>
        <a:xfrm>
          <a:off x="2006600" y="165100"/>
          <a:ext cx="1098550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10962071" name="Chart 8">
          <a:extLst>
            <a:ext uri="{FF2B5EF4-FFF2-40B4-BE49-F238E27FC236}">
              <a16:creationId xmlns:a16="http://schemas.microsoft.com/office/drawing/2014/main" id="{00000000-0008-0000-1E00-000097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7</xdr:row>
      <xdr:rowOff>85725</xdr:rowOff>
    </xdr:from>
    <xdr:to>
      <xdr:col>25</xdr:col>
      <xdr:colOff>419100</xdr:colOff>
      <xdr:row>39</xdr:row>
      <xdr:rowOff>66675</xdr:rowOff>
    </xdr:to>
    <xdr:graphicFrame macro="">
      <xdr:nvGraphicFramePr>
        <xdr:cNvPr id="10962072" name="Chart 10">
          <a:extLst>
            <a:ext uri="{FF2B5EF4-FFF2-40B4-BE49-F238E27FC236}">
              <a16:creationId xmlns:a16="http://schemas.microsoft.com/office/drawing/2014/main" id="{00000000-0008-0000-1E00-000098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1.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0.92478</cdr:x>
      <cdr:y>0.17192</cdr:y>
    </cdr:to>
    <cdr:sp macro="" textlink="">
      <cdr:nvSpPr>
        <cdr:cNvPr id="3" name="TextBox 2"/>
        <cdr:cNvSpPr txBox="1"/>
      </cdr:nvSpPr>
      <cdr:spPr>
        <a:xfrm xmlns:a="http://schemas.openxmlformats.org/drawingml/2006/main">
          <a:off x="179615" y="136011"/>
          <a:ext cx="5885687" cy="6436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Power Utilisation at Network Aggregation Sites</a:t>
          </a:r>
        </a:p>
      </cdr:txBody>
    </cdr:sp>
  </cdr:relSizeAnchor>
</c:userShapes>
</file>

<file path=xl/drawings/drawing42.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3.xml><?xml version="1.0" encoding="utf-8"?>
<c:userShapes xmlns:c="http://schemas.openxmlformats.org/drawingml/2006/chart">
  <cdr:relSizeAnchor xmlns:cdr="http://schemas.openxmlformats.org/drawingml/2006/chartDrawing">
    <cdr:from>
      <cdr:x>0.22627</cdr:x>
      <cdr:y>0.03054</cdr:y>
    </cdr:from>
    <cdr:to>
      <cdr:x>0.77293</cdr:x>
      <cdr:y>0.17598</cdr:y>
    </cdr:to>
    <cdr:sp macro="" textlink="">
      <cdr:nvSpPr>
        <cdr:cNvPr id="2" name="TextBox 1"/>
        <cdr:cNvSpPr txBox="1"/>
      </cdr:nvSpPr>
      <cdr:spPr>
        <a:xfrm xmlns:a="http://schemas.openxmlformats.org/drawingml/2006/main">
          <a:off x="3075214" y="145697"/>
          <a:ext cx="7429500" cy="69386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MTX Sites </a:t>
          </a:r>
        </a:p>
        <a:p xmlns:a="http://schemas.openxmlformats.org/drawingml/2006/main">
          <a:pPr algn="ctr"/>
          <a:r>
            <a:rPr lang="en-GB" sz="1600" b="1">
              <a:latin typeface="Vodafone Lt" pitchFamily="34" charset="0"/>
            </a:rPr>
            <a:t>(x9 sites for new Core Deployment)</a:t>
          </a:r>
        </a:p>
      </cdr:txBody>
    </cdr:sp>
  </cdr:relSizeAnchor>
</c:userShapes>
</file>

<file path=xl/drawings/drawing44.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F00-000003000000}"/>
            </a:ext>
          </a:extLst>
        </xdr:cNvPr>
        <xdr:cNvSpPr txBox="1"/>
      </xdr:nvSpPr>
      <xdr:spPr>
        <a:xfrm>
          <a:off x="2006600" y="168275"/>
          <a:ext cx="1098550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4" name="Chart 8">
          <a:extLst>
            <a:ext uri="{FF2B5EF4-FFF2-40B4-BE49-F238E27FC236}">
              <a16:creationId xmlns:a16="http://schemas.microsoft.com/office/drawing/2014/main" i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8</xdr:row>
      <xdr:rowOff>0</xdr:rowOff>
    </xdr:from>
    <xdr:to>
      <xdr:col>13</xdr:col>
      <xdr:colOff>204108</xdr:colOff>
      <xdr:row>39</xdr:row>
      <xdr:rowOff>66675</xdr:rowOff>
    </xdr:to>
    <xdr:graphicFrame macro="">
      <xdr:nvGraphicFramePr>
        <xdr:cNvPr id="5" name="Chart 10">
          <a:extLst>
            <a:ext uri="{FF2B5EF4-FFF2-40B4-BE49-F238E27FC236}">
              <a16:creationId xmlns:a16="http://schemas.microsoft.com/office/drawing/2014/main" i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231322</xdr:colOff>
      <xdr:row>8</xdr:row>
      <xdr:rowOff>0</xdr:rowOff>
    </xdr:from>
    <xdr:to>
      <xdr:col>25</xdr:col>
      <xdr:colOff>421822</xdr:colOff>
      <xdr:row>39</xdr:row>
      <xdr:rowOff>68036</xdr:rowOff>
    </xdr:to>
    <xdr:graphicFrame macro="">
      <xdr:nvGraphicFramePr>
        <xdr:cNvPr id="7" name="Chart 10">
          <a:extLst>
            <a:ext uri="{FF2B5EF4-FFF2-40B4-BE49-F238E27FC236}">
              <a16:creationId xmlns:a16="http://schemas.microsoft.com/office/drawing/2014/main" id="{00000000-0008-0000-1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0.95062</cdr:x>
      <cdr:y>0.17192</cdr:y>
    </cdr:to>
    <cdr:sp macro="" textlink="">
      <cdr:nvSpPr>
        <cdr:cNvPr id="3" name="TextBox 2"/>
        <cdr:cNvSpPr txBox="1"/>
      </cdr:nvSpPr>
      <cdr:spPr>
        <a:xfrm xmlns:a="http://schemas.openxmlformats.org/drawingml/2006/main">
          <a:off x="179641" y="136012"/>
          <a:ext cx="6055152" cy="643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    Power Utilisation at Network Aggregation Sites</a:t>
          </a:r>
        </a:p>
      </cdr:txBody>
    </cdr:sp>
  </cdr:relSizeAnchor>
</c:userShapes>
</file>

<file path=xl/drawings/drawing46.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7.xml><?xml version="1.0" encoding="utf-8"?>
<c:userShapes xmlns:c="http://schemas.openxmlformats.org/drawingml/2006/chart">
  <cdr:relSizeAnchor xmlns:cdr="http://schemas.openxmlformats.org/drawingml/2006/chartDrawing">
    <cdr:from>
      <cdr:x>0.07184</cdr:x>
      <cdr:y>0.03343</cdr:y>
    </cdr:from>
    <cdr:to>
      <cdr:x>0.94175</cdr:x>
      <cdr:y>0.17887</cdr:y>
    </cdr:to>
    <cdr:sp macro="" textlink="">
      <cdr:nvSpPr>
        <cdr:cNvPr id="2" name="TextBox 1"/>
        <cdr:cNvSpPr txBox="1"/>
      </cdr:nvSpPr>
      <cdr:spPr>
        <a:xfrm xmlns:a="http://schemas.openxmlformats.org/drawingml/2006/main">
          <a:off x="503465" y="157350"/>
          <a:ext cx="6096000" cy="68454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CHE MTX Sites </a:t>
          </a:r>
        </a:p>
      </cdr:txBody>
    </cdr:sp>
  </cdr:relSizeAnchor>
</c:userShapes>
</file>

<file path=xl/drawings/drawing48.xml><?xml version="1.0" encoding="utf-8"?>
<c:userShapes xmlns:c="http://schemas.openxmlformats.org/drawingml/2006/chart">
  <cdr:relSizeAnchor xmlns:cdr="http://schemas.openxmlformats.org/drawingml/2006/chartDrawing">
    <cdr:from>
      <cdr:x>0.00837</cdr:x>
      <cdr:y>0.03634</cdr:y>
    </cdr:from>
    <cdr:to>
      <cdr:x>0.9917</cdr:x>
      <cdr:y>0.21269</cdr:y>
    </cdr:to>
    <cdr:sp macro="" textlink="">
      <cdr:nvSpPr>
        <cdr:cNvPr id="2" name="TextBox 1"/>
        <cdr:cNvSpPr txBox="1"/>
      </cdr:nvSpPr>
      <cdr:spPr>
        <a:xfrm xmlns:a="http://schemas.openxmlformats.org/drawingml/2006/main">
          <a:off x="54882" y="170583"/>
          <a:ext cx="6449332" cy="8279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Non- CHE MTX Sites </a:t>
          </a:r>
        </a:p>
      </cdr:txBody>
    </cdr:sp>
  </cdr:relSizeAnchor>
</c:userShapes>
</file>

<file path=xl/drawings/drawing49.xml><?xml version="1.0" encoding="utf-8"?>
<xdr:wsDr xmlns:xdr="http://schemas.openxmlformats.org/drawingml/2006/spreadsheetDrawing" xmlns:a="http://schemas.openxmlformats.org/drawingml/2006/main">
  <xdr:twoCellAnchor>
    <xdr:from>
      <xdr:col>0</xdr:col>
      <xdr:colOff>133804</xdr:colOff>
      <xdr:row>66</xdr:row>
      <xdr:rowOff>111126</xdr:rowOff>
    </xdr:from>
    <xdr:to>
      <xdr:col>28</xdr:col>
      <xdr:colOff>301626</xdr:colOff>
      <xdr:row>85</xdr:row>
      <xdr:rowOff>31751</xdr:rowOff>
    </xdr:to>
    <xdr:sp macro="" textlink="">
      <xdr:nvSpPr>
        <xdr:cNvPr id="3" name="TextBox 2">
          <a:extLst>
            <a:ext uri="{FF2B5EF4-FFF2-40B4-BE49-F238E27FC236}">
              <a16:creationId xmlns:a16="http://schemas.microsoft.com/office/drawing/2014/main" id="{00000000-0008-0000-2000-000003000000}"/>
            </a:ext>
          </a:extLst>
        </xdr:cNvPr>
        <xdr:cNvSpPr txBox="1"/>
      </xdr:nvSpPr>
      <xdr:spPr>
        <a:xfrm>
          <a:off x="133804" y="9540876"/>
          <a:ext cx="15280822" cy="295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rtl="0">
            <a:lnSpc>
              <a:spcPct val="100000"/>
            </a:lnSpc>
            <a:spcBef>
              <a:spcPts val="0"/>
            </a:spcBef>
            <a:spcAft>
              <a:spcPts val="500"/>
            </a:spcAft>
            <a:buFontTx/>
            <a:buNone/>
          </a:pPr>
          <a:r>
            <a:rPr lang="en-GB" sz="2000" b="0">
              <a:effectLst/>
              <a:latin typeface="Vodafone Lt" pitchFamily="34" charset="0"/>
            </a:rPr>
            <a:t>Power usage effectiveness (PUE) </a:t>
          </a:r>
          <a:r>
            <a:rPr lang="en-GB" sz="2000">
              <a:effectLst/>
              <a:latin typeface="Vodafone Lt" pitchFamily="34" charset="0"/>
            </a:rPr>
            <a:t>is a measure of how efficiently an</a:t>
          </a:r>
          <a:r>
            <a:rPr lang="en-GB" sz="2000" baseline="0">
              <a:effectLst/>
              <a:latin typeface="Vodafone Lt" pitchFamily="34" charset="0"/>
            </a:rPr>
            <a:t> MTX </a:t>
          </a:r>
          <a:r>
            <a:rPr lang="en-GB" sz="2000">
              <a:effectLst/>
              <a:latin typeface="Vodafone Lt" pitchFamily="34" charset="0"/>
            </a:rPr>
            <a:t>uses its power; specifically, how much of the power is actually used by the technology</a:t>
          </a:r>
          <a:r>
            <a:rPr lang="en-GB" sz="2000" baseline="0">
              <a:effectLst/>
              <a:latin typeface="Vodafone Lt" pitchFamily="34" charset="0"/>
            </a:rPr>
            <a:t> elements </a:t>
          </a:r>
          <a:r>
            <a:rPr lang="en-GB" sz="2000">
              <a:effectLst/>
              <a:latin typeface="Vodafone Lt" pitchFamily="34" charset="0"/>
            </a:rPr>
            <a:t>in contrast to cooling and other overheads</a:t>
          </a:r>
          <a:endParaRPr lang="en-GB" sz="2000">
            <a:solidFill>
              <a:schemeClr val="dk1"/>
            </a:solidFill>
            <a:effectLst/>
            <a:latin typeface="Vodafone Lt" pitchFamily="34" charset="0"/>
            <a:ea typeface="+mn-ea"/>
            <a:cs typeface="+mn-cs"/>
          </a:endParaRPr>
        </a:p>
        <a:p>
          <a:pPr marL="0" indent="0" rtl="0">
            <a:lnSpc>
              <a:spcPct val="100000"/>
            </a:lnSpc>
            <a:spcBef>
              <a:spcPts val="0"/>
            </a:spcBef>
            <a:spcAft>
              <a:spcPts val="500"/>
            </a:spcAft>
            <a:buFontTx/>
            <a:buNone/>
          </a:pPr>
          <a:r>
            <a:rPr lang="en-GB" sz="2000">
              <a:solidFill>
                <a:schemeClr val="dk1"/>
              </a:solidFill>
              <a:effectLst/>
              <a:latin typeface="Vodafone Lt" pitchFamily="34" charset="0"/>
              <a:ea typeface="+mn-ea"/>
              <a:cs typeface="+mn-cs"/>
            </a:rPr>
            <a:t>PUE readings are the average figures taken</a:t>
          </a:r>
          <a:r>
            <a:rPr lang="en-GB" sz="2000" baseline="0">
              <a:solidFill>
                <a:schemeClr val="dk1"/>
              </a:solidFill>
              <a:effectLst/>
              <a:latin typeface="Vodafone Lt" pitchFamily="34" charset="0"/>
              <a:ea typeface="+mn-ea"/>
              <a:cs typeface="+mn-cs"/>
            </a:rPr>
            <a:t> from the Vodafone Building Management System (BMS)</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A PUE value of 1.5 is our current</a:t>
          </a:r>
          <a:r>
            <a:rPr lang="en-GB" sz="2000" baseline="0">
              <a:solidFill>
                <a:sysClr val="windowText" lastClr="000000"/>
              </a:solidFill>
              <a:effectLst/>
              <a:latin typeface="Vodafone Lt" pitchFamily="34" charset="0"/>
              <a:ea typeface="+mn-ea"/>
              <a:cs typeface="+mn-cs"/>
            </a:rPr>
            <a:t> target</a:t>
          </a:r>
          <a:r>
            <a:rPr lang="en-GB" sz="2000">
              <a:solidFill>
                <a:sysClr val="windowText" lastClr="000000"/>
              </a:solidFill>
              <a:effectLst/>
              <a:latin typeface="Vodafone Lt" pitchFamily="34" charset="0"/>
              <a:ea typeface="+mn-ea"/>
              <a:cs typeface="+mn-cs"/>
            </a:rPr>
            <a:t>,</a:t>
          </a:r>
          <a:r>
            <a:rPr lang="en-GB" sz="2000" baseline="0">
              <a:solidFill>
                <a:sysClr val="windowText" lastClr="000000"/>
              </a:solidFill>
              <a:effectLst/>
              <a:latin typeface="Vodafone Lt" pitchFamily="34" charset="0"/>
              <a:ea typeface="+mn-ea"/>
              <a:cs typeface="+mn-cs"/>
            </a:rPr>
            <a:t> t</a:t>
          </a:r>
          <a:r>
            <a:rPr lang="en-GB" sz="2000">
              <a:solidFill>
                <a:sysClr val="windowText" lastClr="000000"/>
              </a:solidFill>
              <a:effectLst/>
              <a:latin typeface="Vodafone Lt" pitchFamily="34" charset="0"/>
              <a:ea typeface="+mn-ea"/>
              <a:cs typeface="+mn-cs"/>
            </a:rPr>
            <a:t>he lower the PUE value, the better the energy efficiency of the MTX</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The building infrastructure that governs the PUE value is controlled by MITIE  </a:t>
          </a:r>
        </a:p>
        <a:p>
          <a:pPr marL="0" indent="0" rtl="0" eaLnBrk="0" fontAlgn="base" hangingPunct="0">
            <a:lnSpc>
              <a:spcPct val="100000"/>
            </a:lnSpc>
            <a:spcBef>
              <a:spcPts val="0"/>
            </a:spcBef>
            <a:spcAft>
              <a:spcPts val="600"/>
            </a:spcAft>
            <a:buFontTx/>
            <a:buNone/>
          </a:pPr>
          <a:endParaRPr lang="en-GB" sz="2000">
            <a:solidFill>
              <a:sysClr val="windowText" lastClr="000000"/>
            </a:solidFill>
            <a:effectLst/>
            <a:latin typeface="Vodafone Lt" pitchFamily="34" charset="0"/>
            <a:ea typeface="+mn-ea"/>
            <a:cs typeface="+mn-cs"/>
          </a:endParaRPr>
        </a:p>
        <a:p>
          <a:pPr marL="0" indent="0" rtl="0" eaLnBrk="0" fontAlgn="base" hangingPunct="0">
            <a:lnSpc>
              <a:spcPts val="6200"/>
            </a:lnSpc>
            <a:spcBef>
              <a:spcPts val="600"/>
            </a:spcBef>
            <a:spcAft>
              <a:spcPts val="600"/>
            </a:spcAft>
            <a:buFontTx/>
            <a:buNone/>
          </a:pPr>
          <a:endParaRPr lang="en-GB" sz="2000">
            <a:solidFill>
              <a:schemeClr val="dk1"/>
            </a:solidFill>
            <a:effectLst/>
            <a:latin typeface="Vodafone Lt" pitchFamily="34" charset="0"/>
            <a:ea typeface="+mn-ea"/>
            <a:cs typeface="+mn-cs"/>
          </a:endParaRPr>
        </a:p>
        <a:p>
          <a:pPr>
            <a:lnSpc>
              <a:spcPts val="300"/>
            </a:lnSpc>
          </a:pPr>
          <a:endParaRPr lang="en-GB" sz="1200">
            <a:latin typeface="Vodafone Rg" pitchFamily="34" charset="0"/>
          </a:endParaRPr>
        </a:p>
      </xdr:txBody>
    </xdr:sp>
    <xdr:clientData/>
  </xdr:twoCellAnchor>
  <xdr:twoCellAnchor>
    <xdr:from>
      <xdr:col>3</xdr:col>
      <xdr:colOff>317500</xdr:colOff>
      <xdr:row>0</xdr:row>
      <xdr:rowOff>0</xdr:rowOff>
    </xdr:from>
    <xdr:to>
      <xdr:col>22</xdr:col>
      <xdr:colOff>203200</xdr:colOff>
      <xdr:row>4</xdr:row>
      <xdr:rowOff>12700</xdr:rowOff>
    </xdr:to>
    <xdr:sp macro="" textlink="">
      <xdr:nvSpPr>
        <xdr:cNvPr id="4" name="TextBox 3">
          <a:extLst>
            <a:ext uri="{FF2B5EF4-FFF2-40B4-BE49-F238E27FC236}">
              <a16:creationId xmlns:a16="http://schemas.microsoft.com/office/drawing/2014/main" id="{00000000-0008-0000-2000-000004000000}"/>
            </a:ext>
          </a:extLst>
        </xdr:cNvPr>
        <xdr:cNvSpPr txBox="1"/>
      </xdr:nvSpPr>
      <xdr:spPr>
        <a:xfrm>
          <a:off x="1917700" y="0"/>
          <a:ext cx="100203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Core MTX Sites - Power</a:t>
          </a:r>
          <a:r>
            <a:rPr lang="en-GB" sz="3600" b="1" baseline="0">
              <a:latin typeface="Vodafone Lt" pitchFamily="34" charset="0"/>
            </a:rPr>
            <a:t> Usage Effectiveness (</a:t>
          </a:r>
          <a:r>
            <a:rPr lang="en-GB" sz="3600" b="1">
              <a:latin typeface="Vodafone Lt" pitchFamily="34" charset="0"/>
            </a:rPr>
            <a:t>PUE)</a:t>
          </a:r>
        </a:p>
      </xdr:txBody>
    </xdr:sp>
    <xdr:clientData/>
  </xdr:twoCellAnchor>
  <xdr:twoCellAnchor>
    <xdr:from>
      <xdr:col>0</xdr:col>
      <xdr:colOff>133349</xdr:colOff>
      <xdr:row>36</xdr:row>
      <xdr:rowOff>63500</xdr:rowOff>
    </xdr:from>
    <xdr:to>
      <xdr:col>27</xdr:col>
      <xdr:colOff>47624</xdr:colOff>
      <xdr:row>66</xdr:row>
      <xdr:rowOff>98425</xdr:rowOff>
    </xdr:to>
    <xdr:graphicFrame macro="">
      <xdr:nvGraphicFramePr>
        <xdr:cNvPr id="10966217" name="Chart 8">
          <a:extLst>
            <a:ext uri="{FF2B5EF4-FFF2-40B4-BE49-F238E27FC236}">
              <a16:creationId xmlns:a16="http://schemas.microsoft.com/office/drawing/2014/main" id="{00000000-0008-0000-2000-0000C95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5</xdr:row>
      <xdr:rowOff>95250</xdr:rowOff>
    </xdr:from>
    <xdr:to>
      <xdr:col>27</xdr:col>
      <xdr:colOff>47625</xdr:colOff>
      <xdr:row>35</xdr:row>
      <xdr:rowOff>79375</xdr:rowOff>
    </xdr:to>
    <xdr:graphicFrame macro="">
      <xdr:nvGraphicFramePr>
        <xdr:cNvPr id="14" name="Chart 13">
          <a:extLst>
            <a:ext uri="{FF2B5EF4-FFF2-40B4-BE49-F238E27FC236}">
              <a16:creationId xmlns:a16="http://schemas.microsoft.com/office/drawing/2014/main" id="{00000000-0008-0000-2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22</xdr:row>
      <xdr:rowOff>107156</xdr:rowOff>
    </xdr:from>
    <xdr:to>
      <xdr:col>24</xdr:col>
      <xdr:colOff>345281</xdr:colOff>
      <xdr:row>22</xdr:row>
      <xdr:rowOff>107156</xdr:rowOff>
    </xdr:to>
    <xdr:cxnSp macro="">
      <xdr:nvCxnSpPr>
        <xdr:cNvPr id="25" name="Straight Connector 24">
          <a:extLst>
            <a:ext uri="{FF2B5EF4-FFF2-40B4-BE49-F238E27FC236}">
              <a16:creationId xmlns:a16="http://schemas.microsoft.com/office/drawing/2014/main" id="{00000000-0008-0000-2000-000019000000}"/>
            </a:ext>
          </a:extLst>
        </xdr:cNvPr>
        <xdr:cNvCxnSpPr/>
      </xdr:nvCxnSpPr>
      <xdr:spPr>
        <a:xfrm>
          <a:off x="1262063" y="3250406"/>
          <a:ext cx="11941968"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107156</xdr:colOff>
      <xdr:row>55</xdr:row>
      <xdr:rowOff>130969</xdr:rowOff>
    </xdr:from>
    <xdr:to>
      <xdr:col>24</xdr:col>
      <xdr:colOff>226219</xdr:colOff>
      <xdr:row>55</xdr:row>
      <xdr:rowOff>130969</xdr:rowOff>
    </xdr:to>
    <xdr:cxnSp macro="">
      <xdr:nvCxnSpPr>
        <xdr:cNvPr id="28" name="Straight Connector 27">
          <a:extLst>
            <a:ext uri="{FF2B5EF4-FFF2-40B4-BE49-F238E27FC236}">
              <a16:creationId xmlns:a16="http://schemas.microsoft.com/office/drawing/2014/main" id="{00000000-0008-0000-2000-00001C000000}"/>
            </a:ext>
          </a:extLst>
        </xdr:cNvPr>
        <xdr:cNvCxnSpPr/>
      </xdr:nvCxnSpPr>
      <xdr:spPr>
        <a:xfrm>
          <a:off x="1178719" y="7989094"/>
          <a:ext cx="11906250"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50.xml><?xml version="1.0" encoding="utf-8"?>
<c:userShapes xmlns:c="http://schemas.openxmlformats.org/drawingml/2006/chart">
  <cdr:relSizeAnchor xmlns:cdr="http://schemas.openxmlformats.org/drawingml/2006/chartDrawing">
    <cdr:from>
      <cdr:x>0.00275</cdr:x>
      <cdr:y>0.39381</cdr:y>
    </cdr:from>
    <cdr:to>
      <cdr:x>0.02995</cdr:x>
      <cdr:y>0.54271</cdr:y>
    </cdr:to>
    <cdr:sp macro="" textlink="">
      <cdr:nvSpPr>
        <cdr:cNvPr id="2" name="TextBox 1"/>
        <cdr:cNvSpPr txBox="1"/>
      </cdr:nvSpPr>
      <cdr:spPr>
        <a:xfrm xmlns:a="http://schemas.openxmlformats.org/drawingml/2006/main">
          <a:off x="38364" y="1650458"/>
          <a:ext cx="379376" cy="624040"/>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anose="020B0606040202020204" pitchFamily="34" charset="0"/>
            </a:rPr>
            <a:t>PUE</a:t>
          </a:r>
        </a:p>
      </cdr:txBody>
    </cdr:sp>
  </cdr:relSizeAnchor>
  <cdr:relSizeAnchor xmlns:cdr="http://schemas.openxmlformats.org/drawingml/2006/chartDrawing">
    <cdr:from>
      <cdr:x>0.31261</cdr:x>
      <cdr:y>0.03715</cdr:y>
    </cdr:from>
    <cdr:to>
      <cdr:x>0.72594</cdr:x>
      <cdr:y>0.13001</cdr:y>
    </cdr:to>
    <cdr:sp macro="" textlink="">
      <cdr:nvSpPr>
        <cdr:cNvPr id="7" name="TextBox 6"/>
        <cdr:cNvSpPr txBox="1"/>
      </cdr:nvSpPr>
      <cdr:spPr>
        <a:xfrm xmlns:a="http://schemas.openxmlformats.org/drawingml/2006/main">
          <a:off x="4454526" y="158749"/>
          <a:ext cx="5889624"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a:t>
          </a:r>
          <a:r>
            <a:rPr lang="en-GB" sz="2000" baseline="0">
              <a:latin typeface="Vodafone Lt" panose="020B0606040202020204" pitchFamily="34" charset="0"/>
            </a:rPr>
            <a:t> SITES CLOSED TO NEW CORE DEPLOYMENT</a:t>
          </a:r>
          <a:endParaRPr lang="en-GB" sz="2000">
            <a:latin typeface="Vodafone Lt" panose="020B0606040202020204" pitchFamily="34" charset="0"/>
          </a:endParaRPr>
        </a:p>
      </cdr:txBody>
    </cdr:sp>
  </cdr:relSizeAnchor>
</c:userShapes>
</file>

<file path=xl/drawings/drawing51.xml><?xml version="1.0" encoding="utf-8"?>
<c:userShapes xmlns:c="http://schemas.openxmlformats.org/drawingml/2006/chart">
  <cdr:relSizeAnchor xmlns:cdr="http://schemas.openxmlformats.org/drawingml/2006/chartDrawing">
    <cdr:from>
      <cdr:x>0.00781</cdr:x>
      <cdr:y>0.46667</cdr:y>
    </cdr:from>
    <cdr:to>
      <cdr:x>0.0346</cdr:x>
      <cdr:y>0.60741</cdr:y>
    </cdr:to>
    <cdr:sp macro="" textlink="">
      <cdr:nvSpPr>
        <cdr:cNvPr id="2" name="TextBox 1"/>
        <cdr:cNvSpPr txBox="1"/>
      </cdr:nvSpPr>
      <cdr:spPr>
        <a:xfrm xmlns:a="http://schemas.openxmlformats.org/drawingml/2006/main">
          <a:off x="111126" y="2000250"/>
          <a:ext cx="381000" cy="6032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PUE</a:t>
          </a:r>
        </a:p>
      </cdr:txBody>
    </cdr:sp>
  </cdr:relSizeAnchor>
  <cdr:relSizeAnchor xmlns:cdr="http://schemas.openxmlformats.org/drawingml/2006/chartDrawing">
    <cdr:from>
      <cdr:x>0.34375</cdr:x>
      <cdr:y>0.01481</cdr:y>
    </cdr:from>
    <cdr:to>
      <cdr:x>0.69978</cdr:x>
      <cdr:y>0.12593</cdr:y>
    </cdr:to>
    <cdr:sp macro="" textlink="">
      <cdr:nvSpPr>
        <cdr:cNvPr id="3" name="TextBox 2"/>
        <cdr:cNvSpPr txBox="1"/>
      </cdr:nvSpPr>
      <cdr:spPr>
        <a:xfrm xmlns:a="http://schemas.openxmlformats.org/drawingml/2006/main">
          <a:off x="4889500" y="63500"/>
          <a:ext cx="5064125"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0.32589</cdr:x>
      <cdr:y>0.01852</cdr:y>
    </cdr:from>
    <cdr:to>
      <cdr:x>0.69754</cdr:x>
      <cdr:y>0.11111</cdr:y>
    </cdr:to>
    <cdr:sp macro="" textlink="">
      <cdr:nvSpPr>
        <cdr:cNvPr id="6" name="TextBox 5"/>
        <cdr:cNvSpPr txBox="1"/>
      </cdr:nvSpPr>
      <cdr:spPr>
        <a:xfrm xmlns:a="http://schemas.openxmlformats.org/drawingml/2006/main">
          <a:off x="4635500" y="79374"/>
          <a:ext cx="5286375"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 SITES FOR NEW CORE DEPLOYMENT</a:t>
          </a:r>
        </a:p>
      </cdr:txBody>
    </cdr:sp>
  </cdr:relSizeAnchor>
</c:userShapes>
</file>

<file path=xl/drawings/drawing52.xml><?xml version="1.0" encoding="utf-8"?>
<xdr:wsDr xmlns:xdr="http://schemas.openxmlformats.org/drawingml/2006/spreadsheetDrawing" xmlns:a="http://schemas.openxmlformats.org/drawingml/2006/main">
  <xdr:twoCellAnchor>
    <xdr:from>
      <xdr:col>0</xdr:col>
      <xdr:colOff>390525</xdr:colOff>
      <xdr:row>5</xdr:row>
      <xdr:rowOff>95249</xdr:rowOff>
    </xdr:from>
    <xdr:to>
      <xdr:col>24</xdr:col>
      <xdr:colOff>444500</xdr:colOff>
      <xdr:row>30</xdr:row>
      <xdr:rowOff>31749</xdr:rowOff>
    </xdr:to>
    <xdr:graphicFrame macro="">
      <xdr:nvGraphicFramePr>
        <xdr:cNvPr id="10969496" name="Chart 3">
          <a:extLst>
            <a:ext uri="{FF2B5EF4-FFF2-40B4-BE49-F238E27FC236}">
              <a16:creationId xmlns:a16="http://schemas.microsoft.com/office/drawing/2014/main" id="{00000000-0008-0000-2100-000098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334576</xdr:colOff>
      <xdr:row>0</xdr:row>
      <xdr:rowOff>142079</xdr:rowOff>
    </xdr:from>
    <xdr:to>
      <xdr:col>24</xdr:col>
      <xdr:colOff>27214</xdr:colOff>
      <xdr:row>5</xdr:row>
      <xdr:rowOff>27213</xdr:rowOff>
    </xdr:to>
    <xdr:sp macro="" textlink="">
      <xdr:nvSpPr>
        <xdr:cNvPr id="4" name="TextBox 3">
          <a:extLst>
            <a:ext uri="{FF2B5EF4-FFF2-40B4-BE49-F238E27FC236}">
              <a16:creationId xmlns:a16="http://schemas.microsoft.com/office/drawing/2014/main" id="{00000000-0008-0000-2100-000004000000}"/>
            </a:ext>
          </a:extLst>
        </xdr:cNvPr>
        <xdr:cNvSpPr txBox="1"/>
      </xdr:nvSpPr>
      <xdr:spPr>
        <a:xfrm>
          <a:off x="1395933" y="142079"/>
          <a:ext cx="11367567" cy="633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3600" b="1">
              <a:latin typeface="Vodafone Lt" pitchFamily="34" charset="0"/>
            </a:rPr>
            <a:t>Network</a:t>
          </a:r>
          <a:r>
            <a:rPr lang="en-GB" sz="3600" b="1" baseline="0">
              <a:latin typeface="Vodafone Lt" pitchFamily="34" charset="0"/>
            </a:rPr>
            <a:t> Aggregation </a:t>
          </a:r>
          <a:r>
            <a:rPr lang="en-GB" sz="3600" b="1">
              <a:latin typeface="Vodafone Lt" pitchFamily="34" charset="0"/>
            </a:rPr>
            <a:t>Sites - Power Breakdown</a:t>
          </a:r>
        </a:p>
        <a:p>
          <a:endParaRPr lang="en-GB" sz="1100"/>
        </a:p>
      </xdr:txBody>
    </xdr:sp>
    <xdr:clientData/>
  </xdr:twoCellAnchor>
  <xdr:twoCellAnchor>
    <xdr:from>
      <xdr:col>6</xdr:col>
      <xdr:colOff>274411</xdr:colOff>
      <xdr:row>36</xdr:row>
      <xdr:rowOff>95250</xdr:rowOff>
    </xdr:from>
    <xdr:to>
      <xdr:col>18</xdr:col>
      <xdr:colOff>66903</xdr:colOff>
      <xdr:row>40</xdr:row>
      <xdr:rowOff>39118</xdr:rowOff>
    </xdr:to>
    <xdr:sp macro="" textlink="">
      <xdr:nvSpPr>
        <xdr:cNvPr id="2" name="TextBox 1">
          <a:extLst>
            <a:ext uri="{FF2B5EF4-FFF2-40B4-BE49-F238E27FC236}">
              <a16:creationId xmlns:a16="http://schemas.microsoft.com/office/drawing/2014/main" id="{00000000-0008-0000-2100-000002000000}"/>
            </a:ext>
          </a:extLst>
        </xdr:cNvPr>
        <xdr:cNvSpPr txBox="1"/>
      </xdr:nvSpPr>
      <xdr:spPr>
        <a:xfrm>
          <a:off x="3458482" y="5483679"/>
          <a:ext cx="6160635" cy="542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Canal House Computer Room</a:t>
          </a:r>
        </a:p>
      </xdr:txBody>
    </xdr:sp>
    <xdr:clientData/>
  </xdr:twoCellAnchor>
  <xdr:twoCellAnchor>
    <xdr:from>
      <xdr:col>19</xdr:col>
      <xdr:colOff>350385</xdr:colOff>
      <xdr:row>20</xdr:row>
      <xdr:rowOff>105458</xdr:rowOff>
    </xdr:from>
    <xdr:to>
      <xdr:col>24</xdr:col>
      <xdr:colOff>136071</xdr:colOff>
      <xdr:row>29</xdr:row>
      <xdr:rowOff>81642</xdr:rowOff>
    </xdr:to>
    <xdr:sp macro="" textlink="">
      <xdr:nvSpPr>
        <xdr:cNvPr id="5" name="TextBox 4">
          <a:extLst>
            <a:ext uri="{FF2B5EF4-FFF2-40B4-BE49-F238E27FC236}">
              <a16:creationId xmlns:a16="http://schemas.microsoft.com/office/drawing/2014/main" id="{00000000-0008-0000-2100-000005000000}"/>
            </a:ext>
          </a:extLst>
        </xdr:cNvPr>
        <xdr:cNvSpPr txBox="1"/>
      </xdr:nvSpPr>
      <xdr:spPr>
        <a:xfrm>
          <a:off x="10433278" y="3099029"/>
          <a:ext cx="2439079" cy="13232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Vodafone Lt" panose="020B0606040202020204" pitchFamily="34" charset="0"/>
          </a:endParaRPr>
        </a:p>
      </xdr:txBody>
    </xdr:sp>
    <xdr:clientData/>
  </xdr:twoCellAnchor>
  <xdr:twoCellAnchor>
    <xdr:from>
      <xdr:col>0</xdr:col>
      <xdr:colOff>209776</xdr:colOff>
      <xdr:row>66</xdr:row>
      <xdr:rowOff>40821</xdr:rowOff>
    </xdr:from>
    <xdr:to>
      <xdr:col>26</xdr:col>
      <xdr:colOff>27214</xdr:colOff>
      <xdr:row>71</xdr:row>
      <xdr:rowOff>108857</xdr:rowOff>
    </xdr:to>
    <xdr:sp macro="" textlink="">
      <xdr:nvSpPr>
        <xdr:cNvPr id="7" name="TextBox 6">
          <a:extLst>
            <a:ext uri="{FF2B5EF4-FFF2-40B4-BE49-F238E27FC236}">
              <a16:creationId xmlns:a16="http://schemas.microsoft.com/office/drawing/2014/main" id="{00000000-0008-0000-2100-000007000000}"/>
            </a:ext>
          </a:extLst>
        </xdr:cNvPr>
        <xdr:cNvSpPr txBox="1"/>
      </xdr:nvSpPr>
      <xdr:spPr>
        <a:xfrm>
          <a:off x="209776" y="9919607"/>
          <a:ext cx="13615081" cy="816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800" b="0" i="0" u="none" strike="noStrike" kern="0" cap="none" spc="0" normalizeH="0" baseline="0" noProof="0">
              <a:ln>
                <a:noFill/>
              </a:ln>
              <a:solidFill>
                <a:prstClr val="black"/>
              </a:solidFill>
              <a:effectLst/>
              <a:uLnTx/>
              <a:uFillTx/>
              <a:latin typeface="Vodafone Lt" panose="020B0606040202020204" pitchFamily="34" charset="0"/>
            </a:rPr>
            <a:t> </a:t>
          </a:r>
          <a:endParaRPr lang="en-GB" sz="1100"/>
        </a:p>
      </xdr:txBody>
    </xdr:sp>
    <xdr:clientData/>
  </xdr:twoCellAnchor>
  <xdr:twoCellAnchor>
    <xdr:from>
      <xdr:col>0</xdr:col>
      <xdr:colOff>474551</xdr:colOff>
      <xdr:row>30</xdr:row>
      <xdr:rowOff>95250</xdr:rowOff>
    </xdr:from>
    <xdr:to>
      <xdr:col>24</xdr:col>
      <xdr:colOff>231321</xdr:colOff>
      <xdr:row>35</xdr:row>
      <xdr:rowOff>68036</xdr:rowOff>
    </xdr:to>
    <xdr:sp macro="" textlink="">
      <xdr:nvSpPr>
        <xdr:cNvPr id="8" name="TextBox 7">
          <a:extLst>
            <a:ext uri="{FF2B5EF4-FFF2-40B4-BE49-F238E27FC236}">
              <a16:creationId xmlns:a16="http://schemas.microsoft.com/office/drawing/2014/main" id="{00000000-0008-0000-2100-000008000000}"/>
            </a:ext>
          </a:extLst>
        </xdr:cNvPr>
        <xdr:cNvSpPr txBox="1"/>
      </xdr:nvSpPr>
      <xdr:spPr>
        <a:xfrm>
          <a:off x="474551" y="4585607"/>
          <a:ext cx="12493056" cy="721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 typeface="Arial" panose="020B0604020202020204" pitchFamily="34" charset="0"/>
            <a:buNone/>
          </a:pPr>
          <a:r>
            <a:rPr lang="en-GB" sz="1800">
              <a:latin typeface="Vodafone Lt" panose="020B0606040202020204" pitchFamily="34" charset="0"/>
            </a:rPr>
            <a:t> </a:t>
          </a:r>
        </a:p>
      </xdr:txBody>
    </xdr:sp>
    <xdr:clientData/>
  </xdr:twoCellAnchor>
  <xdr:twoCellAnchor>
    <xdr:from>
      <xdr:col>12</xdr:col>
      <xdr:colOff>371475</xdr:colOff>
      <xdr:row>41</xdr:row>
      <xdr:rowOff>73479</xdr:rowOff>
    </xdr:from>
    <xdr:to>
      <xdr:col>25</xdr:col>
      <xdr:colOff>6804</xdr:colOff>
      <xdr:row>65</xdr:row>
      <xdr:rowOff>76200</xdr:rowOff>
    </xdr:to>
    <xdr:graphicFrame macro="">
      <xdr:nvGraphicFramePr>
        <xdr:cNvPr id="10969504" name="Chart 12">
          <a:extLst>
            <a:ext uri="{FF2B5EF4-FFF2-40B4-BE49-F238E27FC236}">
              <a16:creationId xmlns:a16="http://schemas.microsoft.com/office/drawing/2014/main" id="{00000000-0008-0000-2100-0000A0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356507</xdr:colOff>
      <xdr:row>41</xdr:row>
      <xdr:rowOff>78922</xdr:rowOff>
    </xdr:from>
    <xdr:to>
      <xdr:col>12</xdr:col>
      <xdr:colOff>261257</xdr:colOff>
      <xdr:row>65</xdr:row>
      <xdr:rowOff>78922</xdr:rowOff>
    </xdr:to>
    <xdr:graphicFrame macro="">
      <xdr:nvGraphicFramePr>
        <xdr:cNvPr id="10969505" name="Chart 11">
          <a:extLst>
            <a:ext uri="{FF2B5EF4-FFF2-40B4-BE49-F238E27FC236}">
              <a16:creationId xmlns:a16="http://schemas.microsoft.com/office/drawing/2014/main" id="{00000000-0008-0000-2100-0000A1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54430</xdr:colOff>
      <xdr:row>42</xdr:row>
      <xdr:rowOff>40822</xdr:rowOff>
    </xdr:from>
    <xdr:to>
      <xdr:col>8</xdr:col>
      <xdr:colOff>217714</xdr:colOff>
      <xdr:row>45</xdr:row>
      <xdr:rowOff>40822</xdr:rowOff>
    </xdr:to>
    <xdr:sp macro="" textlink="">
      <xdr:nvSpPr>
        <xdr:cNvPr id="6" name="TextBox 5">
          <a:extLst>
            <a:ext uri="{FF2B5EF4-FFF2-40B4-BE49-F238E27FC236}">
              <a16:creationId xmlns:a16="http://schemas.microsoft.com/office/drawing/2014/main" id="{00000000-0008-0000-2100-000006000000}"/>
            </a:ext>
          </a:extLst>
        </xdr:cNvPr>
        <xdr:cNvSpPr txBox="1"/>
      </xdr:nvSpPr>
      <xdr:spPr>
        <a:xfrm>
          <a:off x="2177144" y="6327322"/>
          <a:ext cx="2285999"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latin typeface="Vodafone Lt" panose="020B0606040202020204" pitchFamily="34" charset="0"/>
            </a:rPr>
            <a:t>Floor Space Usage</a:t>
          </a:r>
        </a:p>
      </xdr:txBody>
    </xdr:sp>
    <xdr:clientData/>
  </xdr:twoCellAnchor>
</xdr:wsDr>
</file>

<file path=xl/drawings/drawing53.xml><?xml version="1.0" encoding="utf-8"?>
<c:userShapes xmlns:c="http://schemas.openxmlformats.org/drawingml/2006/chart">
  <cdr:relSizeAnchor xmlns:cdr="http://schemas.openxmlformats.org/drawingml/2006/chartDrawing">
    <cdr:from>
      <cdr:x>0.00286</cdr:x>
      <cdr:y>0.24972</cdr:y>
    </cdr:from>
    <cdr:to>
      <cdr:x>0.03436</cdr:x>
      <cdr:y>0.62785</cdr:y>
    </cdr:to>
    <cdr:sp macro="" textlink="">
      <cdr:nvSpPr>
        <cdr:cNvPr id="4" name="TextBox 2"/>
        <cdr:cNvSpPr txBox="1"/>
      </cdr:nvSpPr>
      <cdr:spPr>
        <a:xfrm xmlns:a="http://schemas.openxmlformats.org/drawingml/2006/main">
          <a:off x="36580" y="918586"/>
          <a:ext cx="402931" cy="1390938"/>
        </a:xfrm>
        <a:prstGeom xmlns:a="http://schemas.openxmlformats.org/drawingml/2006/main" prst="rect">
          <a:avLst/>
        </a:prstGeom>
      </cdr:spPr>
      <cdr:txBody>
        <a:bodyPr xmlns:a="http://schemas.openxmlformats.org/drawingml/2006/main" vertOverflow="clip" vert="vert270" wrap="square" rtlCol="0" anchor="b"/>
        <a:lstStyle xmlns:a="http://schemas.openxmlformats.org/drawingml/2006/main"/>
        <a:p xmlns:a="http://schemas.openxmlformats.org/drawingml/2006/main">
          <a:pPr algn="ctr"/>
          <a:r>
            <a:rPr lang="en-GB" sz="2000">
              <a:latin typeface="Vodafone Lt" pitchFamily="34" charset="0"/>
            </a:rPr>
            <a:t>Power (kW)</a:t>
          </a:r>
        </a:p>
      </cdr:txBody>
    </cdr:sp>
  </cdr:relSizeAnchor>
</c:userShapes>
</file>

<file path=xl/drawings/drawing54.xml><?xml version="1.0" encoding="utf-8"?>
<c:userShapes xmlns:c="http://schemas.openxmlformats.org/drawingml/2006/chart">
  <cdr:relSizeAnchor xmlns:cdr="http://schemas.openxmlformats.org/drawingml/2006/chartDrawing">
    <cdr:from>
      <cdr:x>0.72935</cdr:x>
      <cdr:y>0.66441</cdr:y>
    </cdr:from>
    <cdr:to>
      <cdr:x>0.98144</cdr:x>
      <cdr:y>0.90311</cdr:y>
    </cdr:to>
    <cdr:sp macro="" textlink="">
      <cdr:nvSpPr>
        <cdr:cNvPr id="2" name="TextBox 1"/>
        <cdr:cNvSpPr txBox="1"/>
      </cdr:nvSpPr>
      <cdr:spPr>
        <a:xfrm xmlns:a="http://schemas.openxmlformats.org/drawingml/2006/main">
          <a:off x="4813300" y="2404836"/>
          <a:ext cx="1663700" cy="8639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nSpc>
              <a:spcPts val="1300"/>
            </a:lnSpc>
          </a:pPr>
          <a:r>
            <a:rPr lang="en-GB" sz="1400">
              <a:latin typeface="Vodafone Lt" pitchFamily="34" charset="0"/>
            </a:rPr>
            <a:t>Canal House Computer Room is AC powered from the site UPS</a:t>
          </a:r>
        </a:p>
      </cdr:txBody>
    </cdr:sp>
  </cdr:relSizeAnchor>
  <cdr:relSizeAnchor xmlns:cdr="http://schemas.openxmlformats.org/drawingml/2006/chartDrawing">
    <cdr:from>
      <cdr:x>0.21377</cdr:x>
      <cdr:y>0.01678</cdr:y>
    </cdr:from>
    <cdr:to>
      <cdr:x>0.60553</cdr:x>
      <cdr:y>0.1394</cdr:y>
    </cdr:to>
    <cdr:sp macro="" textlink="">
      <cdr:nvSpPr>
        <cdr:cNvPr id="4" name="TextBox 1"/>
        <cdr:cNvSpPr txBox="1"/>
      </cdr:nvSpPr>
      <cdr:spPr>
        <a:xfrm xmlns:a="http://schemas.openxmlformats.org/drawingml/2006/main">
          <a:off x="1395933" y="60437"/>
          <a:ext cx="2558219" cy="441667"/>
        </a:xfrm>
        <a:prstGeom xmlns:a="http://schemas.openxmlformats.org/drawingml/2006/main" prst="rect">
          <a:avLst/>
        </a:prstGeom>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itchFamily="34" charset="0"/>
            </a:rPr>
            <a:t>PDU Utilisation</a:t>
          </a:r>
        </a:p>
      </cdr:txBody>
    </cdr:sp>
  </cdr:relSizeAnchor>
  <cdr:relSizeAnchor xmlns:cdr="http://schemas.openxmlformats.org/drawingml/2006/chartDrawing">
    <cdr:from>
      <cdr:x>0.00835</cdr:x>
      <cdr:y>0.34287</cdr:y>
    </cdr:from>
    <cdr:to>
      <cdr:x>0.0501</cdr:x>
      <cdr:y>0.69215</cdr:y>
    </cdr:to>
    <cdr:sp macro="" textlink="">
      <cdr:nvSpPr>
        <cdr:cNvPr id="6" name="TextBox 1"/>
        <cdr:cNvSpPr txBox="1"/>
      </cdr:nvSpPr>
      <cdr:spPr>
        <a:xfrm xmlns:a="http://schemas.openxmlformats.org/drawingml/2006/main">
          <a:off x="54427" y="1251857"/>
          <a:ext cx="272143" cy="1265464"/>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Vodafone Lt" pitchFamily="34" charset="0"/>
            </a:rPr>
            <a:t>Power (A)</a:t>
          </a:r>
        </a:p>
      </cdr:txBody>
    </cdr:sp>
  </cdr:relSizeAnchor>
</c:userShapes>
</file>

<file path=xl/drawings/drawing55.xml><?xml version="1.0" encoding="utf-8"?>
<c:userShapes xmlns:c="http://schemas.openxmlformats.org/drawingml/2006/chart">
  <cdr:relSizeAnchor xmlns:cdr="http://schemas.openxmlformats.org/drawingml/2006/chartDrawing">
    <cdr:from>
      <cdr:x>0.00824</cdr:x>
      <cdr:y>0.36061</cdr:y>
    </cdr:from>
    <cdr:to>
      <cdr:x>0.05163</cdr:x>
      <cdr:y>0.7053</cdr:y>
    </cdr:to>
    <cdr:sp macro="" textlink="">
      <cdr:nvSpPr>
        <cdr:cNvPr id="2" name="TextBox 1"/>
        <cdr:cNvSpPr txBox="1"/>
      </cdr:nvSpPr>
      <cdr:spPr>
        <a:xfrm xmlns:a="http://schemas.openxmlformats.org/drawingml/2006/main">
          <a:off x="51690" y="1295416"/>
          <a:ext cx="272160" cy="1238225"/>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Space (m</a:t>
          </a:r>
          <a:r>
            <a:rPr lang="en-GB" sz="1800">
              <a:latin typeface="Vodafone Lt" panose="020B0606040202020204" pitchFamily="34" charset="0"/>
              <a:cs typeface="Arial"/>
            </a:rPr>
            <a:t>²)</a:t>
          </a:r>
          <a:endParaRPr lang="en-GB" sz="1800">
            <a:latin typeface="Vodafone Lt" panose="020B0606040202020204" pitchFamily="34" charset="0"/>
          </a:endParaRPr>
        </a:p>
      </cdr:txBody>
    </cdr:sp>
  </cdr:relSizeAnchor>
</c:userShapes>
</file>

<file path=xl/drawings/drawing56.xml><?xml version="1.0" encoding="utf-8"?>
<xdr:wsDr xmlns:xdr="http://schemas.openxmlformats.org/drawingml/2006/spreadsheetDrawing" xmlns:a="http://schemas.openxmlformats.org/drawingml/2006/main">
  <xdr:twoCellAnchor>
    <xdr:from>
      <xdr:col>0</xdr:col>
      <xdr:colOff>266700</xdr:colOff>
      <xdr:row>1</xdr:row>
      <xdr:rowOff>9525</xdr:rowOff>
    </xdr:from>
    <xdr:to>
      <xdr:col>23</xdr:col>
      <xdr:colOff>482600</xdr:colOff>
      <xdr:row>58</xdr:row>
      <xdr:rowOff>12700</xdr:rowOff>
    </xdr:to>
    <xdr:sp macro="" textlink="">
      <xdr:nvSpPr>
        <xdr:cNvPr id="2" name="TextBox 1">
          <a:extLst>
            <a:ext uri="{FF2B5EF4-FFF2-40B4-BE49-F238E27FC236}">
              <a16:creationId xmlns:a16="http://schemas.microsoft.com/office/drawing/2014/main" id="{00000000-0008-0000-2200-000002000000}"/>
            </a:ext>
          </a:extLst>
        </xdr:cNvPr>
        <xdr:cNvSpPr txBox="1"/>
      </xdr:nvSpPr>
      <xdr:spPr>
        <a:xfrm>
          <a:off x="266700" y="149225"/>
          <a:ext cx="12484100" cy="796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2400" b="1">
              <a:solidFill>
                <a:srgbClr val="FF0000"/>
              </a:solidFill>
              <a:effectLst/>
              <a:latin typeface="Vodafone Lt" pitchFamily="34" charset="0"/>
              <a:ea typeface="+mn-ea"/>
              <a:cs typeface="+mn-cs"/>
            </a:rPr>
            <a:t>Assumptions</a:t>
          </a:r>
        </a:p>
        <a:p>
          <a:endParaRPr lang="en-GB" sz="1400" b="1">
            <a:solidFill>
              <a:schemeClr val="dk1"/>
            </a:solidFill>
            <a:effectLst/>
            <a:latin typeface="Vodafone Rg" pitchFamily="34" charset="0"/>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 both the Space and Power data, removals will only be included once the actual equipment removal is complete</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Likewise, increases in Max Technology Load or Deployed AC or DC Capacity will only be included once the power plant is operational</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Forecast figures are</a:t>
          </a:r>
          <a:r>
            <a:rPr lang="en-GB" sz="2000" baseline="0">
              <a:solidFill>
                <a:schemeClr val="dk1"/>
              </a:solidFill>
              <a:effectLst/>
              <a:latin typeface="Vodafone Lt" pitchFamily="34" charset="0"/>
              <a:ea typeface="+mn-ea"/>
              <a:cs typeface="+mn-cs"/>
            </a:rPr>
            <a:t> based on </a:t>
          </a:r>
          <a:r>
            <a:rPr lang="en-GB" sz="2000">
              <a:solidFill>
                <a:schemeClr val="dk1"/>
              </a:solidFill>
              <a:effectLst/>
              <a:latin typeface="Vodafone Lt" pitchFamily="34" charset="0"/>
              <a:ea typeface="+mn-ea"/>
              <a:cs typeface="+mn-cs"/>
            </a:rPr>
            <a:t>pre-allocated resources, following review via the space and power governance process, for installations or expansion where the details of the requirement are clear. Forecasts are usually only valid for a period of up to 3 months from receipt of the request after which the request must be reviewed again. </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Reserved figures are based on </a:t>
          </a:r>
          <a:r>
            <a:rPr lang="en-GB" sz="2000" baseline="0">
              <a:solidFill>
                <a:schemeClr val="dk1"/>
              </a:solidFill>
              <a:effectLst/>
              <a:latin typeface="Vodafone Lt" pitchFamily="34" charset="0"/>
              <a:ea typeface="+mn-ea"/>
              <a:cs typeface="+mn-cs"/>
            </a:rPr>
            <a:t>r</a:t>
          </a:r>
          <a:r>
            <a:rPr lang="en-GB" sz="2000">
              <a:solidFill>
                <a:schemeClr val="dk1"/>
              </a:solidFill>
              <a:effectLst/>
              <a:latin typeface="Vodafone Lt" pitchFamily="34" charset="0"/>
              <a:ea typeface="+mn-ea"/>
              <a:cs typeface="+mn-cs"/>
            </a:rPr>
            <a:t>esources earmarked for future expansion of specific services or infrastructure to prevent their use for other, unrelated, purposes.  This typically applies to resources where no other suitable solution is available to satisfy the future requirement.  Reserved resource status should be reviewed on a 6 monthly basis.</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400" b="1">
              <a:solidFill>
                <a:srgbClr val="FF0000"/>
              </a:solidFill>
              <a:effectLst/>
              <a:latin typeface="Vodafone Lt" pitchFamily="34" charset="0"/>
              <a:ea typeface="+mn-ea"/>
              <a:cs typeface="+mn-cs"/>
            </a:rPr>
            <a:t>For Information</a:t>
          </a:r>
          <a:endParaRPr lang="en-GB" sz="2400">
            <a:solidFill>
              <a:srgbClr val="FF0000"/>
            </a:solidFill>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000">
              <a:solidFill>
                <a:schemeClr val="dk1"/>
              </a:solidFill>
              <a:effectLst/>
              <a:latin typeface="Vodafone Lt" pitchFamily="34" charset="0"/>
              <a:ea typeface="+mn-ea"/>
              <a:cs typeface="+mn-cs"/>
            </a:rPr>
            <a:t>Basingstoke and Kings Cross MTX’s are fitted with 1.25MVA generators but the maximum technology load is still capped at 504kW for XBE (the same as</a:t>
          </a:r>
          <a:r>
            <a:rPr lang="en-GB" sz="2000" baseline="0">
              <a:solidFill>
                <a:schemeClr val="dk1"/>
              </a:solidFill>
              <a:effectLst/>
              <a:latin typeface="Vodafone Lt" pitchFamily="34" charset="0"/>
              <a:ea typeface="+mn-ea"/>
              <a:cs typeface="+mn-cs"/>
            </a:rPr>
            <a:t> </a:t>
          </a:r>
          <a:r>
            <a:rPr lang="en-GB" sz="2000">
              <a:solidFill>
                <a:schemeClr val="dk1"/>
              </a:solidFill>
              <a:effectLst/>
              <a:latin typeface="Vodafone Lt" pitchFamily="34" charset="0"/>
              <a:ea typeface="+mn-ea"/>
              <a:cs typeface="+mn-cs"/>
            </a:rPr>
            <a:t>Gravelly Hill which has 1MVA generators installed), and 450kW for XKS,</a:t>
          </a:r>
          <a:r>
            <a:rPr lang="en-GB" sz="2000" baseline="0">
              <a:solidFill>
                <a:schemeClr val="dk1"/>
              </a:solidFill>
              <a:effectLst/>
              <a:latin typeface="Vodafone Lt" pitchFamily="34" charset="0"/>
              <a:ea typeface="+mn-ea"/>
              <a:cs typeface="+mn-cs"/>
            </a:rPr>
            <a:t> t</a:t>
          </a:r>
          <a:r>
            <a:rPr lang="en-GB" sz="2000">
              <a:solidFill>
                <a:schemeClr val="dk1"/>
              </a:solidFill>
              <a:effectLst/>
              <a:latin typeface="Vodafone Lt" pitchFamily="34" charset="0"/>
              <a:ea typeface="+mn-ea"/>
              <a:cs typeface="+mn-cs"/>
            </a:rPr>
            <a:t>his is due to the additional air conditioning at Kings Cross as a result of the multi-floor arrangement.</a:t>
          </a:r>
        </a:p>
        <a:p>
          <a:pPr marL="0" marR="0" indent="0" defTabSz="914400" rtl="0" eaLnBrk="1" fontAlgn="auto" latinLnBrk="0" hangingPunct="1">
            <a:lnSpc>
              <a:spcPct val="100000"/>
            </a:lnSpc>
            <a:spcBef>
              <a:spcPts val="0"/>
            </a:spcBef>
            <a:spcAft>
              <a:spcPts val="0"/>
            </a:spcAft>
            <a:buClrTx/>
            <a:buSzTx/>
            <a:buFontTx/>
            <a:buNone/>
            <a:tabLst/>
            <a:defRPr/>
          </a:pPr>
          <a:endParaRPr lang="en-GB" sz="2000">
            <a:solidFill>
              <a:schemeClr val="dk1"/>
            </a:solidFill>
            <a:effectLst/>
            <a:latin typeface="Vodafone Lt" pitchFamily="34" charset="0"/>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DCFCE0B/03%20Mar%2018%20Plant%20power%20loading(Dulu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EAKEL/AppData/Local/Microsoft/Windows/INetCache/Content.Outlook/3BNZ8OS6/Copy%20of%2005%20May%2019%20Plant%20power%20loading%20(Dulu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4%20Apr%2021%20MTX%20Site%20Capacity%20(Dulu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0%20Project%20Documents/00%20Network/NFV%20FY22_23/Power%20Info/NFV%20ORMT%20Power%20ORMT_SAP_220628_4_11235669.xlsx" TargetMode="External"/><Relationship Id="rId1" Type="http://schemas.openxmlformats.org/officeDocument/2006/relationships/externalLinkPath" Target="/sites/InfrastructureDelivery462/Shared%20Documents/00%20Project%20Documents/00%20Network/NFV%20FY22_23/Power%20Info/NFV%20ORMT%20Power%20ORMT_SAP_220628_4_1123566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EAKEL\AppData\Local\Microsoft\Windows\INetCache\Content.Outlook\NCF9CAE8\2021%2003%20Mar%2021%20MTX%20Site%20Capacity%20(Dulu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1%20Site%20Information/08%20Network%20Sites%20Power%20Distribution%20Records/MTX%20Sites/XGL/XGL001%20UPS_PDU_GIS_Migration_Template_V1.xlsx" TargetMode="External"/><Relationship Id="rId1" Type="http://schemas.openxmlformats.org/officeDocument/2006/relationships/externalLinkPath" Target="/sites/InfrastructureDelivery462/Shared%20Documents/01%20Site%20Information/08%20Network%20Sites%20Power%20Distribution%20Records/MTX%20Sites/XGL/XGL001%20UPS_PDU_GIS_Migration_Template_V1.xlsx" TargetMode="External"/></Relationships>
</file>

<file path=xl/externalLinks/_rels/externalLink8.xml.rels><?xml version="1.0" encoding="UTF-8" standalone="yes"?>
<Relationships xmlns="http://schemas.openxmlformats.org/package/2006/relationships"><Relationship Id="rId3" Type="http://schemas.openxmlformats.org/officeDocument/2006/relationships/externalLinkPath" Target="https://vodafone.sharepoint.com/sites/InfrastructureDelivery462/Shared%20Documents/01%20Site%20Information/08%20Network%20Sites%20Power%20Distribution%20Records/Thames%20Valley/Bracknell%20Sterling/BKLN06/Live%20in%20GIS/BKLN06%20UPS_PDU_GIS_Migration_Template_V1.xlsx" TargetMode="External"/><Relationship Id="rId2" Type="http://schemas.microsoft.com/office/2019/04/relationships/externalLinkLongPath" Target="/sites/InfrastructureDelivery462/Shared%20Documents/01%20Site%20Information/08%20Network%20Sites%20Power%20Distribution%20Records/Thames%20Valley/Bracknell%20Sterling/BKLN06/Live%20in%20GIS/BKLN06%20UPS_PDU_GIS_Migration_Template_V1.xlsx?4DB7C009" TargetMode="External"/><Relationship Id="rId1" Type="http://schemas.openxmlformats.org/officeDocument/2006/relationships/externalLinkPath" Target="file:///\\4DB7C009\BKLN06%20UPS_PDU_GIS_Migration_Template_V1.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sites/InfrastructureDelivery462/Shared%20Documents/01%20Site%20Information/08%20Network%20Sites%20Power%20Distribution%20Records/Thames%20Valley/Bracknell%20Sterling/BKLN06/BKLN06%20UPS_PDU_GIS_Migration_Template_V1.xlsx?3C6AFAD0" TargetMode="External"/><Relationship Id="rId1" Type="http://schemas.openxmlformats.org/officeDocument/2006/relationships/externalLinkPath" Target="file:///\\3C6AFAD0\BKLN06%20UPS_PDU_GIS_Migration_Template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ECO Mode"/>
      <sheetName val="Dual Running Anaylsis"/>
      <sheetName val="Building Capability"/>
      <sheetName val="Power figures"/>
      <sheetName val="PUE Values"/>
      <sheetName val="Rolling Figs"/>
      <sheetName val="Cab Floorspace"/>
      <sheetName val="Floorspace Calc"/>
      <sheetName val="Dual Running"/>
      <sheetName val="Copy Battery Log (2)"/>
      <sheetName val="MORAN Analysis 05072013"/>
      <sheetName val="Energy Improvements"/>
      <sheetName val="Rectifier Reduction"/>
      <sheetName val="Plant readings"/>
      <sheetName val="New 12 Monthly"/>
      <sheetName val="New Format Graphs"/>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Building Capability"/>
      <sheetName val="Power figures"/>
      <sheetName val="Cab Floorspace"/>
      <sheetName val="Floorspace Calc"/>
      <sheetName val="Plant readings"/>
      <sheetName val="Graphs"/>
      <sheetName val="12 Monthly Graph"/>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ower figures"/>
      <sheetName val="Cab Floorspace"/>
      <sheetName val="Floorspace Calc"/>
      <sheetName val="Plant readings"/>
      <sheetName val="Graphs"/>
      <sheetName val="12 Monthly Graph"/>
      <sheetName val="Exec Graphs (2)"/>
      <sheetName val="AirCon"/>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OJGXWCK76GYNDJNFJDX46KJBAR">
      <xxl21:absoluteUrl r:id="rId2"/>
    </xxl21:alternateUrls>
    <sheetNames>
      <sheetName val="Sheet1"/>
    </sheetNames>
    <sheetDataSet>
      <sheetData sheetId="0">
        <row r="4">
          <cell r="W4" t="str">
            <v>Dell S5248F</v>
          </cell>
        </row>
        <row r="5">
          <cell r="W5" t="str">
            <v>Dell S5248F</v>
          </cell>
        </row>
        <row r="6">
          <cell r="W6" t="str">
            <v>Dell S5248F</v>
          </cell>
        </row>
        <row r="7">
          <cell r="W7" t="str">
            <v>Dell S5248F</v>
          </cell>
        </row>
        <row r="8">
          <cell r="W8" t="str">
            <v>Dell S5248F</v>
          </cell>
        </row>
        <row r="9">
          <cell r="W9" t="str">
            <v>Dell S5248F</v>
          </cell>
        </row>
        <row r="10">
          <cell r="W10" t="str">
            <v>Dell S5248F</v>
          </cell>
        </row>
        <row r="11">
          <cell r="W11" t="str">
            <v>Dell S5248F</v>
          </cell>
        </row>
        <row r="15">
          <cell r="W15" t="str">
            <v>Dell S5248F</v>
          </cell>
        </row>
        <row r="16">
          <cell r="W16" t="str">
            <v>Dell S5248F</v>
          </cell>
        </row>
        <row r="17">
          <cell r="W17" t="str">
            <v>Dell S5248F</v>
          </cell>
        </row>
        <row r="18">
          <cell r="W18" t="str">
            <v>Dell S5248F</v>
          </cell>
        </row>
        <row r="19">
          <cell r="W19" t="str">
            <v>Dell S5248F</v>
          </cell>
        </row>
        <row r="20">
          <cell r="W20" t="str">
            <v>Dell S5248F</v>
          </cell>
        </row>
        <row r="21">
          <cell r="W21" t="str">
            <v>Dell S5248F</v>
          </cell>
        </row>
        <row r="22">
          <cell r="W22" t="str">
            <v>Dell S5248F</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lant Loading Property Report"/>
      <sheetName val="Power figures"/>
      <sheetName val="Cab Floorspace"/>
      <sheetName val="Floorspace Calc"/>
      <sheetName val="Plant readings"/>
      <sheetName val="Graphs"/>
      <sheetName val="12 Monthly Graph"/>
      <sheetName val="AirCon"/>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refreshError="1"/>
      <sheetData sheetId="1" refreshError="1"/>
      <sheetData sheetId="2" refreshError="1"/>
      <sheetData sheetId="3" refreshError="1"/>
      <sheetData sheetId="4" refreshError="1"/>
      <sheetData sheetId="5" refreshError="1"/>
      <sheetData sheetId="6">
        <row r="19">
          <cell r="B19" t="str">
            <v>Inverter Usage (kW)</v>
          </cell>
          <cell r="C19" t="str">
            <v>DC Usage (kW)</v>
          </cell>
          <cell r="D19" t="str">
            <v>Reserved (kW)</v>
          </cell>
          <cell r="E19" t="str">
            <v>Forecast (kW)</v>
          </cell>
          <cell r="F19" t="str">
            <v>Power Capability  (kW)</v>
          </cell>
        </row>
        <row r="28">
          <cell r="A28" t="str">
            <v>XCY</v>
          </cell>
          <cell r="B28">
            <v>18.53</v>
          </cell>
          <cell r="C28">
            <v>133.36150000000001</v>
          </cell>
          <cell r="D28">
            <v>0</v>
          </cell>
          <cell r="E28">
            <v>7.7389999999999999</v>
          </cell>
          <cell r="F28">
            <v>155.36950000000002</v>
          </cell>
        </row>
        <row r="29">
          <cell r="A29" t="str">
            <v>XER</v>
          </cell>
          <cell r="B29">
            <v>7.6300000000000008</v>
          </cell>
          <cell r="C29">
            <v>106.384</v>
          </cell>
          <cell r="D29">
            <v>0</v>
          </cell>
          <cell r="E29">
            <v>1.5232000000000001</v>
          </cell>
          <cell r="F29">
            <v>184.46279999999999</v>
          </cell>
        </row>
        <row r="30">
          <cell r="A30" t="str">
            <v>XKS
1st floor</v>
          </cell>
          <cell r="B30">
            <v>0</v>
          </cell>
          <cell r="C30">
            <v>48.668500000000002</v>
          </cell>
          <cell r="D30">
            <v>0</v>
          </cell>
          <cell r="E30">
            <v>0</v>
          </cell>
          <cell r="F30">
            <v>112.33150000000001</v>
          </cell>
        </row>
        <row r="31">
          <cell r="A31" t="str">
            <v>XKS
2nd floor</v>
          </cell>
          <cell r="B31">
            <v>52.320000000000007</v>
          </cell>
          <cell r="C31">
            <v>58.532999999999987</v>
          </cell>
          <cell r="D31">
            <v>0</v>
          </cell>
          <cell r="E31">
            <v>0</v>
          </cell>
          <cell r="F31">
            <v>50.147000000000006</v>
          </cell>
        </row>
        <row r="32">
          <cell r="A32" t="str">
            <v>XKS
3rd floor</v>
          </cell>
          <cell r="B32">
            <v>0</v>
          </cell>
          <cell r="C32">
            <v>25.996500000000001</v>
          </cell>
          <cell r="D32">
            <v>0</v>
          </cell>
          <cell r="E32">
            <v>0</v>
          </cell>
          <cell r="F32">
            <v>135.0035</v>
          </cell>
        </row>
        <row r="33">
          <cell r="A33" t="str">
            <v>XRM</v>
          </cell>
          <cell r="B33">
            <v>8.7200000000000006</v>
          </cell>
          <cell r="C33">
            <v>131.89000000000001</v>
          </cell>
          <cell r="D33">
            <v>0</v>
          </cell>
          <cell r="E33">
            <v>12.262499999999999</v>
          </cell>
          <cell r="F33">
            <v>162.12749999999997</v>
          </cell>
        </row>
        <row r="34">
          <cell r="A34" t="str">
            <v>XSN</v>
          </cell>
          <cell r="B34">
            <v>9.81</v>
          </cell>
          <cell r="C34">
            <v>122.84299999999999</v>
          </cell>
          <cell r="D34">
            <v>0</v>
          </cell>
          <cell r="E34">
            <v>18.966000000000001</v>
          </cell>
          <cell r="F34">
            <v>148.381</v>
          </cell>
        </row>
        <row r="35">
          <cell r="A35" t="str">
            <v>XSY</v>
          </cell>
          <cell r="B35">
            <v>7.6300000000000008</v>
          </cell>
          <cell r="C35">
            <v>136.52250000000001</v>
          </cell>
          <cell r="D35">
            <v>0</v>
          </cell>
          <cell r="E35">
            <v>1.417</v>
          </cell>
          <cell r="F35">
            <v>158.93049999999999</v>
          </cell>
        </row>
      </sheetData>
      <sheetData sheetId="7">
        <row r="21">
          <cell r="J21" t="str">
            <v xml:space="preserve">Used (m²) </v>
          </cell>
          <cell r="K21" t="str">
            <v>Reserved (m²)</v>
          </cell>
          <cell r="L21" t="str">
            <v xml:space="preserve">Forecast (m²) </v>
          </cell>
          <cell r="O21" t="str">
            <v xml:space="preserve">Remaining (m²) </v>
          </cell>
        </row>
      </sheetData>
      <sheetData sheetId="8" refreshError="1"/>
      <sheetData sheetId="9" refreshError="1"/>
      <sheetData sheetId="10" refreshError="1"/>
      <sheetData sheetId="11">
        <row r="1">
          <cell r="C1" t="str">
            <v>Load (kW)</v>
          </cell>
          <cell r="D1" t="str">
            <v>Power Capability (kW)</v>
          </cell>
        </row>
        <row r="2">
          <cell r="A2" t="str">
            <v>XBE</v>
          </cell>
          <cell r="B2">
            <v>43862</v>
          </cell>
          <cell r="C2">
            <v>368.31099999999998</v>
          </cell>
          <cell r="D2">
            <v>135.68900000000002</v>
          </cell>
        </row>
        <row r="3">
          <cell r="B3">
            <v>43891</v>
          </cell>
          <cell r="C3">
            <v>369</v>
          </cell>
          <cell r="D3">
            <v>135</v>
          </cell>
        </row>
        <row r="4">
          <cell r="B4">
            <v>43922</v>
          </cell>
          <cell r="C4">
            <v>368.96499999999997</v>
          </cell>
          <cell r="D4">
            <v>135.03500000000003</v>
          </cell>
        </row>
        <row r="5">
          <cell r="B5">
            <v>43952</v>
          </cell>
          <cell r="C5">
            <v>375.0145</v>
          </cell>
          <cell r="D5">
            <v>128.9855</v>
          </cell>
        </row>
        <row r="6">
          <cell r="B6">
            <v>43983</v>
          </cell>
          <cell r="C6">
            <v>375.77749999999997</v>
          </cell>
          <cell r="D6">
            <v>128.22250000000003</v>
          </cell>
        </row>
        <row r="7">
          <cell r="B7">
            <v>44013</v>
          </cell>
          <cell r="C7">
            <v>379.75599999999997</v>
          </cell>
          <cell r="D7">
            <v>124.24400000000003</v>
          </cell>
        </row>
        <row r="8">
          <cell r="B8">
            <v>44044</v>
          </cell>
          <cell r="C8">
            <v>381.28199999999998</v>
          </cell>
          <cell r="D8">
            <v>122.71800000000002</v>
          </cell>
        </row>
        <row r="9">
          <cell r="B9">
            <v>44075</v>
          </cell>
          <cell r="C9">
            <v>419.26850000000002</v>
          </cell>
          <cell r="D9">
            <v>84.731499999999983</v>
          </cell>
        </row>
        <row r="10">
          <cell r="B10">
            <v>44105</v>
          </cell>
          <cell r="C10">
            <v>411.4205</v>
          </cell>
          <cell r="D10">
            <v>92.579499999999996</v>
          </cell>
        </row>
        <row r="11">
          <cell r="B11">
            <v>44136</v>
          </cell>
          <cell r="C11">
            <v>411.911</v>
          </cell>
          <cell r="D11">
            <v>92.088999999999999</v>
          </cell>
        </row>
        <row r="12">
          <cell r="B12">
            <v>44166</v>
          </cell>
          <cell r="C12">
            <v>409.45850000000002</v>
          </cell>
          <cell r="D12">
            <v>94.541499999999985</v>
          </cell>
        </row>
        <row r="13">
          <cell r="B13">
            <v>44197</v>
          </cell>
          <cell r="C13">
            <v>412.02</v>
          </cell>
          <cell r="D13">
            <v>91.980000000000018</v>
          </cell>
        </row>
        <row r="14">
          <cell r="B14">
            <v>44228</v>
          </cell>
          <cell r="C14">
            <v>402.21</v>
          </cell>
          <cell r="D14">
            <v>101.79000000000002</v>
          </cell>
        </row>
        <row r="15">
          <cell r="A15" t="str">
            <v>XMS</v>
          </cell>
          <cell r="C15" t="str">
            <v>Load (kW)</v>
          </cell>
          <cell r="D15" t="str">
            <v>Power Capability (kW)</v>
          </cell>
        </row>
        <row r="16">
          <cell r="B16">
            <v>43862</v>
          </cell>
          <cell r="C16">
            <v>344.87599999999998</v>
          </cell>
          <cell r="D16">
            <v>62.124000000000024</v>
          </cell>
        </row>
        <row r="17">
          <cell r="B17">
            <v>43891</v>
          </cell>
          <cell r="C17">
            <v>346</v>
          </cell>
          <cell r="D17">
            <v>61</v>
          </cell>
        </row>
        <row r="18">
          <cell r="B18">
            <v>43922</v>
          </cell>
          <cell r="C18">
            <v>344.65800000000002</v>
          </cell>
          <cell r="D18">
            <v>62.341999999999985</v>
          </cell>
        </row>
        <row r="19">
          <cell r="B19">
            <v>43952</v>
          </cell>
          <cell r="C19">
            <v>346.02050000000003</v>
          </cell>
          <cell r="D19">
            <v>60.979499999999973</v>
          </cell>
        </row>
        <row r="20">
          <cell r="B20">
            <v>43983</v>
          </cell>
          <cell r="C20">
            <v>347.16500000000002</v>
          </cell>
          <cell r="D20">
            <v>59.83499999999998</v>
          </cell>
        </row>
        <row r="21">
          <cell r="B21">
            <v>44013</v>
          </cell>
          <cell r="C21">
            <v>351.19799999999998</v>
          </cell>
          <cell r="D21">
            <v>55.802000000000021</v>
          </cell>
        </row>
        <row r="22">
          <cell r="B22">
            <v>44044</v>
          </cell>
          <cell r="C22">
            <v>352.56049999999999</v>
          </cell>
          <cell r="D22">
            <v>54.43950000000001</v>
          </cell>
        </row>
        <row r="23">
          <cell r="B23">
            <v>44075</v>
          </cell>
          <cell r="C23">
            <v>377.19450000000001</v>
          </cell>
          <cell r="D23">
            <v>29.805499999999995</v>
          </cell>
        </row>
        <row r="24">
          <cell r="B24">
            <v>44105</v>
          </cell>
          <cell r="C24">
            <v>380.13749999999999</v>
          </cell>
          <cell r="D24">
            <v>26.862500000000011</v>
          </cell>
        </row>
        <row r="25">
          <cell r="B25">
            <v>44136</v>
          </cell>
          <cell r="C25">
            <v>383.40750000000003</v>
          </cell>
          <cell r="D25">
            <v>23.592499999999973</v>
          </cell>
        </row>
        <row r="26">
          <cell r="B26">
            <v>44166</v>
          </cell>
          <cell r="C26">
            <v>379.15649999999999</v>
          </cell>
          <cell r="D26">
            <v>27.843500000000006</v>
          </cell>
        </row>
        <row r="27">
          <cell r="B27">
            <v>44197</v>
          </cell>
          <cell r="C27">
            <v>377.46699999999998</v>
          </cell>
          <cell r="D27">
            <v>29.533000000000015</v>
          </cell>
        </row>
        <row r="28">
          <cell r="B28">
            <v>44228</v>
          </cell>
          <cell r="C28">
            <v>380.51900000000001</v>
          </cell>
          <cell r="D28">
            <v>26.480999999999995</v>
          </cell>
        </row>
        <row r="29">
          <cell r="A29" t="str">
            <v>XLD</v>
          </cell>
          <cell r="C29" t="str">
            <v>Load (kW)</v>
          </cell>
          <cell r="D29" t="str">
            <v>Power Capability (kW)</v>
          </cell>
        </row>
        <row r="30">
          <cell r="B30">
            <v>43862</v>
          </cell>
          <cell r="C30">
            <v>309.81799999999998</v>
          </cell>
          <cell r="D30">
            <v>97.182000000000016</v>
          </cell>
        </row>
        <row r="31">
          <cell r="B31">
            <v>43891</v>
          </cell>
          <cell r="C31">
            <v>310</v>
          </cell>
          <cell r="D31">
            <v>97</v>
          </cell>
        </row>
        <row r="32">
          <cell r="B32">
            <v>43922</v>
          </cell>
          <cell r="C32">
            <v>318.15649999999999</v>
          </cell>
          <cell r="D32">
            <v>88.843500000000006</v>
          </cell>
        </row>
        <row r="33">
          <cell r="B33">
            <v>43952</v>
          </cell>
          <cell r="C33">
            <v>317.012</v>
          </cell>
          <cell r="D33">
            <v>89.988</v>
          </cell>
        </row>
        <row r="34">
          <cell r="B34">
            <v>43983</v>
          </cell>
          <cell r="C34">
            <v>322.73450000000003</v>
          </cell>
          <cell r="D34">
            <v>84.265499999999975</v>
          </cell>
        </row>
        <row r="35">
          <cell r="B35">
            <v>44013</v>
          </cell>
          <cell r="C35">
            <v>321.20850000000002</v>
          </cell>
          <cell r="D35">
            <v>85.791499999999985</v>
          </cell>
        </row>
        <row r="36">
          <cell r="B36">
            <v>44044</v>
          </cell>
          <cell r="C36">
            <v>324.642</v>
          </cell>
          <cell r="D36">
            <v>82.358000000000004</v>
          </cell>
        </row>
        <row r="37">
          <cell r="B37">
            <v>44075</v>
          </cell>
          <cell r="C37">
            <v>324.69650000000001</v>
          </cell>
          <cell r="D37">
            <v>82.303499999999985</v>
          </cell>
        </row>
        <row r="38">
          <cell r="B38">
            <v>44105</v>
          </cell>
          <cell r="C38">
            <v>328.40249999999997</v>
          </cell>
          <cell r="D38">
            <v>78.597500000000025</v>
          </cell>
        </row>
        <row r="39">
          <cell r="B39">
            <v>44136</v>
          </cell>
          <cell r="C39">
            <v>376.79849999999999</v>
          </cell>
          <cell r="D39">
            <v>30.20150000000001</v>
          </cell>
        </row>
        <row r="40">
          <cell r="B40">
            <v>44166</v>
          </cell>
          <cell r="C40">
            <v>374.23700000000002</v>
          </cell>
          <cell r="D40">
            <v>32.762999999999977</v>
          </cell>
        </row>
        <row r="41">
          <cell r="B41">
            <v>44197</v>
          </cell>
          <cell r="C41">
            <v>367.37</v>
          </cell>
          <cell r="D41">
            <v>39.629999999999995</v>
          </cell>
        </row>
        <row r="42">
          <cell r="B42">
            <v>44228</v>
          </cell>
          <cell r="C42">
            <v>370.47649999999999</v>
          </cell>
          <cell r="D42">
            <v>36.523500000000013</v>
          </cell>
        </row>
        <row r="43">
          <cell r="A43" t="str">
            <v>XEH</v>
          </cell>
          <cell r="C43" t="str">
            <v>Load (kW)</v>
          </cell>
          <cell r="D43" t="str">
            <v>Power Capability (kW)</v>
          </cell>
        </row>
        <row r="44">
          <cell r="B44">
            <v>43862</v>
          </cell>
          <cell r="C44">
            <v>211.24199999999999</v>
          </cell>
          <cell r="D44">
            <v>50.75800000000001</v>
          </cell>
        </row>
        <row r="45">
          <cell r="B45">
            <v>43891</v>
          </cell>
          <cell r="C45">
            <v>207</v>
          </cell>
          <cell r="D45">
            <v>55</v>
          </cell>
        </row>
        <row r="46">
          <cell r="B46">
            <v>43922</v>
          </cell>
          <cell r="C46">
            <v>208.3535</v>
          </cell>
          <cell r="D46">
            <v>53.646500000000003</v>
          </cell>
        </row>
        <row r="47">
          <cell r="B47">
            <v>43952</v>
          </cell>
          <cell r="C47">
            <v>210.04300000000001</v>
          </cell>
          <cell r="D47">
            <v>51.956999999999994</v>
          </cell>
        </row>
        <row r="48">
          <cell r="B48">
            <v>43983</v>
          </cell>
          <cell r="C48">
            <v>239.364</v>
          </cell>
          <cell r="D48">
            <v>22.635999999999996</v>
          </cell>
        </row>
        <row r="49">
          <cell r="B49">
            <v>44013</v>
          </cell>
          <cell r="C49">
            <v>240</v>
          </cell>
          <cell r="D49">
            <v>22</v>
          </cell>
        </row>
        <row r="50">
          <cell r="B50">
            <v>44044</v>
          </cell>
          <cell r="C50">
            <v>247.04849999999999</v>
          </cell>
          <cell r="D50">
            <v>14.95150000000001</v>
          </cell>
        </row>
        <row r="51">
          <cell r="B51">
            <v>44075</v>
          </cell>
          <cell r="C51">
            <v>246.1765</v>
          </cell>
          <cell r="D51">
            <v>15.823499999999996</v>
          </cell>
        </row>
        <row r="52">
          <cell r="B52">
            <v>44105</v>
          </cell>
          <cell r="C52">
            <v>248.35650000000001</v>
          </cell>
          <cell r="D52">
            <v>13.643499999999989</v>
          </cell>
        </row>
        <row r="53">
          <cell r="B53">
            <v>44136</v>
          </cell>
          <cell r="C53">
            <v>251.46299999999999</v>
          </cell>
          <cell r="D53">
            <v>10.537000000000006</v>
          </cell>
        </row>
        <row r="54">
          <cell r="B54">
            <v>44166</v>
          </cell>
          <cell r="C54">
            <v>249.44649999999999</v>
          </cell>
          <cell r="D54">
            <v>12.553500000000014</v>
          </cell>
        </row>
        <row r="55">
          <cell r="B55">
            <v>44197</v>
          </cell>
          <cell r="C55">
            <v>245.7405</v>
          </cell>
          <cell r="D55">
            <v>132.2595</v>
          </cell>
        </row>
        <row r="56">
          <cell r="B56">
            <v>44228</v>
          </cell>
          <cell r="C56">
            <v>286.452</v>
          </cell>
          <cell r="D56">
            <v>91.548000000000002</v>
          </cell>
        </row>
        <row r="57">
          <cell r="A57" t="str">
            <v>XGL</v>
          </cell>
          <cell r="C57" t="str">
            <v>Load (kW)</v>
          </cell>
          <cell r="D57" t="str">
            <v>Power Capability (kW)</v>
          </cell>
        </row>
        <row r="58">
          <cell r="B58">
            <v>43862</v>
          </cell>
          <cell r="C58">
            <v>267.94550000000004</v>
          </cell>
          <cell r="D58">
            <v>182.05449999999996</v>
          </cell>
        </row>
        <row r="59">
          <cell r="B59">
            <v>43891</v>
          </cell>
          <cell r="C59">
            <v>268</v>
          </cell>
          <cell r="D59">
            <v>182</v>
          </cell>
        </row>
        <row r="60">
          <cell r="B60">
            <v>43922</v>
          </cell>
          <cell r="C60">
            <v>266.85550000000001</v>
          </cell>
          <cell r="D60">
            <v>183.14449999999999</v>
          </cell>
        </row>
        <row r="61">
          <cell r="B61">
            <v>43952</v>
          </cell>
          <cell r="C61">
            <v>265.43849999999998</v>
          </cell>
          <cell r="D61">
            <v>184.56150000000002</v>
          </cell>
        </row>
        <row r="62">
          <cell r="B62">
            <v>43983</v>
          </cell>
          <cell r="C62">
            <v>264.512</v>
          </cell>
          <cell r="D62">
            <v>185.488</v>
          </cell>
        </row>
        <row r="63">
          <cell r="B63">
            <v>44013</v>
          </cell>
          <cell r="C63">
            <v>265.11149999999998</v>
          </cell>
          <cell r="D63">
            <v>184.88850000000002</v>
          </cell>
        </row>
        <row r="64">
          <cell r="B64">
            <v>44044</v>
          </cell>
          <cell r="C64">
            <v>266.52850000000001</v>
          </cell>
          <cell r="D64">
            <v>183.47149999999999</v>
          </cell>
        </row>
        <row r="65">
          <cell r="B65">
            <v>44075</v>
          </cell>
          <cell r="C65">
            <v>267.23699999999997</v>
          </cell>
          <cell r="D65">
            <v>182.76300000000003</v>
          </cell>
        </row>
        <row r="66">
          <cell r="B66">
            <v>44105</v>
          </cell>
          <cell r="C66">
            <v>266.58299999999997</v>
          </cell>
          <cell r="D66">
            <v>183.41700000000003</v>
          </cell>
        </row>
        <row r="67">
          <cell r="B67">
            <v>44136</v>
          </cell>
          <cell r="C67">
            <v>280.75299999999999</v>
          </cell>
          <cell r="D67">
            <v>169.24700000000001</v>
          </cell>
        </row>
        <row r="68">
          <cell r="B68">
            <v>44166</v>
          </cell>
          <cell r="C68">
            <v>289.69100000000003</v>
          </cell>
          <cell r="D68">
            <v>160.30899999999997</v>
          </cell>
        </row>
        <row r="69">
          <cell r="B69">
            <v>44197</v>
          </cell>
          <cell r="C69">
            <v>289.03700000000003</v>
          </cell>
          <cell r="D69">
            <v>160.96299999999997</v>
          </cell>
        </row>
        <row r="70">
          <cell r="B70">
            <v>44228</v>
          </cell>
          <cell r="C70">
            <v>299.82799999999997</v>
          </cell>
          <cell r="D70">
            <v>150.17200000000003</v>
          </cell>
        </row>
        <row r="71">
          <cell r="A71" t="str">
            <v>XGR</v>
          </cell>
          <cell r="C71" t="str">
            <v>Load (kW)</v>
          </cell>
          <cell r="D71" t="str">
            <v>Power Capability (kW)</v>
          </cell>
        </row>
        <row r="72">
          <cell r="B72">
            <v>43862</v>
          </cell>
          <cell r="C72">
            <v>146</v>
          </cell>
          <cell r="D72">
            <v>154</v>
          </cell>
        </row>
        <row r="73">
          <cell r="B73">
            <v>43891</v>
          </cell>
          <cell r="C73">
            <v>147</v>
          </cell>
          <cell r="D73">
            <v>153</v>
          </cell>
        </row>
        <row r="74">
          <cell r="B74">
            <v>43922</v>
          </cell>
          <cell r="C74">
            <v>147</v>
          </cell>
          <cell r="D74">
            <v>153</v>
          </cell>
        </row>
        <row r="75">
          <cell r="B75">
            <v>43952</v>
          </cell>
          <cell r="C75">
            <v>147</v>
          </cell>
          <cell r="D75">
            <v>153</v>
          </cell>
        </row>
        <row r="76">
          <cell r="B76">
            <v>43983</v>
          </cell>
          <cell r="C76">
            <v>145</v>
          </cell>
          <cell r="D76">
            <v>155</v>
          </cell>
        </row>
        <row r="77">
          <cell r="B77">
            <v>44013</v>
          </cell>
          <cell r="C77">
            <v>145</v>
          </cell>
          <cell r="D77">
            <v>155</v>
          </cell>
        </row>
        <row r="78">
          <cell r="B78">
            <v>44044</v>
          </cell>
          <cell r="C78">
            <v>146</v>
          </cell>
          <cell r="D78">
            <v>154</v>
          </cell>
        </row>
        <row r="79">
          <cell r="B79">
            <v>44075</v>
          </cell>
          <cell r="C79">
            <v>147</v>
          </cell>
          <cell r="D79">
            <v>153</v>
          </cell>
        </row>
        <row r="80">
          <cell r="B80">
            <v>44105</v>
          </cell>
          <cell r="C80">
            <v>147</v>
          </cell>
          <cell r="D80">
            <v>153</v>
          </cell>
        </row>
        <row r="81">
          <cell r="B81">
            <v>44136</v>
          </cell>
          <cell r="C81">
            <v>146</v>
          </cell>
          <cell r="D81">
            <v>154</v>
          </cell>
        </row>
        <row r="82">
          <cell r="B82">
            <v>44166</v>
          </cell>
          <cell r="C82">
            <v>146</v>
          </cell>
          <cell r="D82">
            <v>154</v>
          </cell>
        </row>
        <row r="83">
          <cell r="B83">
            <v>44197</v>
          </cell>
          <cell r="C83">
            <v>156</v>
          </cell>
          <cell r="D83">
            <v>144</v>
          </cell>
        </row>
        <row r="84">
          <cell r="B84">
            <v>44228</v>
          </cell>
          <cell r="C84">
            <v>158.70400000000001</v>
          </cell>
          <cell r="D84">
            <v>141.29599999999999</v>
          </cell>
        </row>
        <row r="85">
          <cell r="A85" t="str">
            <v>XOM</v>
          </cell>
          <cell r="C85" t="str">
            <v>Load (kW)</v>
          </cell>
          <cell r="D85" t="str">
            <v>Power Capability (kW)</v>
          </cell>
        </row>
        <row r="86">
          <cell r="B86">
            <v>43862</v>
          </cell>
          <cell r="C86">
            <v>204</v>
          </cell>
          <cell r="D86">
            <v>246</v>
          </cell>
        </row>
        <row r="87">
          <cell r="B87">
            <v>43891</v>
          </cell>
          <cell r="C87">
            <v>205</v>
          </cell>
          <cell r="D87">
            <v>245</v>
          </cell>
        </row>
        <row r="88">
          <cell r="B88">
            <v>43922</v>
          </cell>
          <cell r="C88">
            <v>208</v>
          </cell>
          <cell r="D88">
            <v>242</v>
          </cell>
        </row>
        <row r="89">
          <cell r="B89">
            <v>43952</v>
          </cell>
          <cell r="C89">
            <v>208</v>
          </cell>
          <cell r="D89">
            <v>242</v>
          </cell>
        </row>
        <row r="90">
          <cell r="B90">
            <v>43983</v>
          </cell>
          <cell r="C90">
            <v>204</v>
          </cell>
          <cell r="D90">
            <v>246</v>
          </cell>
        </row>
        <row r="91">
          <cell r="B91">
            <v>44013</v>
          </cell>
          <cell r="C91">
            <v>204</v>
          </cell>
          <cell r="D91">
            <v>246</v>
          </cell>
        </row>
        <row r="92">
          <cell r="B92">
            <v>44044</v>
          </cell>
          <cell r="C92">
            <v>203</v>
          </cell>
          <cell r="D92">
            <v>247</v>
          </cell>
        </row>
        <row r="93">
          <cell r="B93">
            <v>44075</v>
          </cell>
          <cell r="C93">
            <v>203</v>
          </cell>
          <cell r="D93">
            <v>247</v>
          </cell>
        </row>
        <row r="94">
          <cell r="B94">
            <v>44105</v>
          </cell>
          <cell r="C94">
            <v>205</v>
          </cell>
          <cell r="D94">
            <v>245</v>
          </cell>
        </row>
        <row r="95">
          <cell r="B95">
            <v>44136</v>
          </cell>
          <cell r="C95">
            <v>197</v>
          </cell>
          <cell r="D95">
            <v>253</v>
          </cell>
        </row>
        <row r="96">
          <cell r="B96">
            <v>44166</v>
          </cell>
          <cell r="C96">
            <v>209</v>
          </cell>
          <cell r="D96">
            <v>241</v>
          </cell>
        </row>
        <row r="97">
          <cell r="B97">
            <v>44197</v>
          </cell>
          <cell r="C97">
            <v>208</v>
          </cell>
          <cell r="D97">
            <v>242</v>
          </cell>
        </row>
        <row r="98">
          <cell r="B98">
            <v>44228</v>
          </cell>
          <cell r="C98">
            <v>207.42699999999999</v>
          </cell>
          <cell r="D98">
            <v>242.57300000000001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er figures"/>
      <sheetName val="Cab Floorspace"/>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IT42WCB2EDWNB3QKU423QVTSSI">
      <xxl21:absoluteUrl r:id="rId2"/>
    </xxl21:alternateUrls>
    <sheetNames>
      <sheetName val="PDU 1C"/>
      <sheetName val="PDU 1D"/>
      <sheetName val="PDU 2C "/>
      <sheetName val="PDU 2D"/>
      <sheetName val="PDU 3C"/>
      <sheetName val="PDU 3D"/>
      <sheetName val="PDU 4C"/>
      <sheetName val="PDU 4D"/>
      <sheetName val="PDU 6C"/>
      <sheetName val="PDU 6D"/>
      <sheetName val="PDU 8C"/>
      <sheetName val="PDU 8D"/>
      <sheetName val="How To"/>
      <sheetName val="Data"/>
      <sheetName val="Equip list"/>
      <sheetName val="Equip data"/>
      <sheetName val="Sheet1"/>
    </sheetNames>
    <sheetDataSet>
      <sheetData sheetId="0">
        <row r="5">
          <cell r="J5">
            <v>117.97999999999999</v>
          </cell>
          <cell r="K5">
            <v>46.5</v>
          </cell>
        </row>
        <row r="6">
          <cell r="J6">
            <v>97.8</v>
          </cell>
          <cell r="K6">
            <v>35.299999999999997</v>
          </cell>
        </row>
        <row r="7">
          <cell r="J7">
            <v>99.939999999999984</v>
          </cell>
          <cell r="K7">
            <v>35.799999999999997</v>
          </cell>
        </row>
        <row r="8">
          <cell r="J8">
            <v>315.71999999999997</v>
          </cell>
          <cell r="K8">
            <v>117.6</v>
          </cell>
        </row>
      </sheetData>
      <sheetData sheetId="1">
        <row r="5">
          <cell r="J5">
            <v>117.97999999999999</v>
          </cell>
          <cell r="K5">
            <v>41.699999999999989</v>
          </cell>
        </row>
        <row r="6">
          <cell r="J6">
            <v>97.8</v>
          </cell>
          <cell r="K6">
            <v>31.8</v>
          </cell>
        </row>
        <row r="7">
          <cell r="J7">
            <v>99.939999999999984</v>
          </cell>
          <cell r="K7">
            <v>32.5</v>
          </cell>
        </row>
        <row r="8">
          <cell r="J8">
            <v>315.71999999999997</v>
          </cell>
          <cell r="K8">
            <v>105.99999999999999</v>
          </cell>
        </row>
      </sheetData>
      <sheetData sheetId="2">
        <row r="5">
          <cell r="J5">
            <v>92.9</v>
          </cell>
          <cell r="K5">
            <v>42.9</v>
          </cell>
        </row>
        <row r="6">
          <cell r="J6">
            <v>109.74</v>
          </cell>
          <cell r="K6">
            <v>48.5</v>
          </cell>
        </row>
        <row r="7">
          <cell r="J7">
            <v>105.88</v>
          </cell>
          <cell r="K7">
            <v>47.899999999999991</v>
          </cell>
        </row>
        <row r="8">
          <cell r="J8">
            <v>308.52</v>
          </cell>
          <cell r="K8">
            <v>139.30000000000001</v>
          </cell>
        </row>
      </sheetData>
      <sheetData sheetId="3">
        <row r="5">
          <cell r="J5">
            <v>92.9</v>
          </cell>
          <cell r="K5">
            <v>38.900000000000006</v>
          </cell>
        </row>
        <row r="6">
          <cell r="J6">
            <v>109.74</v>
          </cell>
          <cell r="K6">
            <v>43.099999999999994</v>
          </cell>
        </row>
        <row r="7">
          <cell r="J7">
            <v>105.88</v>
          </cell>
          <cell r="K7">
            <v>43.5</v>
          </cell>
        </row>
        <row r="8">
          <cell r="J8">
            <v>308.52</v>
          </cell>
          <cell r="K8">
            <v>125.5</v>
          </cell>
        </row>
      </sheetData>
      <sheetData sheetId="4">
        <row r="5">
          <cell r="J5">
            <v>43.1</v>
          </cell>
          <cell r="K5">
            <v>0</v>
          </cell>
        </row>
        <row r="6">
          <cell r="J6">
            <v>41.2</v>
          </cell>
          <cell r="K6">
            <v>0</v>
          </cell>
        </row>
        <row r="7">
          <cell r="J7">
            <v>19.600000000000001</v>
          </cell>
          <cell r="K7">
            <v>0</v>
          </cell>
        </row>
        <row r="8">
          <cell r="J8">
            <v>103.9</v>
          </cell>
          <cell r="K8">
            <v>0</v>
          </cell>
        </row>
      </sheetData>
      <sheetData sheetId="5">
        <row r="5">
          <cell r="J5">
            <v>43.2</v>
          </cell>
          <cell r="K5">
            <v>0</v>
          </cell>
        </row>
        <row r="6">
          <cell r="J6">
            <v>41.2</v>
          </cell>
          <cell r="K6">
            <v>0</v>
          </cell>
        </row>
        <row r="7">
          <cell r="J7">
            <v>19.600000000000001</v>
          </cell>
          <cell r="K7">
            <v>0</v>
          </cell>
        </row>
        <row r="8">
          <cell r="J8">
            <v>104</v>
          </cell>
          <cell r="K8">
            <v>0</v>
          </cell>
        </row>
      </sheetData>
      <sheetData sheetId="6">
        <row r="5">
          <cell r="J5">
            <v>0</v>
          </cell>
          <cell r="K5">
            <v>0</v>
          </cell>
        </row>
        <row r="6">
          <cell r="J6">
            <v>0</v>
          </cell>
          <cell r="K6">
            <v>0</v>
          </cell>
        </row>
        <row r="7">
          <cell r="J7">
            <v>0</v>
          </cell>
          <cell r="K7">
            <v>0</v>
          </cell>
        </row>
        <row r="8">
          <cell r="J8">
            <v>0</v>
          </cell>
          <cell r="K8">
            <v>0</v>
          </cell>
        </row>
      </sheetData>
      <sheetData sheetId="7">
        <row r="5">
          <cell r="J5">
            <v>0</v>
          </cell>
          <cell r="K5">
            <v>0</v>
          </cell>
        </row>
        <row r="6">
          <cell r="J6">
            <v>0</v>
          </cell>
          <cell r="K6">
            <v>0</v>
          </cell>
        </row>
        <row r="7">
          <cell r="J7">
            <v>0</v>
          </cell>
          <cell r="K7">
            <v>0</v>
          </cell>
        </row>
        <row r="8">
          <cell r="J8">
            <v>0</v>
          </cell>
          <cell r="K8">
            <v>0</v>
          </cell>
        </row>
      </sheetData>
      <sheetData sheetId="8">
        <row r="5">
          <cell r="J5">
            <v>0</v>
          </cell>
          <cell r="K5">
            <v>0</v>
          </cell>
        </row>
        <row r="6">
          <cell r="J6">
            <v>0</v>
          </cell>
          <cell r="K6">
            <v>0</v>
          </cell>
        </row>
        <row r="7">
          <cell r="J7">
            <v>0</v>
          </cell>
          <cell r="K7">
            <v>0</v>
          </cell>
        </row>
        <row r="8">
          <cell r="J8">
            <v>0</v>
          </cell>
          <cell r="K8">
            <v>0</v>
          </cell>
        </row>
      </sheetData>
      <sheetData sheetId="9">
        <row r="5">
          <cell r="J5">
            <v>0</v>
          </cell>
          <cell r="K5">
            <v>0</v>
          </cell>
        </row>
        <row r="6">
          <cell r="J6">
            <v>0</v>
          </cell>
          <cell r="K6">
            <v>0</v>
          </cell>
        </row>
        <row r="7">
          <cell r="J7">
            <v>0</v>
          </cell>
          <cell r="K7">
            <v>0</v>
          </cell>
        </row>
        <row r="8">
          <cell r="J8">
            <v>0</v>
          </cell>
          <cell r="K8">
            <v>0</v>
          </cell>
        </row>
      </sheetData>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L5TMEYJ3L4SJBK7UPC5N37VQ3J">
      <xxl21:absoluteUrl r:id="rId3"/>
    </xxl21:alternateUrls>
    <sheetNames>
      <sheetName val="PDU 1C "/>
      <sheetName val="PDU 1D "/>
      <sheetName val="PDU 4C  "/>
      <sheetName val="PDU 4D "/>
      <sheetName val="PDU 5C "/>
      <sheetName val="PDU 5D"/>
      <sheetName val="PDU 6C"/>
      <sheetName val="PDU 6D"/>
      <sheetName val="PDU 7C "/>
      <sheetName val="PDU 7D"/>
      <sheetName val="PDU 8C"/>
      <sheetName val="PDU 8D "/>
      <sheetName val="How To"/>
      <sheetName val="Data"/>
      <sheetName val="Equip list"/>
      <sheetName val="Equip data"/>
      <sheetName val="Sheet1"/>
    </sheetNames>
    <sheetDataSet>
      <sheetData sheetId="0">
        <row r="5">
          <cell r="J5">
            <v>0</v>
          </cell>
          <cell r="K5">
            <v>0</v>
          </cell>
        </row>
        <row r="6">
          <cell r="J6">
            <v>0</v>
          </cell>
          <cell r="K6">
            <v>0</v>
          </cell>
        </row>
        <row r="7">
          <cell r="J7">
            <v>0</v>
          </cell>
          <cell r="K7">
            <v>0</v>
          </cell>
        </row>
        <row r="8">
          <cell r="J8">
            <v>0</v>
          </cell>
          <cell r="K8">
            <v>0</v>
          </cell>
        </row>
      </sheetData>
      <sheetData sheetId="1">
        <row r="5">
          <cell r="J5">
            <v>0</v>
          </cell>
          <cell r="K5">
            <v>0</v>
          </cell>
        </row>
        <row r="6">
          <cell r="J6">
            <v>0</v>
          </cell>
          <cell r="K6">
            <v>0</v>
          </cell>
        </row>
        <row r="7">
          <cell r="J7">
            <v>0</v>
          </cell>
          <cell r="K7">
            <v>0</v>
          </cell>
        </row>
        <row r="8">
          <cell r="J8">
            <v>0</v>
          </cell>
          <cell r="K8">
            <v>0</v>
          </cell>
        </row>
      </sheetData>
      <sheetData sheetId="2">
        <row r="5">
          <cell r="J5">
            <v>0</v>
          </cell>
          <cell r="K5">
            <v>0</v>
          </cell>
        </row>
        <row r="6">
          <cell r="J6">
            <v>0</v>
          </cell>
          <cell r="K6">
            <v>0</v>
          </cell>
        </row>
        <row r="7">
          <cell r="J7">
            <v>0</v>
          </cell>
          <cell r="K7">
            <v>0</v>
          </cell>
        </row>
        <row r="8">
          <cell r="J8">
            <v>0</v>
          </cell>
          <cell r="K8">
            <v>0</v>
          </cell>
        </row>
      </sheetData>
      <sheetData sheetId="3">
        <row r="5">
          <cell r="J5">
            <v>0</v>
          </cell>
          <cell r="K5">
            <v>0</v>
          </cell>
        </row>
        <row r="6">
          <cell r="J6">
            <v>0</v>
          </cell>
          <cell r="K6">
            <v>0</v>
          </cell>
        </row>
        <row r="7">
          <cell r="J7">
            <v>0</v>
          </cell>
          <cell r="K7">
            <v>0</v>
          </cell>
        </row>
        <row r="8">
          <cell r="J8">
            <v>0</v>
          </cell>
          <cell r="K8">
            <v>0</v>
          </cell>
        </row>
      </sheetData>
      <sheetData sheetId="4">
        <row r="5">
          <cell r="J5">
            <v>0</v>
          </cell>
          <cell r="K5">
            <v>0</v>
          </cell>
        </row>
        <row r="6">
          <cell r="J6">
            <v>0</v>
          </cell>
          <cell r="K6">
            <v>0</v>
          </cell>
        </row>
        <row r="7">
          <cell r="J7">
            <v>0</v>
          </cell>
          <cell r="K7">
            <v>0</v>
          </cell>
        </row>
        <row r="8">
          <cell r="J8">
            <v>0</v>
          </cell>
          <cell r="K8">
            <v>0</v>
          </cell>
        </row>
      </sheetData>
      <sheetData sheetId="5">
        <row r="5">
          <cell r="J5">
            <v>0</v>
          </cell>
          <cell r="K5">
            <v>0</v>
          </cell>
        </row>
        <row r="6">
          <cell r="J6">
            <v>0</v>
          </cell>
          <cell r="K6">
            <v>0</v>
          </cell>
        </row>
        <row r="7">
          <cell r="J7">
            <v>0</v>
          </cell>
          <cell r="K7">
            <v>0</v>
          </cell>
        </row>
        <row r="8">
          <cell r="J8">
            <v>0</v>
          </cell>
          <cell r="K8">
            <v>0</v>
          </cell>
        </row>
      </sheetData>
      <sheetData sheetId="6">
        <row r="8">
          <cell r="J8">
            <v>257.59999999999997</v>
          </cell>
        </row>
      </sheetData>
      <sheetData sheetId="7">
        <row r="8">
          <cell r="J8">
            <v>257.59999999999997</v>
          </cell>
        </row>
      </sheetData>
      <sheetData sheetId="8"/>
      <sheetData sheetId="9"/>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U 6C"/>
      <sheetName val="PDU 6D"/>
      <sheetName val="PDU 7C "/>
      <sheetName val="PDU 7D"/>
      <sheetName val="How To"/>
      <sheetName val="Data"/>
      <sheetName val="Equip list"/>
      <sheetName val="Equip data"/>
      <sheetName val="Sheet1"/>
    </sheetNames>
    <sheetDataSet>
      <sheetData sheetId="0" refreshError="1">
        <row r="5">
          <cell r="J5">
            <v>41.2</v>
          </cell>
          <cell r="K5">
            <v>11.200000000000001</v>
          </cell>
        </row>
        <row r="6">
          <cell r="J6">
            <v>32</v>
          </cell>
          <cell r="K6">
            <v>9.4</v>
          </cell>
        </row>
        <row r="7">
          <cell r="J7">
            <v>19.600000000000001</v>
          </cell>
          <cell r="K7">
            <v>3.5999999999999996</v>
          </cell>
        </row>
        <row r="8">
          <cell r="K8">
            <v>24.200000000000003</v>
          </cell>
        </row>
      </sheetData>
      <sheetData sheetId="1" refreshError="1">
        <row r="5">
          <cell r="J5">
            <v>41.2</v>
          </cell>
          <cell r="K5">
            <v>6.6</v>
          </cell>
        </row>
        <row r="6">
          <cell r="J6">
            <v>32</v>
          </cell>
          <cell r="K6">
            <v>7</v>
          </cell>
        </row>
        <row r="7">
          <cell r="J7">
            <v>19.600000000000001</v>
          </cell>
          <cell r="K7">
            <v>3.8</v>
          </cell>
        </row>
        <row r="8">
          <cell r="K8">
            <v>17.399999999999999</v>
          </cell>
        </row>
      </sheetData>
      <sheetData sheetId="2" refreshError="1">
        <row r="5">
          <cell r="J5">
            <v>84.399999999999991</v>
          </cell>
          <cell r="K5">
            <v>33</v>
          </cell>
        </row>
        <row r="6">
          <cell r="J6">
            <v>97.8</v>
          </cell>
          <cell r="K6">
            <v>26</v>
          </cell>
        </row>
        <row r="7">
          <cell r="J7">
            <v>92.8</v>
          </cell>
          <cell r="K7">
            <v>41</v>
          </cell>
        </row>
        <row r="8">
          <cell r="J8">
            <v>275</v>
          </cell>
          <cell r="K8">
            <v>100</v>
          </cell>
        </row>
      </sheetData>
      <sheetData sheetId="3" refreshError="1">
        <row r="5">
          <cell r="J5">
            <v>84.399999999999991</v>
          </cell>
          <cell r="K5">
            <v>27</v>
          </cell>
        </row>
        <row r="6">
          <cell r="J6">
            <v>97.8</v>
          </cell>
          <cell r="K6">
            <v>25</v>
          </cell>
        </row>
        <row r="7">
          <cell r="J7">
            <v>92.8</v>
          </cell>
          <cell r="K7">
            <v>33</v>
          </cell>
        </row>
        <row r="8">
          <cell r="J8">
            <v>275</v>
          </cell>
          <cell r="K8">
            <v>85</v>
          </cell>
        </row>
      </sheetData>
      <sheetData sheetId="4" refreshError="1"/>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frostd" id="{46EF934A-B4F4-4BB9-BE36-4116C5B4C6E8}" userId="frostd" providerId="None"/>
  <person displayName="peakel" id="{C3EB0A9F-9AC6-4131-BBDE-C1A5F9F8DF16}" userId="peakel" providerId="None"/>
  <person displayName="MCDONALD" id="{EE0487DD-FD54-476B-8422-30719B6E3BCC}" userId="MCDONALD" providerId="None"/>
  <person displayName="Andy McDonald" id="{DE6A4407-C4E0-4AB4-9306-E2D1C4D83F6A}" userId="Andy McDonald" providerId="None"/>
  <person displayName="Peake, Leigh, VF UK" id="{B3AF713A-095D-4A1C-B7C3-9F06F23D5A44}" userId="Peake, Leigh, VF UK" providerId="None"/>
  <person displayName="Peake, Leigh, Vodafone" id="{548BD758-4F90-4C5F-9BB2-0139B35241B2}" userId="Peake, Leigh, Vodafone" providerId="None"/>
  <person displayName="McDonald, Andrew, VF UK" id="{32CADD77-8658-482A-9219-5397F5907CD4}" userId="McDonald, Andrew, VF UK" providerId="None"/>
  <person displayName="Peake, Leigh, Vodafone UK" id="{85E1FF79-A144-42AE-9357-8A09D5B2EAF1}" userId="Peake, Leigh, Vodafone UK" providerId="None"/>
  <person displayName="Frost, Daniel, Vodafone UK" id="{A17EBE9E-335E-4B86-B866-B87ABC062DA9}" userId="Frost, Daniel, Vodafone UK" providerId="None"/>
  <person displayName="McDonald, Andrew, Vodafone UK" id="{C15A817A-3BAF-4F38-8FD1-0DCC1FF5E570}" userId="McDonald, Andrew, Vodafone UK" providerId="None"/>
  <person displayName="Leigh Peake, Vodafone" id="{B34D45DE-CC68-4155-AFB0-9BCA0A5FF4F3}" userId="S::leigh.peake@vodafone.com::301b262d-dd7f-4aff-93e3-7be5cb1c6e6e" providerId="AD"/>
  <person displayName="Daniel Frost, Vodafone" id="{72BC5A41-D274-4BC0-BFAF-6529742AB77C}" userId="S::Daniel.Frost@vodafone.com::796497ce-fff1-42a4-99c5-b06649f175b6" providerId="AD"/>
  <person displayName="Frost, Daniel, Vodafone" id="{4C454DCE-6724-46D9-911F-C22E05996F3E}" userId="S::daniel.frost@vodafone.com::796497ce-fff1-42a4-99c5-b06649f175b6" providerId="AD"/>
  <person displayName="Andy McDonald, Vodafone" id="{782E12E2-67C1-4DB3-98D5-09F590D7262E}" userId="S::Andrew.McDonald@vodafone.com::96e203a8-4d44-4b18-977e-10dce1658111" providerId="AD"/>
  <person displayName="McDonald, Andrew, Vodafone" id="{9BE93E36-AB66-D74D-B47E-4F96BAE9C5B8}" userId="S::andrew.mcdonald@vodafone.com::96e203a8-4d44-4b18-977e-10dce1658111" providerId="AD"/>
  <person displayName="Pollock, Allaister, Vodafone" id="{1699DB14-EF90-4D8C-8D94-96EF4A9CE1C6}" userId="S::Allaister.Pollock@vodafone.com::cd0ecf44-fcfa-4532-b7b4-839afb5a341e" providerId="AD"/>
  <person displayName="Pollock, Allaister, Vodafone" id="{EE0D0C17-83F4-475C-A64B-0D4EA7664C36}" userId="S::allaister.pollock@vodafone.com::cd0ecf44-fcfa-4532-b7b4-839afb5a341e"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03%20Mar%2022%20MTX%20Site%20Capacity%20(Dulux).xlsx#BgEIDA4ADAMGBAcBBAQECw=10.0"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McDonald" refreshedDate="44225.663221527779" createdVersion="6" refreshedVersion="6" minRefreshableVersion="3" recordCount="110" xr:uid="{00000000-000A-0000-FFFF-FFFF00000000}">
  <cacheSource type="worksheet">
    <worksheetSource ref="A2:Z116" sheet="Plant loading" r:id="rId2"/>
  </cacheSource>
  <cacheFields count="25">
    <cacheField name="MTX" numFmtId="0">
      <sharedItems containsBlank="1" count="27">
        <m/>
        <s v="Acton"/>
        <s v="Basingstoke"/>
        <s v="Crawley"/>
        <s v="Edinburgh"/>
        <s v="Esher"/>
        <s v="Gloucester"/>
        <s v="Gravelly Hill"/>
        <s v="Kings Cross"/>
        <s v="Leyland"/>
        <s v="Milton Keynes"/>
        <s v="Oldham"/>
        <s v="Rotherham"/>
        <s v="Southampton"/>
        <s v="Swanley"/>
        <s v="Bristol"/>
        <s v="Cardiff"/>
        <s v="Carlisle"/>
        <s v="Croydon"/>
        <s v="Glasgow TXO"/>
        <s v="Leeds TXO"/>
        <s v="Leicester"/>
        <s v="Newbury"/>
        <s v="Newcastle"/>
        <s v="Oxford"/>
        <s v="Stafford"/>
        <s v="Warrington TXO"/>
      </sharedItems>
    </cacheField>
    <cacheField name="Power Element Name" numFmtId="0">
      <sharedItems containsBlank="1" count="110">
        <m/>
        <s v="PEAAN"/>
        <s v="PEBAN"/>
        <s v="PECAN"/>
        <s v="PEFAN"/>
        <s v="PEGAN"/>
        <s v="PEABE"/>
        <s v="PEBBE"/>
        <s v="PECBE"/>
        <s v="PEEBE"/>
        <s v="PEFBE"/>
        <s v="PEGBE"/>
        <s v="PEHBE"/>
        <s v="PEIBE"/>
        <s v="PEACY"/>
        <s v="PEBCY"/>
        <s v="PECCY"/>
        <s v="PEDCY"/>
        <s v="PEECY"/>
        <s v="PECEH"/>
        <s v="PEDEH"/>
        <s v="PEEEH"/>
        <s v="PEFEH"/>
        <s v="PEGEH"/>
        <s v="PEHEH"/>
        <s v="PEDER"/>
        <s v="PEEER"/>
        <s v="PEFER"/>
        <s v="PEGER"/>
        <s v="PEAGR"/>
        <s v="PEBGR"/>
        <s v="PECGR"/>
        <s v="PEDGR"/>
        <s v="PEEGR"/>
        <s v="PEAGL"/>
        <s v="PEBGL"/>
        <s v="PECGL"/>
        <s v="PEDGL"/>
        <s v="PEEGL"/>
        <s v="PEFGL"/>
        <s v="PEAKS"/>
        <s v="PEBKS"/>
        <s v="PEEKS"/>
        <s v="PEIKS"/>
        <s v="PEJKS"/>
        <s v="PEKKS"/>
        <s v="PELKS"/>
        <s v="PEMKS"/>
        <s v="PENKS"/>
        <s v="PEALD"/>
        <s v="PEBLD"/>
        <s v="PECLD"/>
        <s v="PEDLD"/>
        <s v="PEELD"/>
        <s v="PEFLD"/>
        <s v="PEAMS"/>
        <s v="PEBMS"/>
        <s v="PECMS"/>
        <s v="PEDMS"/>
        <s v="PEEMS"/>
        <s v="PEFMS"/>
        <s v="PEAOM"/>
        <s v="PEBOM"/>
        <s v="PECOM"/>
        <s v="PEFOM"/>
        <s v="PEGOM"/>
        <s v="PEHOM"/>
        <s v="PEARM"/>
        <s v="PEBRM"/>
        <s v="PECRM"/>
        <s v="PEDRM"/>
        <s v="PEERM"/>
        <s v="PEASN"/>
        <s v="PEBSN"/>
        <s v="PECSN"/>
        <s v="PEESN"/>
        <s v="PEASY"/>
        <s v="PEBSY"/>
        <s v="PECSY"/>
        <s v="PEDSY"/>
        <s v="PEESY"/>
        <s v="PEFBL"/>
        <s v="PEHBL"/>
        <s v="PECCF"/>
        <s v="PEDCF"/>
        <s v="PEECF"/>
        <s v="PEACE"/>
        <s v="PEBCE"/>
        <s v="PEFCN"/>
        <s v="PEGCN"/>
        <s v="PEJGW"/>
        <s v="PEKGW"/>
        <s v="PEJLS"/>
        <s v="PEKLS"/>
        <s v="PEFLR"/>
        <s v="PEGLR"/>
        <s v="PEGNY"/>
        <s v="PEHNY"/>
        <s v="PEINY"/>
        <s v="PEJNY"/>
        <s v="PEENE"/>
        <s v="PEFNE"/>
        <s v="PEGNE"/>
        <s v="PECOD"/>
        <s v="PEFOD"/>
        <s v="PEESD"/>
        <s v="PEGSD"/>
        <s v="PELWN"/>
        <s v="PEMWN"/>
        <s v="PENWN"/>
      </sharedItems>
    </cacheField>
    <cacheField name="Power Element Type" numFmtId="0">
      <sharedItems containsBlank="1"/>
    </cacheField>
    <cacheField name="Element Load (A) Dec 20" numFmtId="0">
      <sharedItems containsString="0" containsBlank="1" containsNumber="1" containsInteger="1" minValue="32" maxValue="1270"/>
    </cacheField>
    <cacheField name="Element Load (A) Jan 21" numFmtId="0">
      <sharedItems containsString="0" containsBlank="1" containsNumber="1" containsInteger="1" minValue="32" maxValue="1282" count="103">
        <m/>
        <n v="760"/>
        <n v="741"/>
        <n v="653"/>
        <n v="753"/>
        <n v="735"/>
        <n v="881"/>
        <n v="871"/>
        <n v="870"/>
        <n v="992"/>
        <n v="1028"/>
        <n v="925"/>
        <n v="905"/>
        <n v="972"/>
        <n v="445"/>
        <n v="639"/>
        <n v="608"/>
        <n v="504"/>
        <n v="551"/>
        <n v="716"/>
        <n v="819"/>
        <n v="762"/>
        <n v="770"/>
        <n v="792"/>
        <n v="646"/>
        <n v="528"/>
        <n v="598"/>
        <n v="532"/>
        <n v="435"/>
        <n v="671"/>
        <n v="730"/>
        <n v="677"/>
        <n v="394"/>
        <n v="400"/>
        <n v="814"/>
        <n v="709"/>
        <n v="693"/>
        <n v="733"/>
        <n v="673"/>
        <n v="323"/>
        <n v="450"/>
        <n v="129"/>
        <n v="737"/>
        <n v="561"/>
        <n v="690"/>
        <n v="186"/>
        <n v="179"/>
        <n v="102"/>
        <n v="969"/>
        <n v="1075"/>
        <n v="1096"/>
        <n v="922"/>
        <n v="945"/>
        <n v="1009"/>
        <n v="1164"/>
        <n v="1151"/>
        <n v="1100"/>
        <n v="1058"/>
        <n v="1282"/>
        <n v="1224"/>
        <n v="731"/>
        <n v="712"/>
        <n v="776"/>
        <n v="433"/>
        <n v="612"/>
        <n v="556"/>
        <n v="622"/>
        <n v="600"/>
        <n v="591"/>
        <n v="314"/>
        <n v="503"/>
        <n v="542"/>
        <n v="738"/>
        <n v="426"/>
        <n v="618"/>
        <n v="687"/>
        <n v="526"/>
        <n v="466"/>
        <n v="358"/>
        <n v="510"/>
        <n v="390"/>
        <n v="222"/>
        <n v="350"/>
        <n v="373"/>
        <n v="405"/>
        <n v="411"/>
        <n v="93"/>
        <n v="96"/>
        <n v="32"/>
        <n v="53"/>
        <n v="662"/>
        <n v="514"/>
        <n v="530"/>
        <n v="404"/>
        <n v="70"/>
        <n v="380"/>
        <n v="168"/>
        <n v="408"/>
        <n v="287"/>
        <n v="444"/>
        <n v="238"/>
        <n v="227"/>
        <n v="282"/>
      </sharedItems>
    </cacheField>
    <cacheField name="Running % load" numFmtId="0">
      <sharedItems containsString="0" containsBlank="1" containsNumber="1" minValue="9.1954022988505746E-2" maxValue="0.95743091859596718"/>
    </cacheField>
    <cacheField name="Total Running Site Load (kW)/(%)" numFmtId="0">
      <sharedItems containsString="0" containsBlank="1" containsNumber="1" minValue="0.37879192546583851" maxValue="405.69799999999998"/>
    </cacheField>
    <cacheField name="Number of Modules" numFmtId="0">
      <sharedItems containsString="0" containsBlank="1" containsNumber="1" containsInteger="1" minValue="9" maxValue="42"/>
    </cacheField>
    <cacheField name="Module Capacity (kW)" numFmtId="0">
      <sharedItems containsString="0" containsBlank="1" containsNumber="1" minValue="3.2" maxValue="3.5"/>
    </cacheField>
    <cacheField name="Power Element Capability (kW)" numFmtId="0">
      <sharedItems containsString="0" containsBlank="1" containsNumber="1" containsInteger="1" minValue="28" maxValue="147"/>
    </cacheField>
    <cacheField name="Number of Redundant Modules" numFmtId="0">
      <sharedItems containsString="0" containsBlank="1" containsNumber="1" containsInteger="1" minValue="3" maxValue="21"/>
    </cacheField>
    <cacheField name="Available Capability (kW)" numFmtId="0">
      <sharedItems containsString="0" containsBlank="1" containsNumber="1" containsInteger="1" minValue="19" maxValue="73"/>
    </cacheField>
    <cacheField name="Available Capability (A)" numFmtId="0">
      <sharedItems containsString="0" containsBlank="1" containsNumber="1" containsInteger="1" minValue="348" maxValue="1339"/>
    </cacheField>
    <cacheField name="Reserved (A)" numFmtId="0">
      <sharedItems containsString="0" containsBlank="1" containsNumber="1" containsInteger="1" minValue="0" maxValue="228"/>
    </cacheField>
    <cacheField name="Running Load + Reserved (%)" numFmtId="0">
      <sharedItems containsString="0" containsBlank="1" containsNumber="1" minValue="0.23246753246753246" maxValue="1.0455563853622105"/>
    </cacheField>
    <cacheField name="Total Reserved  (kW)/(%)" numFmtId="0">
      <sharedItems containsString="0" containsBlank="1" containsNumber="1" minValue="0" maxValue="65.345500000000001"/>
    </cacheField>
    <cacheField name="Forcast (A)" numFmtId="0">
      <sharedItems containsString="0" containsBlank="1" containsNumber="1" containsInteger="1" minValue="0" maxValue="368"/>
    </cacheField>
    <cacheField name="Total Forecast  (kW)" numFmtId="0">
      <sharedItems containsString="0" containsBlank="1" containsNumber="1" minValue="0" maxValue="85.0745"/>
    </cacheField>
    <cacheField name="Running Load + Reserved+  Forecast (A)" numFmtId="0">
      <sharedItems containsString="0" containsBlank="1" containsNumber="1" containsInteger="1" minValue="32" maxValue="1400"/>
    </cacheField>
    <cacheField name="Remaining Element Capability (A)" numFmtId="0">
      <sharedItems containsString="0" containsBlank="1" containsNumber="1" containsInteger="1" minValue="-115" maxValue="764"/>
    </cacheField>
    <cacheField name="Total Power Element_x000a_  RAG (% used)" numFmtId="0">
      <sharedItems containsString="0" containsBlank="1" containsNumber="1" minValue="9.1954022988505746E-2" maxValue="1.0995670995670996"/>
    </cacheField>
    <cacheField name="RAG value (for graphing)" numFmtId="0">
      <sharedItems containsString="0" containsBlank="1" containsNumber="1" minValue="0.23246753246753246" maxValue="1.0995670995670996"/>
    </cacheField>
    <cacheField name="Max Technology Load RAG (% used)" numFmtId="0">
      <sharedItems containsString="0" containsBlank="1" containsNumber="1" minValue="0.38911366666666664" maxValue="1.0474669312169311"/>
    </cacheField>
    <cacheField name="Field1" numFmtId="0" formula="'Max Technology Load RAG (% used)'" databaseField="0"/>
    <cacheField name="Model Total Load (A)" numFmtId="0" formula="'Running Load + Reserved+  Forecast (A)'+Field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m/>
    <m/>
    <x v="0"/>
    <m/>
    <m/>
    <m/>
    <m/>
    <m/>
    <m/>
    <m/>
    <m/>
    <m/>
    <m/>
    <m/>
    <m/>
    <m/>
    <m/>
    <m/>
    <m/>
    <m/>
    <m/>
  </r>
  <r>
    <x v="1"/>
    <x v="1"/>
    <s v="eSure"/>
    <n v="764"/>
    <x v="1"/>
    <n v="0.65800865800865804"/>
    <n v="198.489"/>
    <n v="36"/>
    <n v="3.5"/>
    <n v="126"/>
    <n v="18"/>
    <n v="63"/>
    <n v="1155"/>
    <n v="61"/>
    <n v="0.7108225108225108"/>
    <n v="16.840499999999999"/>
    <n v="0"/>
    <n v="0"/>
    <n v="821"/>
    <n v="334"/>
    <n v="0.7108225108225108"/>
    <n v="0.7108225108225108"/>
    <n v="0.68358571428571424"/>
  </r>
  <r>
    <x v="1"/>
    <x v="2"/>
    <s v="eSure"/>
    <n v="733"/>
    <x v="2"/>
    <n v="0.64155844155844155"/>
    <m/>
    <n v="36"/>
    <n v="3.5"/>
    <n v="126"/>
    <n v="18"/>
    <n v="63"/>
    <n v="1155"/>
    <n v="61"/>
    <n v="0.69437229437229442"/>
    <m/>
    <n v="0"/>
    <m/>
    <n v="802"/>
    <n v="353"/>
    <n v="0.69437229437229442"/>
    <n v="0.69437229437229442"/>
    <m/>
  </r>
  <r>
    <x v="1"/>
    <x v="3"/>
    <s v="eSure"/>
    <n v="655"/>
    <x v="3"/>
    <n v="0.56536796536796541"/>
    <m/>
    <n v="36"/>
    <n v="3.5"/>
    <n v="126"/>
    <n v="18"/>
    <n v="63"/>
    <n v="1155"/>
    <n v="61"/>
    <n v="0.61818181818181817"/>
    <m/>
    <n v="0"/>
    <m/>
    <n v="714"/>
    <n v="441"/>
    <n v="0.61818181818181817"/>
    <n v="0.61818181818181817"/>
    <m/>
  </r>
  <r>
    <x v="1"/>
    <x v="4"/>
    <s v="eSure"/>
    <n v="752"/>
    <x v="4"/>
    <n v="0.65194805194805194"/>
    <n v="0.63012380952380953"/>
    <n v="36"/>
    <n v="3.5"/>
    <n v="126"/>
    <n v="18"/>
    <n v="63"/>
    <n v="1155"/>
    <n v="63"/>
    <n v="0.70649350649350651"/>
    <n v="5.3461904761904759E-2"/>
    <n v="0"/>
    <n v="0"/>
    <n v="816"/>
    <n v="339"/>
    <n v="0.70649350649350651"/>
    <n v="0.70649350649350651"/>
    <m/>
  </r>
  <r>
    <x v="1"/>
    <x v="5"/>
    <s v="eSure"/>
    <n v="736"/>
    <x v="5"/>
    <n v="0.63636363636363635"/>
    <m/>
    <n v="36"/>
    <n v="3.5"/>
    <n v="126"/>
    <n v="18"/>
    <n v="63"/>
    <n v="1155"/>
    <n v="63"/>
    <n v="0.69090909090909092"/>
    <m/>
    <n v="0"/>
    <m/>
    <n v="798"/>
    <n v="357"/>
    <n v="0.69090909090909092"/>
    <n v="0.69090909090909092"/>
    <m/>
  </r>
  <r>
    <x v="2"/>
    <x v="6"/>
    <s v="eSure"/>
    <n v="910"/>
    <x v="6"/>
    <n v="0.76277056277056277"/>
    <n v="405.69799999999998"/>
    <n v="36"/>
    <n v="3.5"/>
    <n v="126"/>
    <n v="18"/>
    <n v="63"/>
    <n v="1155"/>
    <n v="34"/>
    <n v="0.79220779220779225"/>
    <n v="61.3125"/>
    <n v="76"/>
    <n v="41.529000000000003"/>
    <n v="991"/>
    <n v="164"/>
    <n v="0.858008658008658"/>
    <n v="0.858008658008658"/>
    <n v="1.0090069444444445"/>
  </r>
  <r>
    <x v="2"/>
    <x v="7"/>
    <s v="eSure"/>
    <n v="874"/>
    <x v="7"/>
    <n v="0.75411255411255407"/>
    <m/>
    <n v="36"/>
    <n v="3.5"/>
    <n v="126"/>
    <n v="18"/>
    <n v="63"/>
    <n v="1155"/>
    <n v="156"/>
    <n v="0.88917748917748918"/>
    <m/>
    <n v="119"/>
    <m/>
    <n v="1146"/>
    <n v="9"/>
    <n v="0.99220779220779221"/>
    <n v="0.99220779220779221"/>
    <m/>
  </r>
  <r>
    <x v="2"/>
    <x v="8"/>
    <s v="eSure"/>
    <n v="875"/>
    <x v="8"/>
    <n v="0.75324675324675328"/>
    <m/>
    <n v="36"/>
    <n v="3.5"/>
    <n v="126"/>
    <n v="18"/>
    <n v="63"/>
    <n v="1155"/>
    <n v="178"/>
    <n v="0.90735930735930737"/>
    <m/>
    <n v="42"/>
    <m/>
    <n v="1090"/>
    <n v="65"/>
    <n v="0.94372294372294374"/>
    <n v="0.94372294372294374"/>
    <m/>
  </r>
  <r>
    <x v="2"/>
    <x v="9"/>
    <s v="eSure"/>
    <n v="985"/>
    <x v="9"/>
    <n v="0.8588744588744589"/>
    <m/>
    <n v="36"/>
    <n v="3.5"/>
    <n v="126"/>
    <n v="18"/>
    <n v="63"/>
    <n v="1155"/>
    <n v="149"/>
    <n v="0.98787878787878791"/>
    <m/>
    <n v="90"/>
    <m/>
    <n v="1231"/>
    <n v="-76"/>
    <n v="1.0658008658008657"/>
    <n v="1.0658008658008657"/>
    <m/>
  </r>
  <r>
    <x v="2"/>
    <x v="10"/>
    <s v="eSure"/>
    <n v="1023"/>
    <x v="10"/>
    <n v="0.89004329004329008"/>
    <n v="0.80495634920634918"/>
    <n v="36"/>
    <n v="3.5"/>
    <n v="126"/>
    <n v="18"/>
    <n v="63"/>
    <n v="1155"/>
    <n v="100"/>
    <n v="0.97662337662337662"/>
    <n v="0.12165178571428571"/>
    <n v="94"/>
    <n v="8.2398809523809527E-2"/>
    <n v="1222"/>
    <n v="-67"/>
    <n v="1.0580086580086581"/>
    <n v="1.0580086580086581"/>
    <m/>
  </r>
  <r>
    <x v="2"/>
    <x v="11"/>
    <s v="eSure"/>
    <n v="948"/>
    <x v="11"/>
    <n v="0.80086580086580084"/>
    <m/>
    <n v="36"/>
    <n v="3.5"/>
    <n v="126"/>
    <n v="18"/>
    <n v="63"/>
    <n v="1155"/>
    <n v="133"/>
    <n v="0.91601731601731606"/>
    <m/>
    <n v="141"/>
    <m/>
    <n v="1199"/>
    <n v="-44"/>
    <n v="1.0380952380952382"/>
    <m/>
    <m/>
  </r>
  <r>
    <x v="2"/>
    <x v="12"/>
    <s v="eSure"/>
    <n v="907"/>
    <x v="12"/>
    <n v="0.78354978354978355"/>
    <m/>
    <n v="36"/>
    <n v="3.5"/>
    <n v="126"/>
    <n v="18"/>
    <n v="63"/>
    <n v="1155"/>
    <n v="163"/>
    <n v="0.92467532467532465"/>
    <m/>
    <n v="114"/>
    <m/>
    <n v="1182"/>
    <n v="-27"/>
    <n v="1.0233766233766233"/>
    <n v="1.0233766233766233"/>
    <m/>
  </r>
  <r>
    <x v="2"/>
    <x v="13"/>
    <s v="eSure"/>
    <n v="1001"/>
    <x v="13"/>
    <n v="0.84155844155844151"/>
    <m/>
    <n v="36"/>
    <n v="3.5"/>
    <n v="126"/>
    <n v="18"/>
    <n v="63"/>
    <n v="1155"/>
    <n v="212"/>
    <n v="1.0251082251082251"/>
    <m/>
    <n v="86"/>
    <m/>
    <n v="1270"/>
    <n v="-115"/>
    <n v="1.0995670995670996"/>
    <n v="1.0995670995670996"/>
    <m/>
  </r>
  <r>
    <x v="3"/>
    <x v="14"/>
    <s v="eSure"/>
    <n v="448"/>
    <x v="14"/>
    <n v="0.38528138528138528"/>
    <n v="149.7115"/>
    <n v="36"/>
    <n v="3.5"/>
    <n v="126"/>
    <n v="18"/>
    <n v="63"/>
    <n v="1155"/>
    <n v="0"/>
    <n v="0.38528138528138528"/>
    <n v="0"/>
    <n v="27"/>
    <n v="10.028"/>
    <n v="472"/>
    <n v="683"/>
    <n v="0.40865800865800866"/>
    <n v="0.40865800865800866"/>
    <n v="0.50710952380952379"/>
  </r>
  <r>
    <x v="3"/>
    <x v="15"/>
    <s v="eSure"/>
    <n v="641"/>
    <x v="15"/>
    <n v="0.55324675324675321"/>
    <m/>
    <n v="36"/>
    <n v="3.5"/>
    <n v="126"/>
    <n v="18"/>
    <n v="63"/>
    <n v="1155"/>
    <n v="0"/>
    <n v="0.55324675324675321"/>
    <m/>
    <n v="14"/>
    <m/>
    <n v="653"/>
    <n v="502"/>
    <n v="0.56536796536796541"/>
    <n v="0.56536796536796541"/>
    <m/>
  </r>
  <r>
    <x v="3"/>
    <x v="16"/>
    <s v="eSure"/>
    <n v="613"/>
    <x v="16"/>
    <n v="0.52640692640692643"/>
    <m/>
    <n v="36"/>
    <n v="3.5"/>
    <n v="126"/>
    <n v="18"/>
    <n v="63"/>
    <n v="1155"/>
    <n v="0"/>
    <n v="0.52640692640692643"/>
    <m/>
    <n v="27"/>
    <m/>
    <n v="635"/>
    <n v="520"/>
    <n v="0.54978354978354982"/>
    <n v="0.54978354978354982"/>
    <m/>
  </r>
  <r>
    <x v="3"/>
    <x v="17"/>
    <s v="eSure"/>
    <n v="498"/>
    <x v="17"/>
    <n v="0.43636363636363634"/>
    <n v="0.47527460317460318"/>
    <n v="36"/>
    <n v="3.5"/>
    <n v="126"/>
    <n v="18"/>
    <n v="63"/>
    <n v="1155"/>
    <n v="0"/>
    <n v="0.43636363636363634"/>
    <n v="0"/>
    <n v="58"/>
    <n v="3.183492063492064E-2"/>
    <n v="562"/>
    <n v="593"/>
    <n v="0.48658008658008656"/>
    <n v="0.48658008658008656"/>
    <m/>
  </r>
  <r>
    <x v="3"/>
    <x v="18"/>
    <s v="eSure"/>
    <n v="557"/>
    <x v="18"/>
    <n v="0.47705627705627707"/>
    <m/>
    <n v="36"/>
    <n v="3.5"/>
    <n v="126"/>
    <n v="18"/>
    <n v="63"/>
    <n v="1155"/>
    <n v="0"/>
    <n v="0.47705627705627707"/>
    <m/>
    <n v="58"/>
    <m/>
    <n v="609"/>
    <n v="546"/>
    <n v="0.52727272727272723"/>
    <n v="0.52727272727272723"/>
    <m/>
  </r>
  <r>
    <x v="4"/>
    <x v="19"/>
    <s v="eSure"/>
    <n v="979"/>
    <x v="19"/>
    <n v="0.61991341991341986"/>
    <n v="245.52250000000001"/>
    <n v="36"/>
    <n v="3.5"/>
    <n v="126"/>
    <n v="18"/>
    <n v="63"/>
    <n v="1155"/>
    <n v="195"/>
    <n v="0.78874458874458875"/>
    <n v="65.345500000000001"/>
    <n v="283"/>
    <n v="85.0745"/>
    <n v="1194"/>
    <n v="-39"/>
    <n v="1.0337662337662337"/>
    <n v="1.0337662337662337"/>
    <n v="1.0474669312169311"/>
  </r>
  <r>
    <x v="4"/>
    <x v="20"/>
    <s v="eSure"/>
    <n v="777"/>
    <x v="20"/>
    <n v="0.70909090909090911"/>
    <m/>
    <n v="36"/>
    <n v="3.5"/>
    <n v="126"/>
    <n v="18"/>
    <n v="63"/>
    <n v="1155"/>
    <n v="183"/>
    <n v="0.86753246753246749"/>
    <m/>
    <n v="211"/>
    <m/>
    <n v="1213"/>
    <n v="-58"/>
    <n v="1.0502164502164502"/>
    <n v="1.0502164502164502"/>
    <m/>
  </r>
  <r>
    <x v="4"/>
    <x v="21"/>
    <s v="eSure"/>
    <n v="738"/>
    <x v="21"/>
    <n v="0.65974025974025974"/>
    <m/>
    <n v="36"/>
    <n v="3.5"/>
    <n v="126"/>
    <n v="18"/>
    <n v="63"/>
    <n v="1155"/>
    <n v="202"/>
    <n v="0.83463203463203461"/>
    <m/>
    <n v="250"/>
    <m/>
    <n v="1214"/>
    <n v="-59"/>
    <n v="1.0510822510822511"/>
    <n v="1.0510822510822511"/>
    <m/>
  </r>
  <r>
    <x v="4"/>
    <x v="22"/>
    <s v="eSure"/>
    <n v="939"/>
    <x v="22"/>
    <n v="0.66666666666666663"/>
    <n v="0.64953042328042332"/>
    <n v="36"/>
    <n v="3.5"/>
    <n v="126"/>
    <n v="18"/>
    <n v="63"/>
    <n v="1155"/>
    <n v="205"/>
    <n v="0.8441558441558441"/>
    <n v="0.17287169312169312"/>
    <n v="235"/>
    <n v="0.22506481481481483"/>
    <n v="1210"/>
    <n v="-55"/>
    <n v="1.0476190476190477"/>
    <n v="1.0476190476190477"/>
    <m/>
  </r>
  <r>
    <x v="4"/>
    <x v="23"/>
    <s v="eSure"/>
    <n v="731"/>
    <x v="23"/>
    <n v="0.68571428571428572"/>
    <m/>
    <n v="36"/>
    <n v="3.5"/>
    <n v="126"/>
    <n v="18"/>
    <n v="63"/>
    <n v="1155"/>
    <n v="207"/>
    <n v="0.86493506493506489"/>
    <m/>
    <n v="217"/>
    <m/>
    <n v="1216"/>
    <n v="-61"/>
    <n v="1.0528138528138529"/>
    <m/>
    <m/>
  </r>
  <r>
    <x v="4"/>
    <x v="24"/>
    <s v="eSure"/>
    <n v="480"/>
    <x v="24"/>
    <n v="0.55930735930735931"/>
    <m/>
    <n v="36"/>
    <n v="3.5"/>
    <n v="126"/>
    <n v="18"/>
    <n v="63"/>
    <n v="1155"/>
    <n v="207"/>
    <n v="0.73852813852813848"/>
    <m/>
    <n v="365"/>
    <m/>
    <n v="1218"/>
    <n v="-63"/>
    <n v="1.0545454545454545"/>
    <m/>
    <m/>
  </r>
  <r>
    <x v="5"/>
    <x v="25"/>
    <s v="eSure"/>
    <n v="526"/>
    <x v="25"/>
    <n v="0.45714285714285713"/>
    <n v="114.0685"/>
    <n v="36"/>
    <n v="3.5"/>
    <n v="126"/>
    <n v="18"/>
    <n v="63"/>
    <n v="1155"/>
    <n v="0"/>
    <n v="0.45714285714285713"/>
    <n v="0"/>
    <n v="7"/>
    <n v="2.6656"/>
    <n v="535"/>
    <n v="620"/>
    <n v="0.46320346320346323"/>
    <n v="0.46320346320346323"/>
    <n v="0.38911366666666664"/>
  </r>
  <r>
    <x v="5"/>
    <x v="26"/>
    <s v="eSure"/>
    <n v="601"/>
    <x v="26"/>
    <n v="0.51774891774891774"/>
    <m/>
    <n v="36"/>
    <n v="3.5"/>
    <n v="126"/>
    <n v="18"/>
    <n v="63"/>
    <n v="1155"/>
    <n v="0"/>
    <n v="0.51774891774891774"/>
    <m/>
    <n v="21"/>
    <m/>
    <n v="619"/>
    <n v="536"/>
    <n v="0.53593073593073592"/>
    <n v="0.53593073593073592"/>
    <m/>
  </r>
  <r>
    <x v="5"/>
    <x v="27"/>
    <s v="eSure"/>
    <n v="535"/>
    <x v="27"/>
    <n v="0.46060606060606063"/>
    <n v="0.38022833333333333"/>
    <n v="36"/>
    <n v="3.5"/>
    <n v="126"/>
    <n v="18"/>
    <n v="63"/>
    <n v="1155"/>
    <n v="0"/>
    <n v="0.46060606060606063"/>
    <n v="0"/>
    <n v="7"/>
    <n v="0"/>
    <n v="539"/>
    <n v="616"/>
    <n v="0.46666666666666667"/>
    <n v="0.46666666666666667"/>
    <m/>
  </r>
  <r>
    <x v="5"/>
    <x v="28"/>
    <s v="eSure"/>
    <n v="410"/>
    <x v="28"/>
    <n v="0.37662337662337664"/>
    <m/>
    <n v="36"/>
    <n v="3.5"/>
    <n v="126"/>
    <n v="18"/>
    <n v="63"/>
    <n v="1155"/>
    <n v="0"/>
    <n v="0.37662337662337664"/>
    <m/>
    <n v="14"/>
    <m/>
    <n v="449"/>
    <n v="706"/>
    <n v="0.38874458874458873"/>
    <n v="0.38874458874458873"/>
    <m/>
  </r>
  <r>
    <x v="6"/>
    <x v="29"/>
    <s v="eSure"/>
    <n v="617"/>
    <x v="29"/>
    <n v="0.580952380952381"/>
    <n v="156.524"/>
    <n v="36"/>
    <n v="3.5"/>
    <n v="126"/>
    <n v="18"/>
    <n v="63"/>
    <n v="1155"/>
    <n v="33"/>
    <n v="0.60952380952380958"/>
    <n v="6.7035"/>
    <n v="86"/>
    <n v="25.451499999999999"/>
    <n v="790"/>
    <n v="365"/>
    <n v="0.68398268398268403"/>
    <n v="0.68398268398268403"/>
    <n v="0.62892999999999999"/>
  </r>
  <r>
    <x v="6"/>
    <x v="30"/>
    <s v="eSure"/>
    <n v="694"/>
    <x v="30"/>
    <n v="0.63203463203463206"/>
    <m/>
    <n v="36"/>
    <n v="3.5"/>
    <n v="126"/>
    <n v="18"/>
    <n v="63"/>
    <n v="1155"/>
    <n v="0"/>
    <n v="0.63203463203463206"/>
    <m/>
    <n v="72"/>
    <m/>
    <n v="802"/>
    <n v="353"/>
    <n v="0.69437229437229442"/>
    <n v="0.69437229437229442"/>
    <m/>
  </r>
  <r>
    <x v="6"/>
    <x v="31"/>
    <s v="eSure"/>
    <n v="661"/>
    <x v="31"/>
    <n v="0.58614718614718619"/>
    <m/>
    <n v="36"/>
    <n v="3.5"/>
    <n v="126"/>
    <n v="18"/>
    <n v="63"/>
    <n v="1155"/>
    <n v="0"/>
    <n v="0.58614718614718619"/>
    <m/>
    <n v="146"/>
    <m/>
    <n v="823"/>
    <n v="332"/>
    <n v="0.71255411255411261"/>
    <n v="0.71255411255411261"/>
    <m/>
  </r>
  <r>
    <x v="6"/>
    <x v="32"/>
    <s v="eSure"/>
    <n v="347"/>
    <x v="32"/>
    <n v="0.34112554112554111"/>
    <n v="0.52174666666666669"/>
    <n v="36"/>
    <n v="3.5"/>
    <n v="126"/>
    <n v="18"/>
    <n v="63"/>
    <n v="1155"/>
    <n v="45"/>
    <n v="0.38008658008658008"/>
    <n v="2.2345E-2"/>
    <n v="140"/>
    <n v="8.4838333333333335E-2"/>
    <n v="579"/>
    <n v="576"/>
    <n v="0.50129870129870124"/>
    <m/>
    <m/>
  </r>
  <r>
    <x v="6"/>
    <x v="33"/>
    <s v="eSure"/>
    <n v="357"/>
    <x v="33"/>
    <n v="0.34632034632034631"/>
    <m/>
    <n v="36"/>
    <n v="3.5"/>
    <n v="126"/>
    <n v="18"/>
    <n v="63"/>
    <n v="1155"/>
    <n v="45"/>
    <n v="0.38528138528138528"/>
    <m/>
    <n v="23"/>
    <m/>
    <n v="468"/>
    <n v="687"/>
    <n v="0.40519480519480522"/>
    <n v="0.40519480519480522"/>
    <m/>
  </r>
  <r>
    <x v="7"/>
    <x v="34"/>
    <s v="eSure"/>
    <n v="697"/>
    <x v="22"/>
    <n v="0.66666666666666663"/>
    <n v="239.364"/>
    <n v="36"/>
    <n v="3.5"/>
    <n v="126"/>
    <n v="18"/>
    <n v="63"/>
    <n v="1155"/>
    <n v="45"/>
    <n v="0.7056277056277056"/>
    <n v="6.7035"/>
    <n v="145"/>
    <n v="43.491"/>
    <n v="960"/>
    <n v="195"/>
    <n v="0.83116883116883122"/>
    <n v="0.83116883116883122"/>
    <n v="0.77012999999999998"/>
  </r>
  <r>
    <x v="7"/>
    <x v="35"/>
    <s v="eSure"/>
    <n v="728"/>
    <x v="34"/>
    <n v="0.70476190476190481"/>
    <m/>
    <n v="36"/>
    <n v="3.5"/>
    <n v="126"/>
    <n v="18"/>
    <n v="63"/>
    <n v="1155"/>
    <n v="0"/>
    <n v="0.70476190476190481"/>
    <m/>
    <n v="189"/>
    <m/>
    <n v="1003"/>
    <n v="152"/>
    <n v="0.86839826839826839"/>
    <n v="0.86839826839826839"/>
    <m/>
  </r>
  <r>
    <x v="7"/>
    <x v="36"/>
    <s v="eSure"/>
    <n v="702"/>
    <x v="35"/>
    <n v="0.61385281385281387"/>
    <m/>
    <n v="36"/>
    <n v="3.5"/>
    <n v="126"/>
    <n v="18"/>
    <n v="63"/>
    <n v="1155"/>
    <n v="0"/>
    <n v="0.61385281385281387"/>
    <m/>
    <n v="175"/>
    <m/>
    <n v="884"/>
    <n v="271"/>
    <n v="0.76536796536796536"/>
    <n v="0.76536796536796536"/>
    <m/>
  </r>
  <r>
    <x v="7"/>
    <x v="37"/>
    <s v="eSure"/>
    <n v="694"/>
    <x v="36"/>
    <n v="0.6"/>
    <n v="0.53192000000000006"/>
    <n v="36"/>
    <n v="3.5"/>
    <n v="126"/>
    <n v="18"/>
    <n v="63"/>
    <n v="1155"/>
    <n v="0"/>
    <n v="0.6"/>
    <n v="1.4896666666666667E-2"/>
    <n v="175"/>
    <n v="9.6646666666666672E-2"/>
    <n v="868"/>
    <n v="287"/>
    <n v="0.75151515151515147"/>
    <n v="0.75151515151515147"/>
    <m/>
  </r>
  <r>
    <x v="7"/>
    <x v="38"/>
    <s v="eSure"/>
    <n v="754"/>
    <x v="37"/>
    <n v="0.63463203463203466"/>
    <m/>
    <n v="36"/>
    <n v="3.5"/>
    <n v="126"/>
    <n v="18"/>
    <n v="63"/>
    <n v="1155"/>
    <n v="45"/>
    <n v="0.67359307359307363"/>
    <m/>
    <n v="6"/>
    <m/>
    <n v="784"/>
    <n v="371"/>
    <n v="0.67878787878787883"/>
    <n v="0.67878787878787883"/>
    <m/>
  </r>
  <r>
    <x v="7"/>
    <x v="39"/>
    <s v="eSure"/>
    <n v="659"/>
    <x v="38"/>
    <n v="0.58268398268398269"/>
    <m/>
    <n v="36"/>
    <n v="3.5"/>
    <n v="126"/>
    <n v="18"/>
    <n v="63"/>
    <n v="1155"/>
    <n v="33"/>
    <n v="0.61125541125541127"/>
    <m/>
    <n v="108"/>
    <m/>
    <n v="814"/>
    <n v="341"/>
    <n v="0.70476190476190481"/>
    <n v="0.70476190476190481"/>
    <m/>
  </r>
  <r>
    <x v="8"/>
    <x v="40"/>
    <s v="eSure"/>
    <n v="319"/>
    <x v="39"/>
    <n v="0.41948051948051945"/>
    <n v="182.95650000000001"/>
    <n v="24"/>
    <n v="3.5"/>
    <n v="84"/>
    <n v="12"/>
    <n v="42"/>
    <n v="770"/>
    <n v="0"/>
    <n v="0.41948051948051945"/>
    <n v="0"/>
    <n v="0"/>
    <n v="9.9190000000000005"/>
    <n v="323"/>
    <n v="447"/>
    <n v="0.41948051948051945"/>
    <n v="0.41948051948051945"/>
    <n v="0.39932815734989652"/>
  </r>
  <r>
    <x v="8"/>
    <x v="41"/>
    <s v="eSure"/>
    <n v="452"/>
    <x v="40"/>
    <n v="0.47169811320754718"/>
    <m/>
    <n v="30"/>
    <n v="3.5"/>
    <n v="105"/>
    <n v="15"/>
    <n v="52"/>
    <n v="954"/>
    <n v="0"/>
    <n v="0.47169811320754718"/>
    <m/>
    <n v="40"/>
    <m/>
    <n v="490"/>
    <n v="464"/>
    <n v="0.51362683438155132"/>
    <n v="0.51362683438155132"/>
    <m/>
  </r>
  <r>
    <x v="8"/>
    <x v="42"/>
    <s v="eSure"/>
    <n v="129"/>
    <x v="41"/>
    <n v="0.33506493506493507"/>
    <m/>
    <n v="12"/>
    <n v="3.5"/>
    <n v="42"/>
    <n v="6"/>
    <n v="21"/>
    <n v="385"/>
    <n v="0"/>
    <n v="0.33506493506493507"/>
    <m/>
    <n v="40"/>
    <m/>
    <n v="169"/>
    <n v="216"/>
    <n v="0.43896103896103894"/>
    <n v="0.43896103896103894"/>
    <m/>
  </r>
  <r>
    <x v="8"/>
    <x v="43"/>
    <s v="eSure"/>
    <n v="731"/>
    <x v="42"/>
    <n v="0.63809523809523805"/>
    <m/>
    <n v="36"/>
    <n v="3.5"/>
    <n v="126"/>
    <n v="18"/>
    <n v="63"/>
    <n v="1155"/>
    <n v="0"/>
    <n v="0.63809523809523805"/>
    <m/>
    <n v="51"/>
    <m/>
    <n v="788"/>
    <n v="367"/>
    <n v="0.68225108225108222"/>
    <n v="0.68225108225108222"/>
    <m/>
  </r>
  <r>
    <x v="8"/>
    <x v="44"/>
    <s v="eSure"/>
    <n v="561"/>
    <x v="43"/>
    <n v="0.48571428571428571"/>
    <m/>
    <n v="36"/>
    <n v="3.5"/>
    <n v="126"/>
    <n v="18"/>
    <n v="63"/>
    <n v="1155"/>
    <n v="0"/>
    <n v="0.48571428571428571"/>
    <m/>
    <n v="0"/>
    <m/>
    <n v="561"/>
    <n v="594"/>
    <n v="0.48571428571428571"/>
    <n v="0.48571428571428571"/>
    <m/>
  </r>
  <r>
    <x v="8"/>
    <x v="45"/>
    <s v="eSure"/>
    <n v="688"/>
    <x v="44"/>
    <n v="0.72327044025157228"/>
    <n v="0.37879192546583851"/>
    <n v="30"/>
    <n v="3.5"/>
    <n v="105"/>
    <n v="15"/>
    <n v="52"/>
    <n v="954"/>
    <n v="0"/>
    <n v="0.72327044025157228"/>
    <n v="0"/>
    <n v="51"/>
    <n v="2.0536231884057971E-2"/>
    <n v="741"/>
    <n v="213"/>
    <n v="0.77672955974842772"/>
    <n v="0.77672955974842772"/>
    <m/>
  </r>
  <r>
    <x v="8"/>
    <x v="46"/>
    <s v="eSure"/>
    <n v="186"/>
    <x v="45"/>
    <n v="0.24155844155844156"/>
    <m/>
    <n v="24"/>
    <n v="3.5"/>
    <n v="84"/>
    <n v="12"/>
    <n v="42"/>
    <n v="770"/>
    <n v="0"/>
    <n v="0.24155844155844156"/>
    <m/>
    <n v="0"/>
    <m/>
    <n v="186"/>
    <n v="584"/>
    <n v="0.24155844155844156"/>
    <n v="0.24155844155844156"/>
    <m/>
  </r>
  <r>
    <x v="8"/>
    <x v="47"/>
    <s v="eSure"/>
    <n v="178"/>
    <x v="46"/>
    <n v="0.23246753246753246"/>
    <m/>
    <n v="24"/>
    <n v="3.5"/>
    <n v="84"/>
    <n v="12"/>
    <n v="42"/>
    <n v="770"/>
    <n v="0"/>
    <n v="0.23246753246753246"/>
    <m/>
    <n v="0"/>
    <m/>
    <n v="179"/>
    <n v="591"/>
    <n v="0.23246753246753246"/>
    <n v="0.23246753246753246"/>
    <m/>
  </r>
  <r>
    <x v="8"/>
    <x v="48"/>
    <s v="eSure"/>
    <n v="98"/>
    <x v="47"/>
    <n v="0.26493506493506491"/>
    <m/>
    <n v="12"/>
    <n v="3.5"/>
    <n v="42"/>
    <n v="6"/>
    <n v="21"/>
    <n v="385"/>
    <n v="0"/>
    <n v="0.26493506493506491"/>
    <m/>
    <n v="0"/>
    <m/>
    <n v="102"/>
    <n v="283"/>
    <n v="0.26493506493506491"/>
    <m/>
    <m/>
  </r>
  <r>
    <x v="9"/>
    <x v="49"/>
    <s v="eSure"/>
    <n v="961"/>
    <x v="48"/>
    <n v="0.83896103896103891"/>
    <n v="327.87200000000001"/>
    <n v="36"/>
    <n v="3.5"/>
    <n v="126"/>
    <n v="18"/>
    <n v="63"/>
    <n v="1155"/>
    <n v="147"/>
    <n v="0.96623376623376622"/>
    <n v="22.562999999999999"/>
    <n v="0"/>
    <n v="0"/>
    <n v="1116"/>
    <n v="39"/>
    <n v="0.96623376623376622"/>
    <n v="0.96623376623376622"/>
    <n v="0.99369778869778869"/>
  </r>
  <r>
    <x v="9"/>
    <x v="50"/>
    <s v="eSure"/>
    <n v="1077"/>
    <x v="49"/>
    <n v="0.93073593073593075"/>
    <m/>
    <n v="36"/>
    <n v="3.5"/>
    <n v="126"/>
    <n v="18"/>
    <n v="63"/>
    <n v="1155"/>
    <n v="0"/>
    <n v="0.93073593073593075"/>
    <m/>
    <n v="0"/>
    <m/>
    <n v="1075"/>
    <n v="80"/>
    <n v="0.93073593073593075"/>
    <n v="0.93073593073593075"/>
    <m/>
  </r>
  <r>
    <x v="9"/>
    <x v="51"/>
    <s v="eSure"/>
    <n v="1097"/>
    <x v="50"/>
    <n v="0.94891774891774894"/>
    <m/>
    <n v="36"/>
    <n v="3.5"/>
    <n v="126"/>
    <n v="18"/>
    <n v="63"/>
    <n v="1155"/>
    <n v="0"/>
    <n v="0.94891774891774894"/>
    <m/>
    <n v="0"/>
    <m/>
    <n v="1096"/>
    <n v="59"/>
    <n v="0.94891774891774894"/>
    <n v="0.94891774891774894"/>
    <m/>
  </r>
  <r>
    <x v="9"/>
    <x v="52"/>
    <s v="eSure"/>
    <n v="940"/>
    <x v="51"/>
    <n v="0.79826839826839824"/>
    <n v="0.80558230958230959"/>
    <n v="36"/>
    <n v="3.5"/>
    <n v="126"/>
    <n v="18"/>
    <n v="63"/>
    <n v="1155"/>
    <n v="109"/>
    <n v="0.89264069264069268"/>
    <n v="5.5437346437346435E-2"/>
    <n v="0"/>
    <n v="0"/>
    <n v="1031"/>
    <n v="124"/>
    <n v="0.89264069264069268"/>
    <n v="0.89264069264069268"/>
    <m/>
  </r>
  <r>
    <x v="9"/>
    <x v="53"/>
    <s v="eSure"/>
    <n v="978"/>
    <x v="52"/>
    <n v="0.81818181818181823"/>
    <m/>
    <n v="36"/>
    <n v="3.5"/>
    <n v="126"/>
    <n v="18"/>
    <n v="63"/>
    <n v="1155"/>
    <n v="158"/>
    <n v="0.95497835497835493"/>
    <m/>
    <n v="0"/>
    <m/>
    <n v="1103"/>
    <n v="52"/>
    <n v="0.95497835497835493"/>
    <n v="0.95497835497835493"/>
    <m/>
  </r>
  <r>
    <x v="9"/>
    <x v="54"/>
    <s v="eSure"/>
    <n v="1100"/>
    <x v="53"/>
    <n v="0.87359307359307359"/>
    <m/>
    <n v="36"/>
    <n v="3.5"/>
    <n v="126"/>
    <n v="18"/>
    <n v="63"/>
    <n v="1155"/>
    <n v="0"/>
    <n v="0.87359307359307359"/>
    <m/>
    <n v="0"/>
    <m/>
    <n v="1009"/>
    <n v="146"/>
    <n v="0.87359307359307359"/>
    <n v="0.87359307359307359"/>
    <m/>
  </r>
  <r>
    <x v="10"/>
    <x v="55"/>
    <s v="eSure"/>
    <n v="1159"/>
    <x v="54"/>
    <n v="0.86930545182972363"/>
    <n v="380.35550000000001"/>
    <n v="42"/>
    <n v="3.5"/>
    <n v="147"/>
    <n v="21"/>
    <n v="73"/>
    <n v="1339"/>
    <n v="84"/>
    <n v="0.93203883495145634"/>
    <n v="44.090499999999999"/>
    <n v="0"/>
    <n v="0"/>
    <n v="1248"/>
    <n v="91"/>
    <n v="0.93203883495145634"/>
    <n v="0.93203883495145634"/>
    <n v="1.0428648648648648"/>
  </r>
  <r>
    <x v="10"/>
    <x v="56"/>
    <s v="eSure"/>
    <n v="1134"/>
    <x v="55"/>
    <n v="0.85959671396564596"/>
    <m/>
    <n v="42"/>
    <n v="3.5"/>
    <n v="147"/>
    <n v="21"/>
    <n v="73"/>
    <n v="1339"/>
    <n v="175"/>
    <n v="0.99029126213592233"/>
    <m/>
    <n v="0"/>
    <m/>
    <n v="1326"/>
    <n v="13"/>
    <n v="0.99029126213592233"/>
    <n v="0.99029126213592233"/>
    <m/>
  </r>
  <r>
    <x v="10"/>
    <x v="57"/>
    <s v="eSure"/>
    <n v="1083"/>
    <x v="56"/>
    <n v="0.82150858849887975"/>
    <m/>
    <n v="42"/>
    <n v="3.5"/>
    <n v="147"/>
    <n v="21"/>
    <n v="73"/>
    <n v="1339"/>
    <n v="228"/>
    <n v="0.99178491411501124"/>
    <m/>
    <n v="0"/>
    <m/>
    <n v="1328"/>
    <n v="11"/>
    <n v="0.99178491411501124"/>
    <n v="0.99178491411501124"/>
    <m/>
  </r>
  <r>
    <x v="10"/>
    <x v="58"/>
    <s v="eSure"/>
    <n v="1069"/>
    <x v="57"/>
    <n v="0.7901418969380134"/>
    <n v="0.93453439803439808"/>
    <n v="42"/>
    <n v="3.5"/>
    <n v="147"/>
    <n v="21"/>
    <n v="73"/>
    <n v="1339"/>
    <n v="204"/>
    <n v="0.94249439880507846"/>
    <n v="0.10833046683046682"/>
    <n v="0"/>
    <n v="0"/>
    <n v="1262"/>
    <n v="77"/>
    <n v="0.94249439880507846"/>
    <n v="0.94249439880507846"/>
    <m/>
  </r>
  <r>
    <x v="10"/>
    <x v="59"/>
    <s v="eSure"/>
    <n v="1270"/>
    <x v="58"/>
    <n v="0.95743091859596718"/>
    <m/>
    <n v="42"/>
    <n v="3.5"/>
    <n v="147"/>
    <n v="21"/>
    <n v="73"/>
    <n v="1339"/>
    <n v="118"/>
    <n v="1.0455563853622105"/>
    <m/>
    <n v="0"/>
    <m/>
    <n v="1400"/>
    <n v="-61"/>
    <n v="1.0455563853622105"/>
    <n v="1.0455563853622105"/>
    <m/>
  </r>
  <r>
    <x v="10"/>
    <x v="60"/>
    <s v="eSure"/>
    <n v="1252"/>
    <x v="59"/>
    <n v="0.9141150112023898"/>
    <m/>
    <n v="42"/>
    <n v="3.5"/>
    <n v="147"/>
    <n v="21"/>
    <n v="73"/>
    <n v="1339"/>
    <n v="0"/>
    <n v="0.9141150112023898"/>
    <m/>
    <n v="0"/>
    <m/>
    <n v="1224"/>
    <n v="115"/>
    <n v="0.9141150112023898"/>
    <n v="0.9141150112023898"/>
    <m/>
  </r>
  <r>
    <x v="11"/>
    <x v="61"/>
    <s v="eSure"/>
    <n v="730"/>
    <x v="60"/>
    <n v="0.63290043290043285"/>
    <n v="208.19"/>
    <n v="36"/>
    <n v="3.5"/>
    <n v="126"/>
    <n v="18"/>
    <n v="63"/>
    <n v="1155"/>
    <n v="33"/>
    <n v="0.66147186147186143"/>
    <n v="6.7035"/>
    <n v="65"/>
    <n v="57.006999999999998"/>
    <n v="829"/>
    <n v="326"/>
    <n v="0.7177489177489178"/>
    <n v="0.7177489177489178"/>
    <n v="0.60422333333333322"/>
  </r>
  <r>
    <x v="11"/>
    <x v="62"/>
    <s v="eSure"/>
    <n v="722"/>
    <x v="61"/>
    <n v="0.61645021645021647"/>
    <m/>
    <n v="36"/>
    <n v="3.5"/>
    <n v="126"/>
    <n v="18"/>
    <n v="63"/>
    <n v="1155"/>
    <n v="0"/>
    <n v="0.61645021645021647"/>
    <m/>
    <n v="198"/>
    <m/>
    <n v="910"/>
    <n v="245"/>
    <n v="0.78787878787878785"/>
    <n v="0.78787878787878785"/>
    <m/>
  </r>
  <r>
    <x v="11"/>
    <x v="63"/>
    <s v="eSure"/>
    <n v="778"/>
    <x v="62"/>
    <n v="0.67186147186147183"/>
    <m/>
    <n v="36"/>
    <n v="3.5"/>
    <n v="126"/>
    <n v="18"/>
    <n v="63"/>
    <n v="1155"/>
    <n v="0"/>
    <n v="0.67186147186147183"/>
    <m/>
    <n v="111"/>
    <m/>
    <n v="887"/>
    <n v="268"/>
    <n v="0.76796536796536796"/>
    <n v="0.76796536796536796"/>
    <m/>
  </r>
  <r>
    <x v="11"/>
    <x v="64"/>
    <s v="eSure"/>
    <n v="434"/>
    <x v="63"/>
    <n v="0.37489177489177489"/>
    <n v="0.46264444444444441"/>
    <n v="36"/>
    <n v="3.5"/>
    <n v="126"/>
    <n v="18"/>
    <n v="63"/>
    <n v="1155"/>
    <n v="45"/>
    <n v="0.41385281385281386"/>
    <n v="1.4896666666666667E-2"/>
    <n v="38"/>
    <n v="0.14006633906633906"/>
    <n v="516"/>
    <n v="639"/>
    <n v="0.44675324675324674"/>
    <n v="0.44675324675324674"/>
    <m/>
  </r>
  <r>
    <x v="11"/>
    <x v="65"/>
    <s v="eSure"/>
    <n v="614"/>
    <x v="64"/>
    <n v="0.52987012987012982"/>
    <m/>
    <n v="36"/>
    <n v="3.5"/>
    <n v="126"/>
    <n v="18"/>
    <n v="63"/>
    <n v="1155"/>
    <n v="0"/>
    <n v="0.52987012987012982"/>
    <m/>
    <n v="368"/>
    <m/>
    <n v="980"/>
    <n v="175"/>
    <n v="0.84848484848484851"/>
    <n v="0.84848484848484851"/>
    <m/>
  </r>
  <r>
    <x v="11"/>
    <x v="66"/>
    <s v="eSure"/>
    <n v="552"/>
    <x v="65"/>
    <n v="0.48138528138528136"/>
    <m/>
    <n v="36"/>
    <n v="3.5"/>
    <n v="126"/>
    <n v="18"/>
    <n v="63"/>
    <n v="1155"/>
    <n v="45"/>
    <n v="0.52034632034632033"/>
    <m/>
    <n v="266"/>
    <m/>
    <n v="867"/>
    <n v="288"/>
    <n v="0.75064935064935068"/>
    <n v="0.75064935064935068"/>
    <m/>
  </r>
  <r>
    <x v="12"/>
    <x v="67"/>
    <s v="eSure"/>
    <n v="619"/>
    <x v="66"/>
    <n v="0.53852813852813852"/>
    <n v="143.33500000000001"/>
    <n v="36"/>
    <n v="3.5"/>
    <n v="126"/>
    <n v="18"/>
    <n v="63"/>
    <n v="1155"/>
    <n v="0"/>
    <n v="0.53852813852813852"/>
    <n v="0"/>
    <n v="29"/>
    <n v="12.262499999999999"/>
    <n v="651"/>
    <n v="504"/>
    <n v="0.5636363636363636"/>
    <n v="0.5636363636363636"/>
    <n v="0.49396031746031743"/>
  </r>
  <r>
    <x v="12"/>
    <x v="68"/>
    <s v="eSure"/>
    <n v="603"/>
    <x v="67"/>
    <n v="0.51948051948051943"/>
    <m/>
    <n v="36"/>
    <n v="3.5"/>
    <n v="126"/>
    <n v="18"/>
    <n v="63"/>
    <n v="1155"/>
    <n v="0"/>
    <n v="0.51948051948051943"/>
    <m/>
    <n v="7"/>
    <m/>
    <n v="607"/>
    <n v="548"/>
    <n v="0.52554112554112553"/>
    <n v="0.52554112554112553"/>
    <m/>
  </r>
  <r>
    <x v="12"/>
    <x v="69"/>
    <s v="eSure"/>
    <n v="596"/>
    <x v="68"/>
    <n v="0.51168831168831164"/>
    <m/>
    <n v="36"/>
    <n v="3.5"/>
    <n v="126"/>
    <n v="18"/>
    <n v="63"/>
    <n v="1155"/>
    <n v="0"/>
    <n v="0.51168831168831164"/>
    <m/>
    <n v="13"/>
    <m/>
    <n v="604"/>
    <n v="551"/>
    <n v="0.52294372294372293"/>
    <n v="0.52294372294372293"/>
    <m/>
  </r>
  <r>
    <x v="12"/>
    <x v="70"/>
    <s v="eSure"/>
    <n v="314"/>
    <x v="69"/>
    <n v="0.27186147186147186"/>
    <n v="0.45503174603174606"/>
    <n v="36"/>
    <n v="3.5"/>
    <n v="126"/>
    <n v="18"/>
    <n v="63"/>
    <n v="1155"/>
    <n v="0"/>
    <n v="0.27186147186147186"/>
    <m/>
    <n v="77"/>
    <n v="3.8928571428571423E-2"/>
    <n v="391"/>
    <n v="764"/>
    <n v="0.33852813852813851"/>
    <n v="0.33852813852813851"/>
    <m/>
  </r>
  <r>
    <x v="12"/>
    <x v="71"/>
    <s v="eSure"/>
    <n v="505"/>
    <x v="70"/>
    <n v="0.43549783549783549"/>
    <m/>
    <n v="36"/>
    <n v="3.5"/>
    <n v="126"/>
    <n v="18"/>
    <n v="63"/>
    <n v="1155"/>
    <n v="0"/>
    <n v="0.43549783549783549"/>
    <m/>
    <n v="99"/>
    <m/>
    <n v="602"/>
    <n v="553"/>
    <n v="0.52121212121212124"/>
    <n v="0.52121212121212124"/>
    <m/>
  </r>
  <r>
    <x v="13"/>
    <x v="72"/>
    <s v="eSure"/>
    <n v="542"/>
    <x v="71"/>
    <n v="0.46926406926406927"/>
    <n v="133.14349999999999"/>
    <n v="36"/>
    <n v="3.5"/>
    <n v="126"/>
    <n v="18"/>
    <n v="63"/>
    <n v="1155"/>
    <n v="0"/>
    <n v="0.46926406926406927"/>
    <n v="0"/>
    <n v="40"/>
    <n v="18.966000000000001"/>
    <n v="582"/>
    <n v="573"/>
    <n v="0.50389610389610384"/>
    <n v="0.50389610389610384"/>
    <n v="0.50703166666666666"/>
  </r>
  <r>
    <x v="13"/>
    <x v="73"/>
    <s v="eSure"/>
    <n v="736"/>
    <x v="42"/>
    <n v="0.63809523809523805"/>
    <m/>
    <n v="36"/>
    <n v="3.5"/>
    <n v="126"/>
    <n v="18"/>
    <n v="63"/>
    <n v="1155"/>
    <n v="0"/>
    <n v="0.63809523809523805"/>
    <m/>
    <n v="160"/>
    <m/>
    <n v="897"/>
    <n v="258"/>
    <n v="0.77662337662337666"/>
    <n v="0.77662337662337666"/>
    <m/>
  </r>
  <r>
    <x v="13"/>
    <x v="74"/>
    <s v="eSure"/>
    <n v="742"/>
    <x v="72"/>
    <n v="0.63896103896103895"/>
    <n v="0.4438116666666666"/>
    <n v="36"/>
    <n v="3.5"/>
    <n v="126"/>
    <n v="18"/>
    <n v="63"/>
    <n v="1155"/>
    <n v="0"/>
    <n v="0.63896103896103895"/>
    <n v="0"/>
    <n v="135"/>
    <n v="6.3219999999999998E-2"/>
    <n v="873"/>
    <n v="282"/>
    <n v="0.75584415584415587"/>
    <n v="0.75584415584415587"/>
    <m/>
  </r>
  <r>
    <x v="13"/>
    <x v="75"/>
    <s v="eSure"/>
    <n v="425"/>
    <x v="73"/>
    <n v="0.36883116883116884"/>
    <m/>
    <n v="36"/>
    <n v="3.5"/>
    <n v="126"/>
    <n v="18"/>
    <n v="63"/>
    <n v="1155"/>
    <n v="0"/>
    <n v="0.36883116883116884"/>
    <m/>
    <n v="13"/>
    <m/>
    <n v="439"/>
    <n v="716"/>
    <n v="0.38008658008658008"/>
    <n v="0.38008658008658008"/>
    <m/>
  </r>
  <r>
    <x v="14"/>
    <x v="76"/>
    <s v="eSure"/>
    <n v="618"/>
    <x v="74"/>
    <n v="0.53506493506493502"/>
    <n v="144.69749999999999"/>
    <n v="36"/>
    <n v="3.5"/>
    <n v="126"/>
    <n v="18"/>
    <n v="63"/>
    <n v="1155"/>
    <n v="0"/>
    <n v="0.53506493506493502"/>
    <n v="0"/>
    <n v="20"/>
    <n v="2.5615000000000001"/>
    <n v="638"/>
    <n v="517"/>
    <n v="0.55238095238095242"/>
    <n v="0.55238095238095242"/>
    <n v="0.4836091954022988"/>
  </r>
  <r>
    <x v="14"/>
    <x v="77"/>
    <s v="eSure"/>
    <n v="685"/>
    <x v="75"/>
    <n v="0.59480519480519478"/>
    <m/>
    <n v="36"/>
    <n v="3.5"/>
    <n v="126"/>
    <n v="18"/>
    <n v="63"/>
    <n v="1155"/>
    <n v="0"/>
    <n v="0.59480519480519478"/>
    <m/>
    <n v="13"/>
    <m/>
    <n v="700"/>
    <n v="455"/>
    <n v="0.60606060606060608"/>
    <n v="0.60606060606060608"/>
    <m/>
  </r>
  <r>
    <x v="14"/>
    <x v="78"/>
    <s v="eSure"/>
    <n v="526"/>
    <x v="76"/>
    <n v="0.45541125541125543"/>
    <m/>
    <n v="36"/>
    <n v="3.5"/>
    <n v="126"/>
    <n v="18"/>
    <n v="63"/>
    <n v="1155"/>
    <n v="0"/>
    <n v="0.45541125541125543"/>
    <m/>
    <n v="7"/>
    <m/>
    <n v="533"/>
    <n v="622"/>
    <n v="0.46147186147186148"/>
    <n v="0.46147186147186148"/>
    <m/>
  </r>
  <r>
    <x v="14"/>
    <x v="79"/>
    <s v="eSure"/>
    <n v="466"/>
    <x v="77"/>
    <n v="0.40346320346320347"/>
    <n v="0.47519704433497534"/>
    <n v="36"/>
    <n v="3.5"/>
    <n v="126"/>
    <n v="18"/>
    <n v="63"/>
    <n v="1155"/>
    <n v="0"/>
    <n v="0.40346320346320347"/>
    <n v="0"/>
    <n v="0"/>
    <n v="8.4121510673234815E-3"/>
    <n v="466"/>
    <n v="689"/>
    <n v="0.40346320346320347"/>
    <n v="0.40346320346320347"/>
    <m/>
  </r>
  <r>
    <x v="14"/>
    <x v="80"/>
    <s v="eSure"/>
    <n v="357"/>
    <x v="78"/>
    <n v="0.37526205450733752"/>
    <m/>
    <n v="30"/>
    <n v="3.5"/>
    <n v="105"/>
    <n v="15"/>
    <n v="52"/>
    <n v="954"/>
    <n v="0"/>
    <n v="0.37526205450733752"/>
    <m/>
    <n v="7"/>
    <m/>
    <n v="365"/>
    <n v="589"/>
    <n v="0.38259958071278827"/>
    <n v="0.38259958071278827"/>
    <m/>
  </r>
  <r>
    <x v="15"/>
    <x v="81"/>
    <s v="NetSure"/>
    <n v="513"/>
    <x v="79"/>
    <n v="0.48803827751196172"/>
    <n v="49.05"/>
    <n v="36"/>
    <n v="3.2"/>
    <n v="115"/>
    <n v="18"/>
    <n v="57"/>
    <n v="1045"/>
    <n v="68"/>
    <m/>
    <n v="7.4119999999999999"/>
    <m/>
    <m/>
    <n v="578"/>
    <n v="467"/>
    <n v="0.55311004784689"/>
    <m/>
    <m/>
  </r>
  <r>
    <x v="15"/>
    <x v="82"/>
    <s v="NetSure"/>
    <n v="396"/>
    <x v="80"/>
    <n v="0.37320574162679426"/>
    <m/>
    <n v="36"/>
    <n v="3.2"/>
    <n v="115"/>
    <n v="18"/>
    <n v="57"/>
    <n v="1045"/>
    <n v="68"/>
    <m/>
    <m/>
    <m/>
    <m/>
    <n v="458"/>
    <n v="587"/>
    <n v="0.43827751196172249"/>
    <m/>
    <m/>
  </r>
  <r>
    <x v="16"/>
    <x v="83"/>
    <s v="NetSure"/>
    <n v="403"/>
    <x v="33"/>
    <n v="0.38277511961722488"/>
    <n v="52.973999999999997"/>
    <n v="36"/>
    <n v="3.2"/>
    <n v="115"/>
    <n v="18"/>
    <n v="57"/>
    <n v="1045"/>
    <n v="76"/>
    <m/>
    <n v="8.5020000000000007"/>
    <m/>
    <m/>
    <n v="476"/>
    <n v="569"/>
    <n v="0.45550239234449763"/>
    <m/>
    <m/>
  </r>
  <r>
    <x v="16"/>
    <x v="84"/>
    <s v="NetSure"/>
    <n v="222"/>
    <x v="81"/>
    <n v="0.43274853801169588"/>
    <m/>
    <n v="18"/>
    <n v="3.2"/>
    <n v="57"/>
    <n v="9"/>
    <n v="28"/>
    <n v="513"/>
    <n v="80"/>
    <m/>
    <m/>
    <m/>
    <m/>
    <n v="302"/>
    <n v="211"/>
    <n v="0.58869395711500971"/>
    <m/>
    <m/>
  </r>
  <r>
    <x v="16"/>
    <x v="85"/>
    <s v="NetSure"/>
    <n v="350"/>
    <x v="82"/>
    <n v="0.68226120857699801"/>
    <m/>
    <n v="18"/>
    <n v="3.2"/>
    <n v="57"/>
    <n v="9"/>
    <n v="28"/>
    <n v="513"/>
    <n v="0"/>
    <m/>
    <m/>
    <m/>
    <m/>
    <n v="350"/>
    <n v="163"/>
    <n v="0.68226120857699801"/>
    <m/>
    <m/>
  </r>
  <r>
    <x v="17"/>
    <x v="86"/>
    <s v="NetSure"/>
    <n v="345"/>
    <x v="83"/>
    <n v="0.35693779904306222"/>
    <n v="42.401000000000003"/>
    <n v="36"/>
    <n v="3.2"/>
    <n v="115"/>
    <n v="18"/>
    <n v="57"/>
    <n v="1045"/>
    <n v="198"/>
    <m/>
    <n v="21.582000000000001"/>
    <m/>
    <m/>
    <n v="571"/>
    <n v="474"/>
    <n v="0.54641148325358857"/>
    <m/>
    <m/>
  </r>
  <r>
    <x v="17"/>
    <x v="87"/>
    <s v="NetSure"/>
    <n v="387"/>
    <x v="84"/>
    <n v="0.38755980861244022"/>
    <m/>
    <n v="36"/>
    <n v="3.2"/>
    <n v="115"/>
    <n v="18"/>
    <n v="57"/>
    <n v="1045"/>
    <n v="198"/>
    <m/>
    <m/>
    <m/>
    <m/>
    <n v="603"/>
    <n v="442"/>
    <n v="0.57703349282296645"/>
    <m/>
    <m/>
  </r>
  <r>
    <x v="18"/>
    <x v="88"/>
    <s v="NetSure"/>
    <n v="408"/>
    <x v="85"/>
    <n v="0.39330143540669854"/>
    <n v="51.1755"/>
    <n v="36"/>
    <n v="3.2"/>
    <n v="115"/>
    <n v="18"/>
    <n v="57"/>
    <n v="1045"/>
    <n v="180"/>
    <m/>
    <n v="19.62"/>
    <m/>
    <m/>
    <n v="591"/>
    <n v="454"/>
    <n v="0.5655502392344498"/>
    <m/>
    <m/>
  </r>
  <r>
    <x v="18"/>
    <x v="89"/>
    <s v="NetSure"/>
    <n v="532"/>
    <x v="25"/>
    <n v="0.50526315789473686"/>
    <m/>
    <n v="36"/>
    <n v="3.2"/>
    <n v="115"/>
    <n v="18"/>
    <n v="57"/>
    <n v="1045"/>
    <n v="180"/>
    <m/>
    <m/>
    <m/>
    <m/>
    <n v="708"/>
    <n v="337"/>
    <n v="0.67751196172248807"/>
    <m/>
    <m/>
  </r>
  <r>
    <x v="19"/>
    <x v="90"/>
    <s v="eSure"/>
    <n v="96"/>
    <x v="86"/>
    <n v="0.24155844155844156"/>
    <n v="10.3005"/>
    <n v="9"/>
    <n v="3.5"/>
    <n v="31"/>
    <n v="3"/>
    <n v="21"/>
    <n v="385"/>
    <n v="0"/>
    <m/>
    <n v="0"/>
    <m/>
    <m/>
    <n v="93"/>
    <n v="292"/>
    <n v="0.24155844155844156"/>
    <m/>
    <m/>
  </r>
  <r>
    <x v="19"/>
    <x v="91"/>
    <s v="eSure"/>
    <n v="105"/>
    <x v="87"/>
    <n v="0.24935064935064935"/>
    <m/>
    <n v="9"/>
    <n v="3.5"/>
    <n v="31"/>
    <n v="3"/>
    <n v="21"/>
    <n v="385"/>
    <n v="0"/>
    <m/>
    <m/>
    <m/>
    <m/>
    <n v="96"/>
    <n v="289"/>
    <n v="0.24935064935064935"/>
    <m/>
    <m/>
  </r>
  <r>
    <x v="20"/>
    <x v="92"/>
    <s v="eSure"/>
    <n v="32"/>
    <x v="88"/>
    <n v="9.1954022988505746E-2"/>
    <n v="4.6325000000000003"/>
    <n v="9"/>
    <n v="3.2"/>
    <n v="28"/>
    <n v="3"/>
    <n v="19"/>
    <n v="348"/>
    <n v="0"/>
    <m/>
    <n v="0"/>
    <m/>
    <m/>
    <n v="32"/>
    <n v="316"/>
    <n v="9.1954022988505746E-2"/>
    <m/>
    <m/>
  </r>
  <r>
    <x v="20"/>
    <x v="93"/>
    <s v="eSure"/>
    <n v="53"/>
    <x v="89"/>
    <n v="0.15229885057471265"/>
    <m/>
    <n v="9"/>
    <n v="3.2"/>
    <n v="28"/>
    <n v="3"/>
    <n v="19"/>
    <n v="348"/>
    <n v="0"/>
    <m/>
    <m/>
    <m/>
    <m/>
    <n v="53"/>
    <n v="295"/>
    <n v="0.15229885057471265"/>
    <m/>
    <m/>
  </r>
  <r>
    <x v="21"/>
    <x v="94"/>
    <s v="NetSure"/>
    <n v="671"/>
    <x v="90"/>
    <n v="0.63349282296650722"/>
    <n v="64.091999999999999"/>
    <n v="36"/>
    <n v="3.2"/>
    <n v="115"/>
    <n v="18"/>
    <n v="57"/>
    <n v="1045"/>
    <n v="52"/>
    <m/>
    <n v="5.6680000000000001"/>
    <m/>
    <m/>
    <n v="714"/>
    <n v="331"/>
    <n v="0.68325358851674645"/>
    <m/>
    <m/>
  </r>
  <r>
    <x v="21"/>
    <x v="95"/>
    <s v="NetSure"/>
    <n v="514"/>
    <x v="91"/>
    <n v="0.49186602870813395"/>
    <m/>
    <n v="36"/>
    <n v="3.2"/>
    <n v="115"/>
    <n v="18"/>
    <n v="57"/>
    <n v="1045"/>
    <n v="52"/>
    <m/>
    <m/>
    <m/>
    <m/>
    <n v="566"/>
    <n v="479"/>
    <n v="0.54162679425837323"/>
    <m/>
    <m/>
  </r>
  <r>
    <x v="22"/>
    <x v="96"/>
    <s v="NetSure"/>
    <n v="527"/>
    <x v="92"/>
    <n v="0.50717703349282295"/>
    <n v="60.277000000000001"/>
    <n v="36"/>
    <n v="3.2"/>
    <n v="115"/>
    <n v="18"/>
    <n v="57"/>
    <n v="1045"/>
    <n v="0"/>
    <m/>
    <n v="0.54500000000000004"/>
    <m/>
    <m/>
    <n v="530"/>
    <n v="515"/>
    <n v="0.50717703349282295"/>
    <m/>
    <m/>
  </r>
  <r>
    <x v="22"/>
    <x v="97"/>
    <s v="NetSure"/>
    <n v="404"/>
    <x v="93"/>
    <n v="0.38660287081339711"/>
    <m/>
    <n v="36"/>
    <n v="3.2"/>
    <n v="115"/>
    <n v="18"/>
    <n v="57"/>
    <n v="1045"/>
    <n v="0"/>
    <m/>
    <m/>
    <m/>
    <m/>
    <n v="404"/>
    <n v="641"/>
    <n v="0.38660287081339711"/>
    <m/>
    <m/>
  </r>
  <r>
    <x v="22"/>
    <x v="98"/>
    <s v="NetSure"/>
    <n v="103"/>
    <x v="47"/>
    <n v="0.19883040935672514"/>
    <m/>
    <n v="18"/>
    <n v="3.2"/>
    <n v="57"/>
    <n v="9"/>
    <n v="28"/>
    <n v="513"/>
    <n v="5"/>
    <m/>
    <n v="0.54500000000000004"/>
    <m/>
    <m/>
    <n v="107"/>
    <n v="406"/>
    <n v="0.20857699805068225"/>
    <m/>
    <m/>
  </r>
  <r>
    <x v="22"/>
    <x v="99"/>
    <s v="NetSure"/>
    <n v="71"/>
    <x v="94"/>
    <n v="0.1364522417153996"/>
    <m/>
    <n v="18"/>
    <n v="3.2"/>
    <n v="57"/>
    <n v="9"/>
    <n v="28"/>
    <n v="513"/>
    <n v="5"/>
    <m/>
    <m/>
    <m/>
    <m/>
    <n v="75"/>
    <n v="438"/>
    <n v="0.14619883040935672"/>
    <m/>
    <m/>
  </r>
  <r>
    <x v="23"/>
    <x v="100"/>
    <s v="NetSure"/>
    <n v="314"/>
    <x v="69"/>
    <n v="0.30047846889952151"/>
    <n v="46.978999999999999"/>
    <n v="36"/>
    <n v="3.2"/>
    <n v="115"/>
    <n v="18"/>
    <n v="57"/>
    <n v="1045"/>
    <n v="10"/>
    <m/>
    <n v="1.0900000000000001"/>
    <m/>
    <m/>
    <n v="324"/>
    <n v="721"/>
    <n v="0.31004784688995213"/>
    <m/>
    <m/>
  </r>
  <r>
    <x v="23"/>
    <x v="101"/>
    <s v="NetSure"/>
    <n v="380"/>
    <x v="95"/>
    <n v="0.36363636363636365"/>
    <m/>
    <n v="36"/>
    <n v="3.2"/>
    <n v="115"/>
    <n v="18"/>
    <n v="57"/>
    <n v="1045"/>
    <n v="10"/>
    <m/>
    <m/>
    <m/>
    <m/>
    <n v="390"/>
    <n v="655"/>
    <n v="0.37320574162679426"/>
    <m/>
    <m/>
  </r>
  <r>
    <x v="23"/>
    <x v="102"/>
    <s v="NetSure"/>
    <n v="168"/>
    <x v="96"/>
    <n v="0.32748538011695905"/>
    <m/>
    <n v="18"/>
    <n v="3.2"/>
    <n v="57"/>
    <n v="9"/>
    <n v="28"/>
    <n v="513"/>
    <n v="0"/>
    <m/>
    <m/>
    <m/>
    <m/>
    <n v="168"/>
    <n v="345"/>
    <n v="0.32748538011695905"/>
    <m/>
    <m/>
  </r>
  <r>
    <x v="24"/>
    <x v="103"/>
    <s v="NetSure"/>
    <n v="408"/>
    <x v="97"/>
    <n v="0.39043062200956935"/>
    <n v="37.877499999999998"/>
    <n v="36"/>
    <n v="3.2"/>
    <n v="115"/>
    <n v="18"/>
    <n v="57"/>
    <n v="1045"/>
    <n v="149"/>
    <m/>
    <n v="16.241"/>
    <m/>
    <m/>
    <n v="557"/>
    <n v="488"/>
    <n v="0.53301435406698561"/>
    <m/>
    <m/>
  </r>
  <r>
    <x v="24"/>
    <x v="104"/>
    <s v="NetSure"/>
    <n v="279"/>
    <x v="98"/>
    <n v="0.32613636363636361"/>
    <m/>
    <n v="30"/>
    <n v="3.2"/>
    <n v="96"/>
    <n v="15"/>
    <n v="48"/>
    <n v="880"/>
    <n v="149"/>
    <m/>
    <m/>
    <m/>
    <m/>
    <n v="436"/>
    <n v="444"/>
    <n v="0.49545454545454548"/>
    <m/>
    <m/>
  </r>
  <r>
    <x v="25"/>
    <x v="105"/>
    <s v="NetSure"/>
    <n v="420"/>
    <x v="85"/>
    <n v="0.39330143540669854"/>
    <n v="46.597499999999997"/>
    <n v="36"/>
    <n v="3.2"/>
    <n v="115"/>
    <n v="18"/>
    <n v="57"/>
    <n v="1045"/>
    <n v="15"/>
    <m/>
    <n v="1.635"/>
    <m/>
    <m/>
    <n v="426"/>
    <n v="619"/>
    <n v="0.40765550239234449"/>
    <m/>
    <m/>
  </r>
  <r>
    <x v="25"/>
    <x v="106"/>
    <s v="NetSure"/>
    <n v="444"/>
    <x v="99"/>
    <n v="0.42488038277511964"/>
    <m/>
    <n v="36"/>
    <n v="3.2"/>
    <n v="115"/>
    <n v="18"/>
    <n v="57"/>
    <n v="1045"/>
    <n v="15"/>
    <m/>
    <m/>
    <m/>
    <m/>
    <n v="459"/>
    <n v="586"/>
    <n v="0.43923444976076553"/>
    <m/>
    <m/>
  </r>
  <r>
    <x v="26"/>
    <x v="107"/>
    <s v="NetSure"/>
    <n v="238"/>
    <x v="100"/>
    <n v="0.46393762183235865"/>
    <n v="40.711500000000001"/>
    <n v="18"/>
    <n v="3.2"/>
    <n v="57"/>
    <n v="9"/>
    <n v="28"/>
    <n v="513"/>
    <n v="0"/>
    <m/>
    <n v="4.5780000000000003"/>
    <m/>
    <m/>
    <n v="238"/>
    <n v="275"/>
    <n v="0.46393762183235865"/>
    <m/>
    <m/>
  </r>
  <r>
    <x v="26"/>
    <x v="108"/>
    <s v="NetSure"/>
    <n v="226"/>
    <x v="101"/>
    <n v="0.442495126705653"/>
    <m/>
    <n v="18"/>
    <n v="3.2"/>
    <n v="57"/>
    <n v="9"/>
    <n v="28"/>
    <n v="513"/>
    <n v="42"/>
    <m/>
    <m/>
    <m/>
    <m/>
    <n v="269"/>
    <n v="244"/>
    <n v="0.52436647173489281"/>
    <m/>
    <m/>
  </r>
  <r>
    <x v="26"/>
    <x v="109"/>
    <s v="NetSure"/>
    <n v="285"/>
    <x v="102"/>
    <n v="0.54970760233918126"/>
    <m/>
    <n v="18"/>
    <n v="3.2"/>
    <n v="57"/>
    <n v="9"/>
    <n v="28"/>
    <n v="513"/>
    <n v="42"/>
    <m/>
    <m/>
    <m/>
    <m/>
    <n v="324"/>
    <n v="189"/>
    <n v="0.6315789473684210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5104"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4:I9" firstHeaderRow="0" firstDataRow="1" firstDataCol="1" rowPageCount="1" colPageCount="1"/>
  <pivotFields count="25">
    <pivotField axis="axisPage" multipleItemSelectionAllowed="1" showAll="0">
      <items count="28">
        <item h="1" x="1"/>
        <item h="1" x="2"/>
        <item x="15"/>
        <item x="16"/>
        <item h="1" x="17"/>
        <item h="1" x="3"/>
        <item h="1" x="18"/>
        <item h="1" x="4"/>
        <item h="1" x="5"/>
        <item h="1" x="19"/>
        <item h="1" x="6"/>
        <item h="1" x="7"/>
        <item h="1" x="8"/>
        <item h="1" x="20"/>
        <item h="1" x="21"/>
        <item h="1" x="9"/>
        <item h="1" x="10"/>
        <item h="1" x="22"/>
        <item h="1" x="23"/>
        <item h="1" x="11"/>
        <item h="1" x="24"/>
        <item h="1" x="12"/>
        <item h="1" x="13"/>
        <item h="1" x="25"/>
        <item h="1" x="14"/>
        <item h="1" x="26"/>
        <item h="1" x="0"/>
        <item t="default"/>
      </items>
    </pivotField>
    <pivotField axis="axisRow" showAll="0">
      <items count="111">
        <item x="1"/>
        <item x="6"/>
        <item x="86"/>
        <item x="14"/>
        <item x="34"/>
        <item x="29"/>
        <item x="40"/>
        <item x="49"/>
        <item x="55"/>
        <item x="61"/>
        <item x="67"/>
        <item x="72"/>
        <item x="76"/>
        <item x="2"/>
        <item x="7"/>
        <item x="87"/>
        <item x="15"/>
        <item x="35"/>
        <item x="30"/>
        <item x="41"/>
        <item x="50"/>
        <item x="56"/>
        <item x="62"/>
        <item x="68"/>
        <item x="73"/>
        <item x="77"/>
        <item x="3"/>
        <item x="8"/>
        <item x="83"/>
        <item x="16"/>
        <item x="19"/>
        <item x="36"/>
        <item x="31"/>
        <item x="51"/>
        <item x="57"/>
        <item x="103"/>
        <item x="63"/>
        <item x="69"/>
        <item x="74"/>
        <item x="78"/>
        <item x="84"/>
        <item x="17"/>
        <item x="20"/>
        <item x="25"/>
        <item x="37"/>
        <item x="32"/>
        <item x="52"/>
        <item x="58"/>
        <item x="70"/>
        <item x="79"/>
        <item x="9"/>
        <item x="85"/>
        <item x="18"/>
        <item x="21"/>
        <item x="26"/>
        <item x="38"/>
        <item x="33"/>
        <item x="42"/>
        <item x="53"/>
        <item x="59"/>
        <item x="100"/>
        <item x="71"/>
        <item x="105"/>
        <item x="75"/>
        <item x="80"/>
        <item x="4"/>
        <item x="10"/>
        <item x="81"/>
        <item x="88"/>
        <item x="22"/>
        <item x="27"/>
        <item x="39"/>
        <item x="54"/>
        <item x="94"/>
        <item x="60"/>
        <item x="101"/>
        <item x="104"/>
        <item x="64"/>
        <item x="5"/>
        <item x="11"/>
        <item x="89"/>
        <item x="23"/>
        <item x="28"/>
        <item x="95"/>
        <item x="102"/>
        <item x="96"/>
        <item x="65"/>
        <item x="106"/>
        <item x="12"/>
        <item x="82"/>
        <item x="24"/>
        <item x="97"/>
        <item x="66"/>
        <item x="13"/>
        <item x="43"/>
        <item x="98"/>
        <item x="90"/>
        <item x="44"/>
        <item x="92"/>
        <item x="99"/>
        <item x="91"/>
        <item x="45"/>
        <item x="93"/>
        <item x="46"/>
        <item x="107"/>
        <item x="47"/>
        <item x="108"/>
        <item x="48"/>
        <item x="109"/>
        <item x="0"/>
        <item t="default"/>
      </items>
    </pivotField>
    <pivotField showAll="0"/>
    <pivotField showAll="0"/>
    <pivotField dataField="1" showAll="0">
      <items count="104">
        <item x="88"/>
        <item x="89"/>
        <item x="94"/>
        <item x="86"/>
        <item x="87"/>
        <item x="47"/>
        <item x="41"/>
        <item x="96"/>
        <item x="46"/>
        <item x="45"/>
        <item x="81"/>
        <item x="101"/>
        <item x="100"/>
        <item x="102"/>
        <item x="98"/>
        <item x="69"/>
        <item x="39"/>
        <item x="82"/>
        <item x="78"/>
        <item x="83"/>
        <item x="95"/>
        <item x="80"/>
        <item x="32"/>
        <item x="33"/>
        <item x="93"/>
        <item x="84"/>
        <item x="97"/>
        <item x="85"/>
        <item x="73"/>
        <item x="63"/>
        <item x="28"/>
        <item x="99"/>
        <item x="14"/>
        <item x="40"/>
        <item x="77"/>
        <item x="70"/>
        <item x="17"/>
        <item x="79"/>
        <item x="91"/>
        <item x="76"/>
        <item x="25"/>
        <item x="92"/>
        <item x="27"/>
        <item x="71"/>
        <item x="18"/>
        <item x="65"/>
        <item x="43"/>
        <item x="68"/>
        <item x="26"/>
        <item x="67"/>
        <item x="16"/>
        <item x="64"/>
        <item x="74"/>
        <item x="66"/>
        <item x="15"/>
        <item x="24"/>
        <item x="3"/>
        <item x="90"/>
        <item x="29"/>
        <item x="38"/>
        <item x="31"/>
        <item x="75"/>
        <item x="44"/>
        <item x="36"/>
        <item x="35"/>
        <item x="61"/>
        <item x="19"/>
        <item x="30"/>
        <item x="60"/>
        <item x="37"/>
        <item x="5"/>
        <item x="42"/>
        <item x="72"/>
        <item x="2"/>
        <item x="4"/>
        <item x="1"/>
        <item x="21"/>
        <item x="22"/>
        <item x="62"/>
        <item x="23"/>
        <item x="34"/>
        <item x="20"/>
        <item x="8"/>
        <item x="7"/>
        <item x="6"/>
        <item x="12"/>
        <item x="51"/>
        <item x="11"/>
        <item x="52"/>
        <item x="48"/>
        <item x="13"/>
        <item x="9"/>
        <item x="53"/>
        <item x="10"/>
        <item x="57"/>
        <item x="49"/>
        <item x="50"/>
        <item x="56"/>
        <item x="55"/>
        <item x="54"/>
        <item x="59"/>
        <item x="58"/>
        <item x="0"/>
        <item t="default"/>
      </items>
    </pivotField>
    <pivotField dataField="1"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dataField="1" showAll="0"/>
    <pivotField showAll="0"/>
    <pivotField dataField="1" showAll="0"/>
    <pivotField showAll="0"/>
    <pivotField showAll="0"/>
    <pivotField dragToRow="0" dragToCol="0" dragToPage="0" showAll="0" defaultSubtotal="0"/>
    <pivotField dragToRow="0" dragToCol="0" dragToPage="0" showAll="0" defaultSubtotal="0"/>
  </pivotFields>
  <rowFields count="1">
    <field x="1"/>
  </rowFields>
  <rowItems count="5">
    <i>
      <x v="28"/>
    </i>
    <i>
      <x v="40"/>
    </i>
    <i>
      <x v="51"/>
    </i>
    <i>
      <x v="67"/>
    </i>
    <i>
      <x v="89"/>
    </i>
  </rowItems>
  <colFields count="1">
    <field x="-2"/>
  </colFields>
  <colItems count="8">
    <i>
      <x/>
    </i>
    <i i="1">
      <x v="1"/>
    </i>
    <i i="2">
      <x v="2"/>
    </i>
    <i i="3">
      <x v="3"/>
    </i>
    <i i="4">
      <x v="4"/>
    </i>
    <i i="5">
      <x v="5"/>
    </i>
    <i i="6">
      <x v="6"/>
    </i>
    <i i="7">
      <x v="7"/>
    </i>
  </colItems>
  <pageFields count="1">
    <pageField fld="0" hier="-1"/>
  </pageFields>
  <dataFields count="8">
    <dataField name="Sum of Element Load (A) Jan 21" fld="4" baseField="0" baseItem="0"/>
    <dataField name="Sum of Running % load" fld="5" baseField="0" baseItem="0" numFmtId="9"/>
    <dataField name="Sum of Reserved (A)" fld="13" baseField="0" baseItem="0"/>
    <dataField name="Sum of Running Load + Reserved (%)" fld="14" baseField="0" baseItem="0" numFmtId="9"/>
    <dataField name="Sum of Forcast (A)" fld="16" baseField="0" baseItem="0"/>
    <dataField name="Sum of Total Forecast  (kW)" fld="17" baseField="0" baseItem="0"/>
    <dataField name="Sum of Running Load + Reserved+  Forecast (A)" fld="18" baseField="0" baseItem="0"/>
    <dataField name="Sum of Total Power Element_x000a_  RAG (% used)" fld="20" baseField="0" baseItem="0" numFmtId="9"/>
  </dataFields>
  <formats count="18">
    <format dxfId="148">
      <pivotArea type="all" dataOnly="0" outline="0" fieldPosition="0"/>
    </format>
    <format dxfId="149">
      <pivotArea outline="0" collapsedLevelsAreSubtotals="1" fieldPosition="0"/>
    </format>
    <format dxfId="150">
      <pivotArea field="1" type="button" dataOnly="0" labelOnly="1" outline="0" axis="axisRow" fieldPosition="0"/>
    </format>
    <format dxfId="151">
      <pivotArea dataOnly="0" labelOnly="1" fieldPosition="0">
        <references count="1">
          <reference field="1" count="5">
            <x v="0"/>
            <x v="13"/>
            <x v="26"/>
            <x v="65"/>
            <x v="78"/>
          </reference>
        </references>
      </pivotArea>
    </format>
    <format dxfId="152">
      <pivotArea dataOnly="0" labelOnly="1" grandRow="1" outline="0" fieldPosition="0"/>
    </format>
    <format dxfId="153">
      <pivotArea dataOnly="0" labelOnly="1" outline="0" axis="axisValues" fieldPosition="0"/>
    </format>
    <format dxfId="154">
      <pivotArea type="all" dataOnly="0" outline="0" fieldPosition="0"/>
    </format>
    <format dxfId="155">
      <pivotArea outline="0" collapsedLevelsAreSubtotals="1" fieldPosition="0"/>
    </format>
    <format dxfId="156">
      <pivotArea field="1" type="button" dataOnly="0" labelOnly="1" outline="0" axis="axisRow" fieldPosition="0"/>
    </format>
    <format dxfId="157">
      <pivotArea dataOnly="0" labelOnly="1" fieldPosition="0">
        <references count="1">
          <reference field="1" count="5">
            <x v="0"/>
            <x v="13"/>
            <x v="26"/>
            <x v="65"/>
            <x v="78"/>
          </reference>
        </references>
      </pivotArea>
    </format>
    <format dxfId="158">
      <pivotArea dataOnly="0" labelOnly="1" grandRow="1" outline="0" fieldPosition="0"/>
    </format>
    <format dxfId="159">
      <pivotArea dataOnly="0" labelOnly="1" outline="0" axis="axisValues" fieldPosition="0"/>
    </format>
    <format dxfId="160">
      <pivotArea outline="0" collapsedLevelsAreSubtotals="1" fieldPosition="0"/>
    </format>
    <format dxfId="161">
      <pivotArea dataOnly="0" labelOnly="1" outline="0" fieldPosition="0">
        <references count="1">
          <reference field="0" count="0"/>
        </references>
      </pivotArea>
    </format>
    <format dxfId="162">
      <pivotArea dataOnly="0" labelOnly="1" outline="0" axis="axisValues" fieldPosition="0"/>
    </format>
    <format dxfId="163">
      <pivotArea outline="0" fieldPosition="0">
        <references count="1">
          <reference field="4294967294" count="1">
            <x v="1"/>
          </reference>
        </references>
      </pivotArea>
    </format>
    <format dxfId="164">
      <pivotArea outline="0" fieldPosition="0">
        <references count="1">
          <reference field="4294967294" count="1">
            <x v="3"/>
          </reference>
        </references>
      </pivotArea>
    </format>
    <format dxfId="165">
      <pivotArea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bodyPr/>
      <a:lstStyle/>
      <a:style>
        <a:lnRef idx="2">
          <a:schemeClr val="accent2"/>
        </a:lnRef>
        <a:fillRef idx="0">
          <a:schemeClr val="accent2"/>
        </a:fillRef>
        <a:effectRef idx="1">
          <a:schemeClr val="accent2"/>
        </a:effectRef>
        <a:fontRef idx="minor">
          <a:schemeClr val="tx1"/>
        </a:fontRef>
      </a: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V2" dT="2022-03-03T08:08:29.50" personId="{B34D45DE-CC68-4155-AFB0-9BCA0A5FF4F3}" id="{74397534-4861-4CC2-914B-A05E5DB955C4}">
    <text>Red text =&lt;20%</text>
  </threadedComment>
  <threadedComment ref="D7" dT="2024-07-29T07:44:13.98" personId="{B34D45DE-CC68-4155-AFB0-9BCA0A5FF4F3}" id="{068820A7-93B8-49E8-B25B-B14E12BDA550}">
    <text>Last reading 21/7/24</text>
  </threadedComment>
  <threadedComment ref="E7" dT="2024-07-29T07:44:13.98" personId="{B34D45DE-CC68-4155-AFB0-9BCA0A5FF4F3}" id="{41B447D9-73FA-4A8C-A556-7932F4DEE163}">
    <text>Last reading 21/7/24</text>
  </threadedComment>
  <threadedComment ref="AB9" dT="2021-09-23T12:37:57.80" personId="{72BC5A41-D274-4BC0-BFAF-6529742AB77C}" id="{4044C344-4F47-4CE5-9B65-F03BD31E4523}">
    <text>Note to comment
Based on recorded readings as per forecasting spreadsheet</text>
  </threadedComment>
  <threadedComment ref="AB9" dT="2022-04-21T10:36:18.39" personId="{EE0D0C17-83F4-475C-A64B-0D4EA7664C36}" id="{E142FBC3-5258-4533-A11C-36BC95A2D6F7}" parentId="{4044C344-4F47-4CE5-9B65-F03BD31E4523}">
    <text>NFV Loads reviewed 20/04/2022</text>
  </threadedComment>
  <threadedComment ref="AB9" dT="2022-08-31T06:53:51.58" personId="{EE0D0C17-83F4-475C-A64B-0D4EA7664C36}" id="{6F6042F3-5A14-4A2B-8DEB-8337A44AA45B}" parentId="{4044C344-4F47-4CE5-9B65-F03BD31E4523}">
    <text>NFV reserved loads updated on 26/07/2022</text>
  </threadedComment>
  <threadedComment ref="AB9" dT="2022-12-23T11:16:35.55" personId="{EE0D0C17-83F4-475C-A64B-0D4EA7664C36}" id="{3E2A3A0C-6F26-4163-8E96-4A90C3E5628C}" parentId="{4044C344-4F47-4CE5-9B65-F03BD31E4523}">
    <text>NFV reserved loads updated on 23/12/2022</text>
  </threadedComment>
  <threadedComment ref="AB9" dT="2023-02-27T09:52:09.99" personId="{EE0D0C17-83F4-475C-A64B-0D4EA7664C36}" id="{1B8A99F8-AE4F-42AB-92D0-030DF0369A4E}" parentId="{4044C344-4F47-4CE5-9B65-F03BD31E4523}">
    <text>NFV reserved loads updated on 27/02/2023</text>
  </threadedComment>
  <threadedComment ref="AB9" dT="2023-07-25T08:40:03.89" personId="{EE0D0C17-83F4-475C-A64B-0D4EA7664C36}" id="{0D96A872-330D-4771-BC4E-AA125AC22114}" parentId="{4044C344-4F47-4CE5-9B65-F03BD31E4523}">
    <text>NFV reserved loads updated on 25/07/2023</text>
  </threadedComment>
  <threadedComment ref="AB9" dT="2023-12-12T08:13:28.16" personId="{EE0D0C17-83F4-475C-A64B-0D4EA7664C36}" id="{735BAC0F-7B33-4CC2-9F20-26F769B2560C}" parentId="{4044C344-4F47-4CE5-9B65-F03BD31E4523}">
    <text>NFV reserved loads updated on 12/12/23</text>
  </threadedComment>
  <threadedComment ref="AG10" dT="2024-06-03T10:19:13.20" personId="{B34D45DE-CC68-4155-AFB0-9BCA0A5FF4F3}" id="{58739221-ABE8-4723-9183-5E0B973FA730}">
    <text>174A allocated. 21/05/24, 48A increase</text>
  </threadedComment>
  <threadedComment ref="AG11" dT="2024-06-03T10:20:06.51" personId="{B34D45DE-CC68-4155-AFB0-9BCA0A5FF4F3}" id="{9099261D-3EFB-41E3-A8DC-6F3462A711A8}">
    <text>126A allocated. 21/05/24, 57A increase</text>
  </threadedComment>
  <threadedComment ref="AG13" dT="2024-06-03T10:22:47.95" personId="{B34D45DE-CC68-4155-AFB0-9BCA0A5FF4F3}" id="{0C415CC7-06EA-48B0-A30F-4472C07CDE9C}">
    <text>104A allocated.. 21/05/24, 31A increase</text>
  </threadedComment>
  <threadedComment ref="AG14" dT="2024-06-03T10:23:30.74" personId="{B34D45DE-CC68-4155-AFB0-9BCA0A5FF4F3}" id="{31D6BDD0-7C9D-43EB-A1D6-1F63B3428347}">
    <text>103A allocated.. 21/05/24, 71A increase</text>
  </threadedComment>
  <threadedComment ref="AG15" dT="2024-06-03T10:23:53.42" personId="{B34D45DE-CC68-4155-AFB0-9BCA0A5FF4F3}" id="{436B14B4-6421-4326-8428-D5E8EEE6E757}">
    <text>87A allocated.. 21/05/24, 46A increase</text>
  </threadedComment>
  <threadedComment ref="AG16" dT="2024-06-03T10:24:12.74" personId="{B34D45DE-CC68-4155-AFB0-9BCA0A5FF4F3}" id="{C7227635-FB85-4BF1-A232-5F75549823A3}">
    <text>126A allocated. 21/05/24, 69A increase</text>
  </threadedComment>
  <threadedComment ref="D21" dT="2024-07-29T07:47:42.07" personId="{B34D45DE-CC68-4155-AFB0-9BCA0A5FF4F3}" id="{41225D44-0F33-45A5-9B61-7697D8B2B5E1}">
    <text>Last reading 21/7/24</text>
  </threadedComment>
  <threadedComment ref="AB22" personId="{85E1FF79-A144-42AE-9357-8A09D5B2EAF1}" id="{3F999200-A93C-44D6-8A16-A20CFA32F5FF}">
    <text xml:space="preserve">Based on recorded readings as per forecasting spreadsheet </text>
  </threadedComment>
  <threadedComment ref="AB22" dT="2022-04-21T10:36:49.26" personId="{EE0D0C17-83F4-475C-A64B-0D4EA7664C36}" id="{F455BEA5-43C2-401D-B72C-A46A6EF582DF}" parentId="{3F999200-A93C-44D6-8A16-A20CFA32F5FF}">
    <text>NFV loads reviewed 20/04/2022</text>
  </threadedComment>
  <threadedComment ref="AB22" dT="2022-08-31T06:54:23.49" personId="{EE0D0C17-83F4-475C-A64B-0D4EA7664C36}" id="{097685EF-1D08-44C9-98CB-77CC6B5484D0}" parentId="{3F999200-A93C-44D6-8A16-A20CFA32F5FF}">
    <text>NFV reserved loads updated on 26/07/2022</text>
  </threadedComment>
  <threadedComment ref="AB22" dT="2022-10-03T14:50:23.24" personId="{EE0D0C17-83F4-475C-A64B-0D4EA7664C36}" id="{5B507DDE-1B88-489E-BA53-DB4629A9F507}" parentId="{3F999200-A93C-44D6-8A16-A20CFA32F5FF}">
    <text>NFV reserved loads updated on 3/10/2022</text>
  </threadedComment>
  <threadedComment ref="AB22" dT="2022-12-23T11:22:56.82" personId="{EE0D0C17-83F4-475C-A64B-0D4EA7664C36}" id="{45239FA4-0D53-4089-9322-1DBE3E0BE23A}" parentId="{3F999200-A93C-44D6-8A16-A20CFA32F5FF}">
    <text>NFV reserved loads updated on 23/12/2022</text>
  </threadedComment>
  <threadedComment ref="AB22" dT="2023-07-25T09:05:30.50" personId="{EE0D0C17-83F4-475C-A64B-0D4EA7664C36}" id="{F8ACF098-C95E-49FE-A094-2450C401E5EB}" parentId="{3F999200-A93C-44D6-8A16-A20CFA32F5FF}">
    <text>NFV reserved loads updated on 25/07/23</text>
  </threadedComment>
  <threadedComment ref="AB22" dT="2023-08-25T11:50:26.84" personId="{EE0D0C17-83F4-475C-A64B-0D4EA7664C36}" id="{F556FFD2-7933-4FA4-9103-2D00A496651B}" parentId="{3F999200-A93C-44D6-8A16-A20CFA32F5FF}">
    <text xml:space="preserve">NFV reserved loads updated on 25/08/2023 </text>
  </threadedComment>
  <threadedComment ref="AB22" dT="2023-10-11T08:35:03.85" personId="{EE0D0C17-83F4-475C-A64B-0D4EA7664C36}" id="{CC17DB99-6B32-4891-9B40-DAEBEFC8074B}" parentId="{3F999200-A93C-44D6-8A16-A20CFA32F5FF}">
    <text>NFV reserved loads updated on 11/10/2023</text>
  </threadedComment>
  <threadedComment ref="AB22" dT="2024-06-10T12:50:48.22" personId="{EE0D0C17-83F4-475C-A64B-0D4EA7664C36}" id="{A3520813-BF86-4DC5-96FA-E1C7E6FEDC94}" parentId="{3F999200-A93C-44D6-8A16-A20CFA32F5FF}">
    <text>NFV reserved loads updated on 10/06/2024</text>
  </threadedComment>
  <threadedComment ref="AB22" dT="2024-06-13T09:13:42.82" personId="{EE0D0C17-83F4-475C-A64B-0D4EA7664C36}" id="{B946C483-7AD9-4036-9A7E-D0F6F1D5AB61}" parentId="{3F999200-A93C-44D6-8A16-A20CFA32F5FF}">
    <text>NFV reserved loads updated on 13/06/2024</text>
  </threadedComment>
  <threadedComment ref="AB22" dT="2024-08-23T10:28:54.59" personId="{EE0D0C17-83F4-475C-A64B-0D4EA7664C36}" id="{7B5167F5-193F-4307-906D-D6976E83E80A}" parentId="{3F999200-A93C-44D6-8A16-A20CFA32F5FF}">
    <text>NFV reserved loads updated for PECEH, PEDEH, PEEEH, PEFEH &amp; PEHEH on 23/08/24</text>
  </threadedComment>
  <threadedComment ref="AC22" dT="2023-10-12T09:14:32.61" personId="{B34D45DE-CC68-4155-AFB0-9BCA0A5FF4F3}" id="{75C931A9-1D9D-46F0-9651-50125810CA27}">
    <text>20A removed from PECEH reserved load for ISNG probes (23027) as for NFV probing</text>
  </threadedComment>
  <threadedComment ref="AC24" dT="2023-10-12T09:14:41.11" personId="{B34D45DE-CC68-4155-AFB0-9BCA0A5FF4F3}" id="{CEB2F462-1057-4534-8E9A-5BD12D6BD84A}">
    <text>20A removed from PEEEH reserved load for ISNG probes (23027) as for NFV probing</text>
  </threadedComment>
  <threadedComment ref="AG24" dT="2024-06-03T10:51:57.10" personId="{B34D45DE-CC68-4155-AFB0-9BCA0A5FF4F3}" id="{4F8E1416-9714-48F4-9C68-7D248DE90CD8}">
    <text>29A allocated. 30/5/24 12A increase</text>
  </threadedComment>
  <threadedComment ref="AC25" dT="2023-10-12T09:14:48.65" personId="{B34D45DE-CC68-4155-AFB0-9BCA0A5FF4F3}" id="{222E58C0-A49C-4DAD-9D69-CEC78F45710E}">
    <text>20A removed from PEFEH reserved load for ISNG probes (23027) as for NFV probing</text>
  </threadedComment>
  <threadedComment ref="AG25" dT="2024-06-03T10:52:52.57" personId="{B34D45DE-CC68-4155-AFB0-9BCA0A5FF4F3}" id="{AB95A6F5-9079-4266-9FCA-BA7A34F15CE7}">
    <text>29A allocated. 30/5/24 12A increase</text>
  </threadedComment>
  <threadedComment ref="AC27" dT="2023-08-25T11:01:16.39" personId="{EE0D0C17-83F4-475C-A64B-0D4EA7664C36}" id="{0C8C6709-4530-4EAF-901F-7A331F5C4D7F}">
    <text>HGW Due to move onto NFV will reduce the load by 5kW</text>
  </threadedComment>
  <threadedComment ref="X32" dT="2022-11-17T11:34:59.45" personId="{EE0D0C17-83F4-475C-A64B-0D4EA7664C36}" id="{162C1E80-59E5-42F1-8855-D7F9A9AEEAAE}">
    <text>DCSYS06a &amp; b 28.8kW of the 75kW capacity is reserved for the AC system</text>
  </threadedComment>
  <threadedComment ref="Z32" dT="2022-11-17T11:35:18.55" personId="{EE0D0C17-83F4-475C-A64B-0D4EA7664C36}" id="{8A6F364F-A6C2-4259-B20E-F2C9A826D957}">
    <text>DCSYS06a &amp; b 28.8kW of the 75kW capacity is reserved for the AC system</text>
  </threadedComment>
  <threadedComment ref="AB32" dT="2022-06-14T13:56:15.60" personId="{EE0D0C17-83F4-475C-A64B-0D4EA7664C36}" id="{04592958-0DEA-43AB-BD2D-AAB67143C667}">
    <text>New NFV Live and reserved loads added 14/06/2022</text>
  </threadedComment>
  <threadedComment ref="AB32" dT="2022-08-31T06:55:49.95" personId="{EE0D0C17-83F4-475C-A64B-0D4EA7664C36}" id="{09F23BE1-8ED3-4C94-A915-7275FE560AEC}" parentId="{04592958-0DEA-43AB-BD2D-AAB67143C667}">
    <text xml:space="preserve">NFV reserved loads updated on 26/08/2022 Synergy Frames capacity reduced from 7.5kW to 6kW </text>
  </threadedComment>
  <threadedComment ref="AB32" dT="2022-10-10T14:25:18.87" personId="{EE0D0C17-83F4-475C-A64B-0D4EA7664C36}" id="{9901C00D-E50D-4C9A-8F5E-841A823F2346}" parentId="{04592958-0DEA-43AB-BD2D-AAB67143C667}">
    <text xml:space="preserve">NFV Live load readings taken 10/10/2022 reserved updated </text>
  </threadedComment>
  <threadedComment ref="AB32" dT="2022-12-29T11:20:33.12" personId="{EE0D0C17-83F4-475C-A64B-0D4EA7664C36}" id="{D8CAB46D-A02B-4566-846F-603B47C257AF}" parentId="{04592958-0DEA-43AB-BD2D-AAB67143C667}">
    <text xml:space="preserve">NFV reserved loads updated on 29/12/2022 </text>
  </threadedComment>
  <threadedComment ref="AB32" dT="2023-04-03T15:12:42.19" personId="{EE0D0C17-83F4-475C-A64B-0D4EA7664C36}" id="{89011A17-586F-42B2-A5F7-46BB1CE3A9F3}" parentId="{04592958-0DEA-43AB-BD2D-AAB67143C667}">
    <text xml:space="preserve">NFV reserved loads reviewed </text>
  </threadedComment>
  <threadedComment ref="AB32" dT="2023-09-26T10:56:19.30" personId="{EE0D0C17-83F4-475C-A64B-0D4EA7664C36}" id="{CF5E270A-E065-4251-A73D-CE06A63DDE6F}" parentId="{04592958-0DEA-43AB-BD2D-AAB67143C667}">
    <text>NFV reserved loads updated 26/09/2023</text>
  </threadedComment>
  <threadedComment ref="AB32" dT="2023-11-02T11:15:30.45" personId="{EE0D0C17-83F4-475C-A64B-0D4EA7664C36}" id="{63EE1866-7721-4ED7-A611-C8882C9D6E4C}" parentId="{04592958-0DEA-43AB-BD2D-AAB67143C667}">
    <text>NFV reserved loads reviewed 02/11/23</text>
  </threadedComment>
  <threadedComment ref="AB32" dT="2023-12-13T16:10:59.89" personId="{EE0D0C17-83F4-475C-A64B-0D4EA7664C36}" id="{C3115105-523F-4BE5-8167-FCE7D36BD801}" parentId="{04592958-0DEA-43AB-BD2D-AAB67143C667}">
    <text>NFV reserved loads updated on 13th Dec 23</text>
  </threadedComment>
  <threadedComment ref="AB32" dT="2023-12-21T08:19:20.21" personId="{EE0D0C17-83F4-475C-A64B-0D4EA7664C36}" id="{942ED25B-A975-4EF2-A850-789BAFFA8148}" parentId="{04592958-0DEA-43AB-BD2D-AAB67143C667}">
    <text xml:space="preserve">NFV reserved loads updated on 21st Dec </text>
  </threadedComment>
  <threadedComment ref="AB32" dT="2024-02-20T08:59:43.25" personId="{EE0D0C17-83F4-475C-A64B-0D4EA7664C36}" id="{761D0194-E683-4B0B-A5F7-C83938DAA3FA}" parentId="{04592958-0DEA-43AB-BD2D-AAB67143C667}">
    <text xml:space="preserve">NFV reserved loads updated on 20th Feb </text>
  </threadedComment>
  <threadedComment ref="AB32" dT="2024-06-03T10:03:04.95" personId="{EE0D0C17-83F4-475C-A64B-0D4EA7664C36}" id="{8DB3380B-9683-4961-9FE9-86E4A49EEFA3}" parentId="{04592958-0DEA-43AB-BD2D-AAB67143C667}">
    <text xml:space="preserve">NFV reserved figures updated for C7000 chassis 3.5kW and Synergy Frames 5kW.  Live and reserved figures updated </text>
  </threadedComment>
  <threadedComment ref="AB32" dT="2024-07-18T07:56:05.75" personId="{EE0D0C17-83F4-475C-A64B-0D4EA7664C36}" id="{06C9C575-55BB-4A6C-BEBB-BAE7EB75F3E0}" parentId="{04592958-0DEA-43AB-BD2D-AAB67143C667}">
    <text xml:space="preserve">NFV reserved loads updated on 18th July 24.  Add POD 301 - 303 
</text>
  </threadedComment>
  <threadedComment ref="B37" dT="2022-11-15T11:38:38.63" personId="{B34D45DE-CC68-4155-AFB0-9BCA0A5FF4F3}" id="{F8859447-4AA6-4AA6-9237-D097A2A7BA63}">
    <text>28.8kW of the 75kW capacity is reserved for the AC system</text>
  </threadedComment>
  <threadedComment ref="D37" dT="2023-03-23T11:12:24.71" personId="{EE0D0C17-83F4-475C-A64B-0D4EA7664C36}" id="{9C0C933B-5892-4E89-83C3-3053DEFACB20}">
    <text>Load figure is the total load for AC and DC </text>
  </threadedComment>
  <threadedComment ref="E37" dT="2023-03-23T11:12:24.71" personId="{EE0D0C17-83F4-475C-A64B-0D4EA7664C36}" id="{1B247681-1489-4279-9768-67975548BA2C}">
    <text>Load figure is the total load for AC and DC </text>
  </threadedComment>
  <threadedComment ref="L37" dT="2021-10-26T09:05:51.24" personId="{B34D45DE-CC68-4155-AFB0-9BCA0A5FF4F3}" id="{24FA21A6-9725-4535-9EBE-AAF4FEF4D90C}">
    <text>28.8kW of the 75kW capacity is reserved for the AC system</text>
  </threadedComment>
  <threadedComment ref="L37" dT="2022-04-01T12:26:46.80" personId="{1699DB14-EF90-4D8C-8D94-96EF4A9CE1C6}" id="{2FE9FC00-14F3-41D5-8849-69BCEED62497}" parentId="{24FA21A6-9725-4535-9EBE-AAF4FEF4D90C}">
    <text>Useable DC capacity is 59 without reducing AC capacity</text>
  </threadedComment>
  <threadedComment ref="L37" dT="2022-11-14T13:20:52.88" personId="{EE0D0C17-83F4-475C-A64B-0D4EA7664C36}" id="{A4CCF6E6-E318-4443-B818-3154D620D7A0}" parentId="{24FA21A6-9725-4535-9EBE-AAF4FEF4D90C}">
    <text>Added the 16kW AC capacity into the DC figures. Only 59kW useable</text>
  </threadedComment>
  <threadedComment ref="L37" dT="2022-11-14T13:21:46.82" personId="{EE0D0C17-83F4-475C-A64B-0D4EA7664C36}" id="{88F9AC0A-5123-4BBD-8490-8F5FB4CB3220}" parentId="{24FA21A6-9725-4535-9EBE-AAF4FEF4D90C}">
    <text xml:space="preserve">Cells highlighted to show includes Inverter capacity </text>
  </threadedComment>
  <threadedComment ref="B38" dT="2022-11-15T11:38:49.79" personId="{B34D45DE-CC68-4155-AFB0-9BCA0A5FF4F3}" id="{16A29B51-7761-4F17-B0F8-CB02F2C77B12}">
    <text>28.8kW of the 75kW capacity is reserved for the AC system</text>
  </threadedComment>
  <threadedComment ref="D38" dT="2023-03-23T11:12:33.59" personId="{EE0D0C17-83F4-475C-A64B-0D4EA7664C36}" id="{60FE7808-1B9F-47BF-8792-17506A229644}">
    <text>Load figure is the total load for AC and DC </text>
  </threadedComment>
  <threadedComment ref="E38" dT="2023-03-23T11:12:33.59" personId="{EE0D0C17-83F4-475C-A64B-0D4EA7664C36}" id="{3A69A087-CC66-4BFD-A315-707E9AF54407}">
    <text>Load figure is the total load for AC and DC </text>
  </threadedComment>
  <threadedComment ref="L38" dT="2021-10-26T09:06:01.98" personId="{B34D45DE-CC68-4155-AFB0-9BCA0A5FF4F3}" id="{C160DAEE-2E03-492F-917B-2CDAE9B2E5C2}">
    <text>28.8kW of the 75kW capacity is reserved for the AC system</text>
  </threadedComment>
  <threadedComment ref="L38" dT="2022-04-01T12:26:55.43" personId="{1699DB14-EF90-4D8C-8D94-96EF4A9CE1C6}" id="{62123E38-0CC2-4257-B2F2-74D61BA2B8AB}" parentId="{C160DAEE-2E03-492F-917B-2CDAE9B2E5C2}">
    <text>Useable DC capacity is 59 without reducing AC capacity</text>
  </threadedComment>
  <threadedComment ref="L38" dT="2022-11-14T13:22:16.20" personId="{EE0D0C17-83F4-475C-A64B-0D4EA7664C36}" id="{9A4B2F5C-DF68-4825-A918-30014F508C42}" parentId="{C160DAEE-2E03-492F-917B-2CDAE9B2E5C2}">
    <text>Added the 16kW AC capacity into the DC figures. Only 59kW useable</text>
  </threadedComment>
  <threadedComment ref="L38" dT="2022-11-14T13:22:34.09" personId="{EE0D0C17-83F4-475C-A64B-0D4EA7664C36}" id="{485065EA-62F6-4232-B1D4-EB7EC79243B3}" parentId="{C160DAEE-2E03-492F-917B-2CDAE9B2E5C2}">
    <text xml:space="preserve">Cells highlighted to show includes Inverter capacity </text>
  </threadedComment>
  <threadedComment ref="AB39" dT="2022-08-31T06:57:39.06" personId="{EE0D0C17-83F4-475C-A64B-0D4EA7664C36}" id="{D6673DC8-181F-45D5-B1A6-D7CAD2CCE7E9}">
    <text xml:space="preserve">NFV reserved loads updated &amp; Synergy frames  capacity reduce from 7.5kW to 6kW on 26/08/2022
</text>
  </threadedComment>
  <threadedComment ref="AB39" dT="2022-12-19T15:31:19.85" personId="{EE0D0C17-83F4-475C-A64B-0D4EA7664C36}" id="{93D3424C-DB24-4BB9-A817-7236BC5C88CE}" parentId="{D6673DC8-181F-45D5-B1A6-D7CAD2CCE7E9}">
    <text>NFV Load review undertook on 19th Dec 22</text>
  </threadedComment>
  <threadedComment ref="AB39" dT="2023-02-21T10:52:24.78" personId="{EE0D0C17-83F4-475C-A64B-0D4EA7664C36}" id="{C296511B-EB8D-4004-82AC-B78309FD354A}" parentId="{D6673DC8-181F-45D5-B1A6-D7CAD2CCE7E9}">
    <text xml:space="preserve">NFV Load review undertook on 20th Feb-23 </text>
  </threadedComment>
  <threadedComment ref="AB39" dT="2023-07-11T11:11:14.18" personId="{EE0D0C17-83F4-475C-A64B-0D4EA7664C36}" id="{F27CFBFA-263A-4BA6-B3A1-DCDB8B684F87}" parentId="{D6673DC8-181F-45D5-B1A6-D7CAD2CCE7E9}">
    <text xml:space="preserve">NFV Load review undertaken </text>
  </threadedComment>
  <threadedComment ref="AB39" dT="2023-09-07T08:39:26.40" personId="{EE0D0C17-83F4-475C-A64B-0D4EA7664C36}" id="{EEABFCDF-269A-460F-B14B-72245F9C8E18}" parentId="{D6673DC8-181F-45D5-B1A6-D7CAD2CCE7E9}">
    <text xml:space="preserve">NFV loads review undertaken </text>
  </threadedComment>
  <threadedComment ref="AB39" dT="2023-12-11T11:25:04.24" personId="{EE0D0C17-83F4-475C-A64B-0D4EA7664C36}" id="{E9511950-4D2A-4701-BBB8-6D765356D3BB}" parentId="{D6673DC8-181F-45D5-B1A6-D7CAD2CCE7E9}">
    <text>NFV reserved loads updated 11/12/23</text>
  </threadedComment>
  <threadedComment ref="AE39" personId="{548BD758-4F90-4C5F-9BB2-0139B35241B2}" id="{D486DC4F-8825-4C9D-BCAC-BD2DED496201}">
    <text>45A allocated</text>
  </threadedComment>
  <threadedComment ref="AE40" personId="{548BD758-4F90-4C5F-9BB2-0139B35241B2}" id="{FB2FE5A4-EE63-43DB-A977-43AA111FF01D}">
    <text>45A allocated</text>
  </threadedComment>
  <threadedComment ref="H53" personId="{85E1FF79-A144-42AE-9357-8A09D5B2EAF1}" id="{19E420AE-D884-4DC4-B2F7-B60A02D3E461}">
    <text>07/01/21 x6 removed for use at XEH</text>
  </threadedComment>
  <threadedComment ref="H54" personId="{85E1FF79-A144-42AE-9357-8A09D5B2EAF1}" id="{BEE38BF1-E739-42C8-8FAF-83B2C6F39430}">
    <text>07/01/21 x6 removed for use at XEH</text>
  </threadedComment>
  <threadedComment ref="H55" personId="{85E1FF79-A144-42AE-9357-8A09D5B2EAF1}" id="{336E5396-F129-4D17-A688-24AA24E228D7}">
    <text>07/01/21 x24 removed for use at XEH</text>
  </threadedComment>
  <threadedComment ref="V56" dT="2022-07-01T09:21:57.99" personId="{B34D45DE-CC68-4155-AFB0-9BCA0A5FF4F3}" id="{2C09372E-EFEF-41FF-B045-C83621F022D3}">
    <text>20kW reduction to align with bldg capability (480kW reduced to 460kW)</text>
  </threadedComment>
  <threadedComment ref="X56" dT="2022-04-11T07:57:33.58" personId="{B34D45DE-CC68-4155-AFB0-9BCA0A5FF4F3}" id="{EFD20F6D-C919-4B01-A68A-911BB3AA1D33}">
    <text>Max tech load fig used (460kW) as lower than deployed usable capability (480kW)</text>
  </threadedComment>
  <threadedComment ref="AB56" personId="{85E1FF79-A144-42AE-9357-8A09D5B2EAF1}" id="{B11B1956-47AF-4136-8111-E865E900F5CB}">
    <text xml:space="preserve">Based on recorded readings as per forecasting spreadsheet </text>
  </threadedComment>
  <threadedComment ref="AB56" dT="2022-04-21T10:37:17.36" personId="{EE0D0C17-83F4-475C-A64B-0D4EA7664C36}" id="{93F8098B-10B6-4FCA-A30D-D7CAA905D747}" parentId="{B11B1956-47AF-4136-8111-E865E900F5CB}">
    <text>NFV loads reviewed 20/04/2022</text>
  </threadedComment>
  <threadedComment ref="AB56" dT="2022-08-31T06:58:09.85" personId="{EE0D0C17-83F4-475C-A64B-0D4EA7664C36}" id="{6FDA6ADD-BD92-47DE-9015-4B268C0BE01D}" parentId="{B11B1956-47AF-4136-8111-E865E900F5CB}">
    <text>NFV reserved loads updated on 26/7/2022</text>
  </threadedComment>
  <threadedComment ref="AB56" dT="2022-12-19T15:30:47.68" personId="{EE0D0C17-83F4-475C-A64B-0D4EA7664C36}" id="{6451D8A7-9380-485B-89EC-EC99D578D0C4}" parentId="{B11B1956-47AF-4136-8111-E865E900F5CB}">
    <text xml:space="preserve">NFV Load review undertook on 19th Dec </text>
  </threadedComment>
  <threadedComment ref="AB56" dT="2023-02-27T14:53:20.40" personId="{EE0D0C17-83F4-475C-A64B-0D4EA7664C36}" id="{6E1A5324-EF99-444B-943E-BEF62B15FF42}" parentId="{B11B1956-47AF-4136-8111-E865E900F5CB}">
    <text>NFV load review undertaken on 27/02/2023</text>
  </threadedComment>
  <threadedComment ref="AB56" dT="2023-07-11T11:11:34.54" personId="{EE0D0C17-83F4-475C-A64B-0D4EA7664C36}" id="{B17EE00E-B31B-45E6-9935-276FCB571888}" parentId="{B11B1956-47AF-4136-8111-E865E900F5CB}">
    <text xml:space="preserve">NFV Load review undertaken </text>
  </threadedComment>
  <threadedComment ref="AB56" dT="2023-07-25T13:01:59.02" personId="{EE0D0C17-83F4-475C-A64B-0D4EA7664C36}" id="{39F237E8-CB9B-48A5-904F-1A64649CDF20}" parentId="{B11B1956-47AF-4136-8111-E865E900F5CB}">
    <text>NFV reserved load reading undertaken 25/07/2023</text>
  </threadedComment>
  <threadedComment ref="AB56" dT="2023-11-13T13:10:32.94" personId="{EE0D0C17-83F4-475C-A64B-0D4EA7664C36}" id="{EBBF6AA8-A7DC-4F6F-8C5C-DD63F8573849}" parentId="{B11B1956-47AF-4136-8111-E865E900F5CB}">
    <text xml:space="preserve">NFV reserved load review undertaken </text>
  </threadedComment>
  <threadedComment ref="AB56" dT="2023-12-11T11:29:20.64" personId="{EE0D0C17-83F4-475C-A64B-0D4EA7664C36}" id="{E4B35C0F-575E-49EE-B4D2-39D5853D38D4}" parentId="{B11B1956-47AF-4136-8111-E865E900F5CB}">
    <text>NFV Load review undertaken 11/12/23</text>
  </threadedComment>
  <threadedComment ref="V59" dT="2022-03-07T08:36:31.49" personId="{B34D45DE-CC68-4155-AFB0-9BCA0A5FF4F3}" id="{43664F84-4782-441A-A5BE-14D5E8CEDA30}">
    <text>Max usable tech load fig used as this is lower than the deployed capability</text>
  </threadedComment>
  <threadedComment ref="AB64" personId="{85E1FF79-A144-42AE-9357-8A09D5B2EAF1}" id="{4D35DD2B-128A-46B9-9733-D7C2F2C0A01C}">
    <text xml:space="preserve">Based on recorded readings as per forecasting spreadsheet </text>
  </threadedComment>
  <threadedComment ref="AB64" dT="2022-04-21T10:37:39.26" personId="{EE0D0C17-83F4-475C-A64B-0D4EA7664C36}" id="{1C0188FE-E212-42F9-8CA9-41A60E5EF547}" parentId="{4D35DD2B-128A-46B9-9733-D7C2F2C0A01C}">
    <text>NFV loads reviewed 20/04/2022</text>
  </threadedComment>
  <threadedComment ref="AB64" dT="2022-08-31T06:58:35.52" personId="{EE0D0C17-83F4-475C-A64B-0D4EA7664C36}" id="{A0CCF4E2-D2E9-4398-B21E-37E9DA9E9383}" parentId="{4D35DD2B-128A-46B9-9733-D7C2F2C0A01C}">
    <text>NFV reserved loads updated on 26/07/2022</text>
  </threadedComment>
  <threadedComment ref="AB64" dT="2022-12-23T11:22:44.27" personId="{EE0D0C17-83F4-475C-A64B-0D4EA7664C36}" id="{65F68801-4142-498B-A3E2-08E36FA0A810}" parentId="{4D35DD2B-128A-46B9-9733-D7C2F2C0A01C}">
    <text>NFV reserved loads updated on 23/12/2022</text>
  </threadedComment>
  <threadedComment ref="AB64" dT="2023-07-25T09:30:25.45" personId="{EE0D0C17-83F4-475C-A64B-0D4EA7664C36}" id="{81E6882A-88CD-4631-B345-7699CC5BE3F2}" parentId="{4D35DD2B-128A-46B9-9733-D7C2F2C0A01C}">
    <text>NFV reserved loads updated on 23/12/2023</text>
  </threadedComment>
  <threadedComment ref="AB64" dT="2024-08-23T10:16:08.93" personId="{EE0D0C17-83F4-475C-A64B-0D4EA7664C36}" id="{4C422B9C-7E0B-4FC4-BE00-2446892484B3}" parentId="{4D35DD2B-128A-46B9-9733-D7C2F2C0A01C}">
    <text xml:space="preserve">NFV reserved load figures updated on 23/08/2023.   DCSYS07a &amp; b include the TSR reserved figures </text>
  </threadedComment>
  <threadedComment ref="AE64" dT="2024-06-10T09:55:03.79" personId="{B34D45DE-CC68-4155-AFB0-9BCA0A5FF4F3}" id="{FD787C72-1D54-44EF-BB28-B9FD81AF965B}">
    <text>97A allocated. 05/6/24 41A increase</text>
  </threadedComment>
  <threadedComment ref="AE65" dT="2024-06-10T09:56:53.47" personId="{B34D45DE-CC68-4155-AFB0-9BCA0A5FF4F3}" id="{3A36CD5C-1071-487F-94B1-D3612F352B62}">
    <text>158A allocated. 05/6/24 90A increase</text>
  </threadedComment>
  <threadedComment ref="AE66" dT="2024-06-10T09:57:24.78" personId="{B34D45DE-CC68-4155-AFB0-9BCA0A5FF4F3}" id="{5315F864-1D6B-49E8-9D1C-FE7C62C526AD}">
    <text>184A allocated. 05/6/24 81A increase</text>
  </threadedComment>
  <threadedComment ref="AE67" dT="2024-06-10T09:57:56.45" personId="{B34D45DE-CC68-4155-AFB0-9BCA0A5FF4F3}" id="{DD6D4718-5C87-4601-A02D-9C7E2834E959}">
    <text>34A allocated. 05/6/24 22A increase</text>
  </threadedComment>
  <threadedComment ref="AE68" dT="2024-06-10T09:58:34.00" personId="{B34D45DE-CC68-4155-AFB0-9BCA0A5FF4F3}" id="{DD0F928D-6986-4846-B520-9E13F8783817}">
    <text>69A allocated. 05/6/24 32A increase</text>
  </threadedComment>
  <threadedComment ref="AE69" dT="2024-06-10T09:59:04.60" personId="{B34D45DE-CC68-4155-AFB0-9BCA0A5FF4F3}" id="{79EA105A-3F0B-4C7D-9280-2D93369E4F91}">
    <text>87A allocated. 05/6/24 49A increase</text>
  </threadedComment>
  <threadedComment ref="D70" dT="2023-04-25T13:04:12.30" personId="{B34D45DE-CC68-4155-AFB0-9BCA0A5FF4F3}" id="{1EB78DE8-142E-4A45-BC61-C8CA60BE1A29}">
    <text>Last load reading date TBC</text>
  </threadedComment>
  <threadedComment ref="D71" dT="2023-04-25T13:04:23.74" personId="{B34D45DE-CC68-4155-AFB0-9BCA0A5FF4F3}" id="{D6671E55-F655-4CB4-B2E1-4203F4546716}">
    <text>Last load reading date TBC</text>
  </threadedComment>
  <threadedComment ref="AB73" dT="2022-08-31T06:59:39.20" personId="{EE0D0C17-83F4-475C-A64B-0D4EA7664C36}" id="{AAE684FF-88D7-4FB4-8B2D-3C2CCD7B8038}">
    <text xml:space="preserve">NFV reserved loads updated &amp; Synergy frames capacity reduced from 7.5kW to 6kW on 26/08/2022 </text>
  </threadedComment>
  <threadedComment ref="AB73" dT="2022-12-29T11:19:56.80" personId="{EE0D0C17-83F4-475C-A64B-0D4EA7664C36}" id="{EEC0D680-D5E3-485F-BA8F-15DC0DC49DCF}" parentId="{AAE684FF-88D7-4FB4-8B2D-3C2CCD7B8038}">
    <text xml:space="preserve">NFV reserved loads updated 29/12/2022 </text>
  </threadedComment>
  <threadedComment ref="AB73" dT="2023-04-19T15:12:19.45" personId="{EE0D0C17-83F4-475C-A64B-0D4EA7664C36}" id="{63C016B0-4B12-4ED5-A6DB-C8C0DEEB5B93}" parentId="{AAE684FF-88D7-4FB4-8B2D-3C2CCD7B8038}">
    <text xml:space="preserve">NFV reserved loads updated </text>
  </threadedComment>
  <threadedComment ref="AB73" dT="2023-07-31T12:30:46.91" personId="{EE0D0C17-83F4-475C-A64B-0D4EA7664C36}" id="{219AFE89-3D21-4BB9-84AC-F935996D85EB}" parentId="{AAE684FF-88D7-4FB4-8B2D-3C2CCD7B8038}">
    <text>NFV Load updated on 29th July 23</text>
  </threadedComment>
  <threadedComment ref="AB73" dT="2023-08-29T15:26:19.07" personId="{EE0D0C17-83F4-475C-A64B-0D4EA7664C36}" id="{EC9B054F-E397-40AE-AD2A-5AFE5E0DB5A2}" parentId="{AAE684FF-88D7-4FB4-8B2D-3C2CCD7B8038}">
    <text>NFV live &amp; reserved loads updated 30/08/2023</text>
  </threadedComment>
  <threadedComment ref="AB73" dT="2023-12-12T07:25:30.02" personId="{EE0D0C17-83F4-475C-A64B-0D4EA7664C36}" id="{0E13C81B-F9C2-42AC-9FD1-0DE59F6EE63A}" parentId="{AAE684FF-88D7-4FB4-8B2D-3C2CCD7B8038}">
    <text>NFV reserved loads updated 12/12/23</text>
  </threadedComment>
  <threadedComment ref="H75" dT="2022-11-17T11:36:25.17" personId="{EE0D0C17-83F4-475C-A64B-0D4EA7664C36}" id="{078554BB-06F0-4FD7-B1FB-B56359950BBD}">
    <text xml:space="preserve">Number of modules reduced to 28 to  move capacity onto DCSYS07a &amp; b </text>
  </threadedComment>
  <threadedComment ref="H75" dT="2023-10-26T09:58:35.41" personId="{782E12E2-67C1-4DB3-98D5-09F590D7262E}" id="{31CABE45-4DC9-41A5-8342-8AB5E44A2F97}" parentId="{078554BB-06F0-4FD7-B1FB-B56359950BBD}">
    <text>Following Eaton Upgrade revised rectifier count is 34</text>
  </threadedComment>
  <threadedComment ref="AG76" personId="{85E1FF79-A144-42AE-9357-8A09D5B2EAF1}" id="{8CC96BC0-48CE-4E0B-A2F3-85A53CF88090}">
    <text>138A allocated (1.5kW per cab on day one, could go to 5kW)</text>
  </threadedComment>
  <threadedComment ref="AG76" dT="2022-11-03T13:44:07.07" personId="{EE0D0C17-83F4-475C-A64B-0D4EA7664C36}" id="{84012D6B-F0C3-4BA1-92AC-9691F7BED581}" parentId="{8CC96BC0-48CE-4E0B-A2F3-85A53CF88090}">
    <text>AP Reduced to 4 kW to be in line for the Network sites</text>
  </threadedComment>
  <threadedComment ref="AE77" personId="{85E1FF79-A144-42AE-9357-8A09D5B2EAF1}" id="{CFD3DC83-8300-4537-8E4A-7F8C967A4029}">
    <text>138A allocated (1.5kW per cab on day one, could go to 5kW)</text>
  </threadedComment>
  <threadedComment ref="AE77" dT="2022-11-03T13:44:26.68" personId="{EE0D0C17-83F4-475C-A64B-0D4EA7664C36}" id="{C88ABE52-7120-4612-BA9B-AF4C22950F48}" parentId="{CFD3DC83-8300-4537-8E4A-7F8C967A4029}">
    <text>AP Reduced to 4 kW to be in line for the Network sites</text>
  </threadedComment>
  <threadedComment ref="W78" dT="2022-11-17T11:37:17.95" personId="{EE0D0C17-83F4-475C-A64B-0D4EA7664C36}" id="{5F32A5FD-B316-48E2-A1F1-B88200B54B6D}">
    <text xml:space="preserve">Pending expansion of x5 rectifiers </text>
  </threadedComment>
  <threadedComment ref="W78" dT="2023-01-27T13:27:18.93" personId="{782E12E2-67C1-4DB3-98D5-09F590D7262E}" id="{8AD3CF62-8CA3-48A4-A0E2-9AF6831EB12A}" parentId="{5F32A5FD-B316-48E2-A1F1-B88200B54B6D}">
    <text>upgrade completed</text>
  </threadedComment>
  <threadedComment ref="W79" dT="2022-11-17T11:37:31.22" personId="{EE0D0C17-83F4-475C-A64B-0D4EA7664C36}" id="{3C730509-695D-4379-B16E-A09D87378E61}">
    <text xml:space="preserve">Pending expansion of x5 rectifiers </text>
  </threadedComment>
  <threadedComment ref="AE80" dT="2024-06-04T06:47:33.60" personId="{B34D45DE-CC68-4155-AFB0-9BCA0A5FF4F3}" id="{B846BBE4-1E39-4929-9DEA-A21BB142C6C9}">
    <text>70A allocated. 28/5/24 29A increase</text>
  </threadedComment>
  <threadedComment ref="AE81" dT="2024-06-04T06:48:19.66" personId="{B34D45DE-CC68-4155-AFB0-9BCA0A5FF4F3}" id="{E9BECDF9-9F36-4BE3-986E-193620E89391}">
    <text>70A allocated. 28/5/24 38A increase</text>
  </threadedComment>
  <threadedComment ref="AD86" personId="{548BD758-4F90-4C5F-9BB2-0139B35241B2}" id="{C686C913-ACB7-4203-95BA-A54F4C9435BD}">
    <text>No kit in cabs yet</text>
  </threadedComment>
  <threadedComment ref="AD87" personId="{85E1FF79-A144-42AE-9357-8A09D5B2EAF1}" id="{856E799D-704B-41C0-AD44-03DA8786C925}">
    <text>No kit in cabs yet</text>
  </threadedComment>
  <threadedComment ref="AE94" dT="2023-05-24T08:57:02.61" personId="{B34D45DE-CC68-4155-AFB0-9BCA0A5FF4F3}" id="{6625460F-3136-45B4-895B-26DD59C4F39C}">
    <text>65A allocated</text>
  </threadedComment>
  <threadedComment ref="AE95" dT="2023-05-24T08:57:08.17" personId="{B34D45DE-CC68-4155-AFB0-9BCA0A5FF4F3}" id="{7ECF5251-5CBD-431A-B6E2-03DC8D416063}">
    <text>65A allocated</text>
  </threadedComment>
  <threadedComment ref="B96" dT="2022-08-23T12:42:49.95" personId="{B34D45DE-CC68-4155-AFB0-9BCA0A5FF4F3}" id="{1B8C3581-2C70-4679-9C29-856B8063E37A}">
    <text>85A increase on 19/08/22. Likely to be Redstream Evo RA, though no increase on PEDCF
05/9/22- 48A decrease
12/09/22- 26A decrease
26/09/22- 33A increase
03/10/22- 16A decrease
17/10/22- 24A increase
12/12/22- 100A decrease</text>
  </threadedComment>
  <threadedComment ref="AG99" personId="{85E1FF79-A144-42AE-9357-8A09D5B2EAF1}" id="{C43461D2-979D-40E4-8899-E23853BEBF24}">
    <text>1.5kW per cab on day one, could go to 5kW</text>
  </threadedComment>
  <threadedComment ref="AG99" dT="2022-11-03T13:45:38.92" personId="{EE0D0C17-83F4-475C-A64B-0D4EA7664C36}" id="{76B23404-F744-4522-A62F-1E0683A3888D}" parentId="{C43461D2-979D-40E4-8899-E23853BEBF24}">
    <text>AP Reduced to 4 kW to be in line for the Network sites</text>
  </threadedComment>
  <threadedComment ref="AI99" dT="2023-10-24T10:46:10.92" personId="{EE0D0C17-83F4-475C-A64B-0D4EA7664C36}" id="{D2B177A8-90C9-49F9-A976-48325EC4AB6E}">
    <text xml:space="preserve">Reduced to 13A after M-CE upgrade completed </text>
  </threadedComment>
  <threadedComment ref="AG100" personId="{85E1FF79-A144-42AE-9357-8A09D5B2EAF1}" id="{2016F649-069E-4BE2-A35B-0504DE030E87}">
    <text>1.5kW per cab on day one, could go to 5kW</text>
  </threadedComment>
  <threadedComment ref="AG100" dT="2022-11-03T13:45:47.59" personId="{EE0D0C17-83F4-475C-A64B-0D4EA7664C36}" id="{890E1D14-C344-492B-A2B2-BA5800B3FF6C}" parentId="{2016F649-069E-4BE2-A35B-0504DE030E87}">
    <text>AP Reduced to 4 kW to be in line for the Network sites</text>
  </threadedComment>
  <threadedComment ref="D109" personId="{32CADD77-8658-482A-9219-5397F5907CD4}" id="{39FE0E1F-8987-440E-98AD-703FDD8FE0F3}">
    <text>Take Reading from Rectifier Group - Total Current
This follows on from its extension.
Total load= sw rm 3 use (plus conversion DC-AC, remainder sw rm 1)</text>
  </threadedComment>
  <threadedComment ref="D109" dT="2023-04-25T13:06:08.28" personId="{B34D45DE-CC68-4155-AFB0-9BCA0A5FF4F3}" id="{66672D49-0853-4C82-82CF-C116DFB247FD}" parentId="{39FE0E1F-8987-440E-98AD-703FDD8FE0F3}">
    <text>Last load reading date 22/7/24</text>
  </threadedComment>
  <threadedComment ref="E109" personId="{32CADD77-8658-482A-9219-5397F5907CD4}" id="{3D93C4B2-5336-4905-B7EC-35FEB1E0C0EB}">
    <text>Take Reading from Rectifier Group - Total Current
This follows on from its extension.
Total load= sw rm 3 use (plus conversion DC-AC, remainder sw rm 1)</text>
  </threadedComment>
  <threadedComment ref="E109" dT="2023-04-25T13:06:08.28" personId="{B34D45DE-CC68-4155-AFB0-9BCA0A5FF4F3}" id="{3C79F7EC-E348-436F-8026-4FA9C3D87FCA}" parentId="{3D93C4B2-5336-4905-B7EC-35FEB1E0C0EB}">
    <text>Last load reading date 22/7/24</text>
  </threadedComment>
  <threadedComment ref="D112" personId="{32CADD77-8658-482A-9219-5397F5907CD4}" id="{7B4FFD23-84BD-4F82-AC7A-8EF60736DE2D}">
    <text>Take Reading from Rectifier Group - Total Current
This follows on from its extension.
Last load reading 22/7/24</text>
  </threadedComment>
  <threadedComment ref="E112" personId="{32CADD77-8658-482A-9219-5397F5907CD4}" id="{8F350B2B-D26B-4547-B86B-F283D1A35326}">
    <text>Take Reading from Rectifier Group - Total Current
This follows on from its extension.
Last load reading 22/7/24</text>
  </threadedComment>
  <threadedComment ref="AD112" personId="{85E1FF79-A144-42AE-9357-8A09D5B2EAF1}" id="{EA33B4D4-CE42-4ADF-AAB5-C0B8DF787AD5}">
    <text>No kit in cabs yet</text>
  </threadedComment>
  <threadedComment ref="AD113" personId="{548BD758-4F90-4C5F-9BB2-0139B35241B2}" id="{CC143250-2CFD-45D2-B092-344A5CA91C98}">
    <text>No kit in cabs yet</text>
  </threadedComment>
  <threadedComment ref="B133" personId="{32CADD77-8658-482A-9219-5397F5907CD4}" id="{E7E150BA-B760-48E1-8D30-6A5829AB2085}">
    <text xml:space="preserve">XCY currently manually added as 42
</text>
  </threadedComment>
</ThreadedComments>
</file>

<file path=xl/threadedComments/threadedComment2.xml><?xml version="1.0" encoding="utf-8"?>
<ThreadedComments xmlns="http://schemas.microsoft.com/office/spreadsheetml/2018/threadedcomments" xmlns:x="http://schemas.openxmlformats.org/spreadsheetml/2006/main">
  <threadedComment ref="X1" personId="{B3AF713A-095D-4A1C-B7C3-9F06F23D5A44}" id="{3128CC90-9AC3-4779-88CC-8EB09B67ABB2}">
    <text>Value (W)/54.5/No of plants feeding AC plant then add 10% for losses</text>
  </threadedComment>
  <threadedComment ref="P2" personId="{85E1FF79-A144-42AE-9357-8A09D5B2EAF1}" id="{0D3D5D95-95B3-4033-BA30-9A35F1E4F00D}">
    <text>Security Cage</text>
  </threadedComment>
  <threadedComment ref="B20" personId="{85E1FF79-A144-42AE-9357-8A09D5B2EAF1}" id="{2F1AFB8F-0E22-4FE7-80DC-6FEABDBE522F}">
    <text>a and b side to be viewed as single system</text>
  </threadedComment>
  <threadedComment ref="D20" personId="{85E1FF79-A144-42AE-9357-8A09D5B2EAF1}" id="{0E73A71C-C1A2-47B4-BCEE-B902E5BF8E4D}">
    <text>Inc from 12 to 14 Jan 21</text>
  </threadedComment>
  <threadedComment ref="B21" personId="{548BD758-4F90-4C5F-9BB2-0139B35241B2}" id="{D25619FA-6E1D-470A-8B2C-742747E2B0BA}">
    <text>a and b side to be viewed as single system</text>
  </threadedComment>
  <threadedComment ref="D21" personId="{85E1FF79-A144-42AE-9357-8A09D5B2EAF1}" id="{3D78C261-D0C9-4CBD-9CB4-983F0BAF814F}">
    <text>Inc from 12 to 14 Jan 21</text>
  </threadedComment>
  <threadedComment ref="K28" dT="2024-04-15T08:58:25.59" personId="{B34D45DE-CC68-4155-AFB0-9BCA0A5FF4F3}" id="{EFC44177-A6C0-4FE9-AC17-BB660BD056DC}">
    <text>Load from AxScada</text>
  </threadedComment>
  <threadedComment ref="K29" dT="2024-04-15T08:58:37.64" personId="{B34D45DE-CC68-4155-AFB0-9BCA0A5FF4F3}" id="{12091D0C-42C6-4C50-BA09-48100E9988CB}">
    <text>Load from AxScada</text>
  </threadedComment>
  <threadedComment ref="D30" personId="{85E1FF79-A144-42AE-9357-8A09D5B2EAF1}" id="{396EA0A4-261A-4021-A24E-19D6610B92D1}">
    <text>x3 more connected not used</text>
  </threadedComment>
  <threadedComment ref="D31" personId="{85E1FF79-A144-42AE-9357-8A09D5B2EAF1}" id="{BA9B4F02-CE40-4B62-93F2-57DD62243B50}">
    <text>x3 more connected not used</text>
  </threadedComment>
  <threadedComment ref="B52" personId="{85E1FF79-A144-42AE-9357-8A09D5B2EAF1}" id="{EBF32E5C-E253-448F-9D8F-79EA1E4A7000}">
    <text>Max load on PDU 75kW/ 94kVA, max 130A per phase,</text>
  </threadedComment>
  <threadedComment ref="D52" dT="2023-04-20T11:03:04.66" personId="{72BC5A41-D274-4BC0-BFAF-6529742AB77C}" id="{AC5AD687-0B2D-48C3-B906-35AC5933F5A4}">
    <text>Figures for GIS migration only</text>
  </threadedComment>
  <threadedComment ref="E52" dT="2023-04-20T11:03:04.66" personId="{72BC5A41-D274-4BC0-BFAF-6529742AB77C}" id="{C1AC5E86-B67A-4C21-AC64-11ECFC225A2B}">
    <text>Figures for GIS migration only</text>
  </threadedComment>
  <threadedComment ref="F52" dT="2023-04-20T11:03:04.66" personId="{72BC5A41-D274-4BC0-BFAF-6529742AB77C}" id="{1E10E234-72D3-4A9E-82F6-A1B8D939B48D}">
    <text>Figures for GIS migration only</text>
  </threadedComment>
  <threadedComment ref="M52" personId="{B3AF713A-095D-4A1C-B7C3-9F06F23D5A44}" id="{7C218501-A518-4987-BCE4-7E4D722115CC}">
    <text xml:space="preserve">Refer to AxScada
</text>
  </threadedComment>
  <threadedComment ref="C62" personId="{C15A817A-3BAF-4F38-8FD1-0DCC1FF5E570}" id="{54733D5A-BDCB-4510-A5F3-F2FB48E6201E}">
    <text>Security cage has max allocatoin of 20kW. 
11/12/17 Cage has 16kW remaining</text>
  </threadedComment>
  <threadedComment ref="D112" personId="{85E1FF79-A144-42AE-9357-8A09D5B2EAF1}" id="{8A094481-666A-4883-86AB-6AEA22058F72}">
    <text>(130A per phase) Max 75kW on PDU
https://axscada.ad.plc.cwintra.com/login pmc</text>
  </threadedComment>
</ThreadedComments>
</file>

<file path=xl/threadedComments/threadedComment3.xml><?xml version="1.0" encoding="utf-8"?>
<ThreadedComments xmlns="http://schemas.microsoft.com/office/spreadsheetml/2018/threadedcomments" xmlns:x="http://schemas.openxmlformats.org/spreadsheetml/2006/main">
  <threadedComment ref="G13" dT="2022-09-02T08:50:46.44" personId="{EE0D0C17-83F4-475C-A64B-0D4EA7664C36}" id="{658D8832-E490-4308-A5C0-2275E1E98D40}">
    <text xml:space="preserve">Note this figure taken from iPDU sheets not true running loads but are forecast loads . 160 running load is the 221kW less 61kW Reserved </text>
  </threadedComment>
  <threadedComment ref="H13" dT="2022-09-02T08:51:47.45" personId="{EE0D0C17-83F4-475C-A64B-0D4EA7664C36}" id="{24F6E1D4-DBF6-4C78-B110-A5AB764F9AD1}">
    <text xml:space="preserve">The Reserved figures is based on the live figures from the NFV Ops team </text>
  </threadedComment>
  <threadedComment ref="R13" dT="2022-10-06T13:35:00.66" personId="{EE0D0C17-83F4-475C-A64B-0D4EA7664C36}" id="{FECD739F-7180-46E8-90E0-D75CED46DE85}">
    <text xml:space="preserve">Should this not be 90% for the AC in BKLN05?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2-03-03T08:50:54.62" personId="{B34D45DE-CC68-4155-AFB0-9BCA0A5FF4F3}" id="{70A9B99F-7015-445F-9C56-1CA2527A00B5}">
    <text>This is the TOTAL area, NOT usable area</text>
  </threadedComment>
  <threadedComment ref="D1" personId="{85E1FF79-A144-42AE-9357-8A09D5B2EAF1}" id="{F2D34359-723C-4459-8D1A-BAC37A0E4353}">
    <text>Inc HAC</text>
  </threadedComment>
  <threadedComment ref="F1" personId="{85E1FF79-A144-42AE-9357-8A09D5B2EAF1}" id="{21E86459-B018-4876-8880-9A257C155443}">
    <text>Inc HAC</text>
  </threadedComment>
  <threadedComment ref="B5" dT="2022-03-14T08:38:21.27" personId="{B34D45DE-CC68-4155-AFB0-9BCA0A5FF4F3}" id="{E733F22B-3C16-485A-ACE5-3D298FDA9346}">
    <text>Vax Rm= 9m²</text>
  </threadedComment>
  <threadedComment ref="B7" dT="2022-03-14T08:38:59.99" personId="{B34D45DE-CC68-4155-AFB0-9BCA0A5FF4F3}" id="{0306553E-DBF2-4100-A2C3-CD678BCB3FD5}">
    <text>Sw Rm 2= 450m²</text>
  </threadedComment>
  <threadedComment ref="B13" dT="2022-03-14T08:40:10.34" personId="{B34D45DE-CC68-4155-AFB0-9BCA0A5FF4F3}" id="{23A3E0FB-B3B7-49C6-B4C5-AC84C1897F75}">
    <text>Sw Rm 2= 598m²</text>
  </threadedComment>
  <threadedComment ref="J21" personId="{B3AF713A-095D-4A1C-B7C3-9F06F23D5A44}" id="{3F50C7C3-DA93-41AE-97F6-4D93F7E96D01}">
    <text>allowing for front/back space</text>
  </threadedComment>
  <threadedComment ref="J32" personId="{B3AF713A-095D-4A1C-B7C3-9F06F23D5A44}" id="{9E934B6B-F1DC-4A01-B66A-0B4C8ED8ADF3}">
    <text>allowing for front/back space</text>
  </threadedComment>
  <threadedComment ref="M36" personId="{B3AF713A-095D-4A1C-B7C3-9F06F23D5A44}" id="{BF3846B0-4800-4F2E-A29F-2BD464CD40E5}">
    <text>Basement figs omitted</text>
  </threadedComment>
  <threadedComment ref="B49" dT="2022-03-03T08:50:54.62" personId="{B34D45DE-CC68-4155-AFB0-9BCA0A5FF4F3}" id="{B67DB61F-C9FA-4937-86C9-1165D7E2F800}">
    <text>This is the TOTAL area, NOT usable area</text>
  </threadedComment>
  <threadedComment ref="B50" dT="2022-03-14T08:28:48.43" personId="{B34D45DE-CC68-4155-AFB0-9BCA0A5FF4F3}" id="{AC7EF483-E598-4498-8067-0633DA997477}">
    <text>Sw Rm 2=59m², Sw Rm 3=152m², Sw Rm 4=145m², Sw Rm 5= 18m²</text>
  </threadedComment>
  <threadedComment ref="B51" dT="2022-03-14T08:29:36.35" personId="{B34D45DE-CC68-4155-AFB0-9BCA0A5FF4F3}" id="{7D6C2CA1-EC8B-4E1B-92A5-7F3A40C3E549}">
    <text>Sw Rm2= 445m²</text>
  </threadedComment>
  <threadedComment ref="B52" dT="2022-03-14T08:31:08.67" personId="{B34D45DE-CC68-4155-AFB0-9BCA0A5FF4F3}" id="{9A2702D3-7B46-4FFA-BA7D-B825CFD584AF}">
    <text>Comms Rm= 22m²</text>
  </threadedComment>
  <threadedComment ref="B53" dT="2022-03-14T08:31:50.26" personId="{B34D45DE-CC68-4155-AFB0-9BCA0A5FF4F3}" id="{014D749D-0601-4F46-8E56-51326AB2B704}">
    <text>Comms Rm=26m²</text>
  </threadedComment>
  <threadedComment ref="B54" dT="2022-03-14T08:32:37.47" personId="{B34D45DE-CC68-4155-AFB0-9BCA0A5FF4F3}" id="{878F0D92-3E99-4FBF-8FC3-FB45FC2C1C74}">
    <text>Sw Rm 2= 16m²</text>
  </threadedComment>
  <threadedComment ref="B55" dT="2022-03-14T08:33:17.67" personId="{B34D45DE-CC68-4155-AFB0-9BCA0A5FF4F3}" id="{CD34E952-E5D7-4BEB-BE86-716A55B720B3}">
    <text>Sw Rm 2= 181m²</text>
  </threadedComment>
  <threadedComment ref="B56" dT="2022-03-14T08:34:45.66" personId="{B34D45DE-CC68-4155-AFB0-9BCA0A5FF4F3}" id="{A2A909BA-E663-4638-B7D2-44EE78305791}">
    <text>Sw Rm 3= 328m²</text>
  </threadedComment>
  <threadedComment ref="B58" dT="2022-03-14T08:35:41.91" personId="{B34D45DE-CC68-4155-AFB0-9BCA0A5FF4F3}" id="{98B17BCE-AC73-4889-BD36-F7F7F84B226F}">
    <text>Sw Rm 2= 159m²</text>
  </threadedComment>
  <threadedComment ref="B61" dT="2022-03-14T08:37:15.22" personId="{B34D45DE-CC68-4155-AFB0-9BCA0A5FF4F3}" id="{BA72F4BA-159A-4E57-8A72-9FB97AEBE627}">
    <text>Sw Rm B= 150m²</text>
  </threadedComment>
  <threadedComment ref="C93" personId="{EE0487DD-FD54-476B-8422-30719B6E3BCC}" id="{5DE2416C-750A-4334-A597-6A2147E6A45D}">
    <text>Average suit line area 8.5m2</text>
  </threadedComment>
  <threadedComment ref="E93" personId="{EE0487DD-FD54-476B-8422-30719B6E3BCC}" id="{7D7D05E8-014F-4621-BE94-0F03F63C27E5}">
    <text>number of cabs multiplied by average 0.8m2 per cab</text>
  </threadedComment>
  <threadedComment ref="G93" personId="{EE0487DD-FD54-476B-8422-30719B6E3BCC}" id="{2B4490C1-B9C4-48C9-8300-926BC65D2954}">
    <text>Area currently ready for immediate deployment.  Taken as total number of suite lines in site.  Average suite line 8.5(m2)</text>
  </threadedComment>
  <threadedComment ref="H93" personId="{EE0487DD-FD54-476B-8422-30719B6E3BCC}" id="{FB707332-0C38-4557-8306-72ADCCE5BC78}">
    <text>Taken as max site can support if we fit-out unused areas.  To be done for April report</text>
  </threadedComment>
  <threadedComment ref="B94" personId="{C3EB0A9F-9AC6-4131-BBDE-C1A5F9F8DF16}" id="{6B3845D7-B3C6-449C-9240-0DB8751DF7D7}">
    <text>F=20
H=0</text>
  </threadedComment>
  <threadedComment ref="B95" personId="{C3EB0A9F-9AC6-4131-BBDE-C1A5F9F8DF16}" id="{F09865DB-9C5B-44B9-80A7-32BBE2F86205}">
    <text xml:space="preserve">F=10
H=8
</text>
  </threadedComment>
  <threadedComment ref="B96" personId="{C3EB0A9F-9AC6-4131-BBDE-C1A5F9F8DF16}" id="{1AB73024-FDA6-4CFF-9714-EF85F0646855}">
    <text>F=5
H=7</text>
  </threadedComment>
  <threadedComment ref="B97" personId="{C3EB0A9F-9AC6-4131-BBDE-C1A5F9F8DF16}" id="{39889C24-36F5-4764-917C-98D4489DF220}">
    <text>F=16
H=1</text>
  </threadedComment>
  <threadedComment ref="B98" personId="{EE0487DD-FD54-476B-8422-30719B6E3BCC}" id="{C4CD9F3C-90A5-423F-8179-638637AD22BD}">
    <text>Average suit line area 8.5m2</text>
  </threadedComment>
  <threadedComment ref="D98" personId="{EE0487DD-FD54-476B-8422-30719B6E3BCC}" id="{BC2DB773-D665-46AE-9608-BDDB94EA651A}">
    <text>Area currently ready for immediate deployment.  Taken as total number of suite lines in site.  Average suite line 8.5(m2)</text>
  </threadedComment>
  <threadedComment ref="E98" personId="{EE0487DD-FD54-476B-8422-30719B6E3BCC}" id="{3C58D041-526D-4543-AA11-A9752D1B1334}">
    <text>Taken as max site can support if we fit-out unused areas</text>
  </threadedComment>
  <threadedComment ref="B105" personId="{EE0487DD-FD54-476B-8422-30719B6E3BCC}" id="{8B1556D4-19B0-4193-9AF6-4A5EF49E32E0}">
    <text>Average suit line area 8.5m2</text>
  </threadedComment>
  <threadedComment ref="D105" personId="{EE0487DD-FD54-476B-8422-30719B6E3BCC}" id="{10732EAD-E866-4FC4-928F-EB39590F1697}">
    <text>Area currently ready for immediate deployment.  Taken as total number of suite lines in site.  Average suite line 8.5(m2)</text>
  </threadedComment>
</ThreadedComments>
</file>

<file path=xl/threadedComments/threadedComment5.xml><?xml version="1.0" encoding="utf-8"?>
<ThreadedComments xmlns="http://schemas.microsoft.com/office/spreadsheetml/2018/threadedcomments" xmlns:x="http://schemas.openxmlformats.org/spreadsheetml/2006/main">
  <threadedComment ref="F8" dT="2022-04-01T10:22:48.90" personId="{EE0D0C17-83F4-475C-A64B-0D4EA7664C36}" id="{4685E38E-5C26-41A3-B52F-5C93672AEE7D}">
    <text>update to 465 from 300 after tactical upgrade</text>
  </threadedComment>
  <threadedComment ref="F9" dT="2021-12-17T10:05:29.70" personId="{B34D45DE-CC68-4155-AFB0-9BCA0A5FF4F3}" id="{5DCA1E5D-C795-4F26-8D6A-0F1E16E5B4C0}">
    <text>Increased from 450 kW Dec 2021</text>
  </threadedComment>
  <threadedComment ref="F9" dT="2022-01-05T13:40:23.03" personId="{9BE93E36-AB66-D74D-B47E-4F96BAE9C5B8}" id="{CD4E7BAB-1CEF-6048-A29C-CBFC31D43CEF}" parentId="{5DCA1E5D-C795-4F26-8D6A-0F1E16E5B4C0}">
    <text>Updated from 480 to 462 to reflect actual capacity post upgrade</text>
  </threadedComment>
  <threadedComment ref="F11" dT="2022-01-05T15:29:09.47" personId="{9BE93E36-AB66-D74D-B47E-4F96BAE9C5B8}" id="{29969460-9525-A040-99FA-B28BD18A14D8}">
    <text>Reduced for 478kW to 460kW based on revised tactical figures</text>
  </threadedComment>
  <threadedComment ref="F12" dT="2021-05-18T12:58:15.66" personId="{B34D45DE-CC68-4155-AFB0-9BCA0A5FF4F3}" id="{45949F55-1DAD-4F20-B97B-22C762394451}">
    <text>Increased from 407kW May 21</text>
  </threadedComment>
  <threadedComment ref="F12" dT="2022-01-05T15:28:04.54" personId="{9BE93E36-AB66-D74D-B47E-4F96BAE9C5B8}" id="{7E1323F4-E596-A741-B8BD-6D559B7AE59B}" parentId="{45949F55-1DAD-4F20-B97B-22C762394451}">
    <text>Updated to 481kW to 480kW</text>
  </threadedComment>
  <threadedComment ref="F13" dT="2021-12-17T10:44:04.50" personId="{B34D45DE-CC68-4155-AFB0-9BCA0A5FF4F3}" id="{C8F34929-DADF-4B41-9316-CE8D0459CD0B}">
    <text>Increased from 450 kW Dec 2021</text>
  </threadedComment>
  <threadedComment ref="F13" dT="2022-01-05T13:52:52.36" personId="{9BE93E36-AB66-D74D-B47E-4F96BAE9C5B8}" id="{B6535A70-D525-6F48-A6D6-2599BACE52F8}" parentId="{C8F34929-DADF-4B41-9316-CE8D0459CD0B}">
    <text>Updated from 473 to 468 to reflect actual capacity post upgrade</text>
  </threadedComment>
</ThreadedComments>
</file>

<file path=xl/threadedComments/threadedComment6.xml><?xml version="1.0" encoding="utf-8"?>
<ThreadedComments xmlns="http://schemas.microsoft.com/office/spreadsheetml/2018/threadedcomments" xmlns:x="http://schemas.openxmlformats.org/spreadsheetml/2006/main">
  <threadedComment ref="P7" dT="2022-06-06T14:41:16.42" personId="{72BC5A41-D274-4BC0-BFAF-6529742AB77C}" id="{5A662948-2B62-4C10-AC2B-1BA1F18B35FE}">
    <text>SBS XL 170F-FT = High Temp
6V165/6 = Standard</text>
  </threadedComment>
  <threadedComment ref="E8" personId="{DE6A4407-C4E0-4AB4-9306-E2D1C4D83F6A}" id="{D83C5F4B-F536-4650-857B-EB7F445A8F99}">
    <text xml:space="preserve">
SBS XL170-FT Deployed </text>
  </threadedComment>
  <threadedComment ref="E9" personId="{DE6A4407-C4E0-4AB4-9306-E2D1C4D83F6A}" id="{B3FD0EA4-2532-436F-9E04-055D1A86A5A7}">
    <text xml:space="preserve">SBS XL170-FT Deployed 
</text>
  </threadedComment>
  <threadedComment ref="E10" personId="{DE6A4407-C4E0-4AB4-9306-E2D1C4D83F6A}" id="{B1AEB70D-B9E9-410E-B0B8-6239877F6544}">
    <text xml:space="preserve">SBS XL170-FT Deployed 
</text>
  </threadedComment>
  <threadedComment ref="E11" personId="{DE6A4407-C4E0-4AB4-9306-E2D1C4D83F6A}" id="{3C1DAD60-39DA-4D2F-B45D-324BA43DDFAC}">
    <text xml:space="preserve">SBS XL170-FT Deployed 
</text>
  </threadedComment>
  <threadedComment ref="E12" personId="{DE6A4407-C4E0-4AB4-9306-E2D1C4D83F6A}" id="{D5B9A91A-1A26-48D1-BEEF-5333E4B7460B}">
    <text xml:space="preserve">SBS XL170-FT Deployed 
</text>
  </threadedComment>
  <threadedComment ref="E21" personId="{DE6A4407-C4E0-4AB4-9306-E2D1C4D83F6A}" id="{4FED0C80-BC61-40CF-8962-65BD98030C3C}">
    <text xml:space="preserve">
SBS XL170-FT Deployed </text>
  </threadedComment>
  <threadedComment ref="E22" personId="{DE6A4407-C4E0-4AB4-9306-E2D1C4D83F6A}" id="{B2BECC07-C043-42E3-93DC-7DF070F18027}">
    <text xml:space="preserve">
SBS XL170-FT Deployed </text>
  </threadedComment>
  <threadedComment ref="E23" personId="{DE6A4407-C4E0-4AB4-9306-E2D1C4D83F6A}" id="{70B6A88E-D687-4309-8199-CA1A9EC96F21}">
    <text xml:space="preserve">
SBS XL170-FT Deployed </text>
  </threadedComment>
  <threadedComment ref="E24" personId="{DE6A4407-C4E0-4AB4-9306-E2D1C4D83F6A}" id="{B6C82E95-B66A-4CBC-A9E6-DAA2B5123E2F}">
    <text xml:space="preserve">
SBS XL170-FT Deployed </text>
  </threadedComment>
  <threadedComment ref="E25" personId="{DE6A4407-C4E0-4AB4-9306-E2D1C4D83F6A}" id="{8033D3D1-2D70-47FF-BA3F-57C3EE827A54}">
    <text xml:space="preserve">
SBS XL170-FT Deployed </text>
  </threadedComment>
  <threadedComment ref="E26" personId="{DE6A4407-C4E0-4AB4-9306-E2D1C4D83F6A}" id="{6B0AA231-AB18-4DCA-9891-4F738BAEB27A}">
    <text>SBS XL170-FT Deployed</text>
  </threadedComment>
  <threadedComment ref="E27" personId="{DE6A4407-C4E0-4AB4-9306-E2D1C4D83F6A}" id="{05F53E69-EA95-47DF-A5F0-DB8EA387A0E1}">
    <text xml:space="preserve">SBS XL170-FT Deployed
</text>
  </threadedComment>
  <threadedComment ref="E28" personId="{DE6A4407-C4E0-4AB4-9306-E2D1C4D83F6A}" id="{F326492E-D904-4FEF-A04A-81C33920CD8B}">
    <text xml:space="preserve">SBS XL170-FT Deployed
</text>
  </threadedComment>
  <threadedComment ref="E29" personId="{DE6A4407-C4E0-4AB4-9306-E2D1C4D83F6A}" id="{D53BD43A-196F-440C-84AC-244F8200F21B}">
    <text xml:space="preserve">SBS XL170-FT Deployed
</text>
  </threadedComment>
  <threadedComment ref="E30" personId="{DE6A4407-C4E0-4AB4-9306-E2D1C4D83F6A}" id="{AF65D181-1845-42C0-870E-119DBDFAE246}">
    <text xml:space="preserve">SBS XL170-FT Deployed
</text>
  </threadedComment>
  <threadedComment ref="E31" personId="{DE6A4407-C4E0-4AB4-9306-E2D1C4D83F6A}" id="{8AD7241C-CE4E-49AA-8DB8-0F5D59FAF173}">
    <text xml:space="preserve">SBS XL170-FT Deployed
</text>
  </threadedComment>
  <threadedComment ref="E32" personId="{DE6A4407-C4E0-4AB4-9306-E2D1C4D83F6A}" id="{A134F7C7-0788-4780-8C89-3AC68F5AF3A6}">
    <text xml:space="preserve">SBS XL170-FT Deployed
</text>
  </threadedComment>
  <threadedComment ref="X32" personId="{46EF934A-B4F4-4BB9-BE36-4116C5B4C6E8}" id="{9DF3675F-9C34-41EE-89A4-D0B25EA295B1}">
    <text xml:space="preserve">picked up M as majority of cells are lower year 2012 (front cab is 2013)
</text>
  </threadedComment>
  <threadedComment ref="E33" personId="{DE6A4407-C4E0-4AB4-9306-E2D1C4D83F6A}" id="{BF0E26FD-356A-4680-8654-DB88EA223DAC}">
    <text xml:space="preserve">SBS XL170-FT Deployed
</text>
  </threadedComment>
  <threadedComment ref="B34" personId="{32CADD77-8658-482A-9219-5397F5907CD4}" id="{D309D111-B686-4314-81FE-8AF01246B1A9}">
    <text xml:space="preserve">4 stud SBS390
</text>
  </threadedComment>
  <threadedComment ref="E34" personId="{DE6A4407-C4E0-4AB4-9306-E2D1C4D83F6A}" id="{5758691E-3D8A-40D6-A956-3D6A417E272B}">
    <text xml:space="preserve">SBS XL170-FT Deployed
</text>
  </threadedComment>
  <threadedComment ref="E35" personId="{DE6A4407-C4E0-4AB4-9306-E2D1C4D83F6A}" id="{404D9240-FA39-4F84-A812-A15923CABFCB}">
    <text xml:space="preserve">SBS XL170-FT Deployed
</text>
  </threadedComment>
  <threadedComment ref="I41" dT="2022-05-23T15:31:27.78" personId="{4C454DCE-6724-46D9-911F-C22E05996F3E}" id="{497BDEA4-AD02-49A3-A31F-B37D939DE2A3}">
    <text>Only 2 strings</text>
  </threadedComment>
  <threadedComment ref="I42" dT="2022-05-23T15:31:36.17" personId="{4C454DCE-6724-46D9-911F-C22E05996F3E}" id="{7E40EB83-EC40-483F-8BDD-CAA4D6DF36DC}">
    <text>Only 2 strings</text>
  </threadedComment>
  <threadedComment ref="E46" personId="{DE6A4407-C4E0-4AB4-9306-E2D1C4D83F6A}" id="{B0EBC8A2-15DE-4EB0-95AC-2A24E329E509}">
    <text xml:space="preserve">SBS XL170-FT Deployed
</text>
  </threadedComment>
  <threadedComment ref="I49" dT="2022-05-23T15:35:33.05" personId="{4C454DCE-6724-46D9-911F-C22E05996F3E}" id="{39AD9EC5-3C29-4A9A-AFE7-4C0E98CD6D2E}">
    <text>Only 2 strings</text>
  </threadedComment>
  <threadedComment ref="I50" dT="2022-05-23T15:35:33.05" personId="{4C454DCE-6724-46D9-911F-C22E05996F3E}" id="{7CF9619D-0AF1-42A9-892C-82CC53CBD06C}">
    <text>Only 2 strings</text>
  </threadedComment>
  <threadedComment ref="I66" dT="2022-05-23T15:39:17.42" personId="{4C454DCE-6724-46D9-911F-C22E05996F3E}" id="{355DBF94-7A42-42F8-833F-A9999A151942}">
    <text>Only 2 strings</text>
  </threadedComment>
  <threadedComment ref="I67" dT="2022-05-23T15:39:17.42" personId="{4C454DCE-6724-46D9-911F-C22E05996F3E}" id="{D6121A3D-7329-4C76-A2C1-F2AD1AB1EECD}">
    <text>Only 2 strings</text>
  </threadedComment>
  <threadedComment ref="I74" dT="2022-05-23T15:37:24.93" personId="{4C454DCE-6724-46D9-911F-C22E05996F3E}" id="{A3C0D69B-E60A-43F1-AC1E-0A2B01B60092}">
    <text>Only 2 strings</text>
  </threadedComment>
  <threadedComment ref="I75" dT="2022-05-23T15:37:24.93" personId="{4C454DCE-6724-46D9-911F-C22E05996F3E}" id="{0FA5F5F1-ECC5-416E-8C23-3FCFFF89FE50}">
    <text>Only 2 strings</text>
  </threadedComment>
  <threadedComment ref="E76" personId="{DE6A4407-C4E0-4AB4-9306-E2D1C4D83F6A}" id="{C0AAC8CF-185F-4D85-A33F-2DC7B830853D}">
    <text xml:space="preserve">SBS XL170-FT Deployed
</text>
  </threadedComment>
  <threadedComment ref="E77" personId="{DE6A4407-C4E0-4AB4-9306-E2D1C4D83F6A}" id="{507EA7AF-2077-4C8D-A11F-D3606EB263B0}">
    <text xml:space="preserve">SBS XL170-FT Deployed
</text>
  </threadedComment>
  <threadedComment ref="I82" dT="2022-05-23T15:34:24.10" personId="{4C454DCE-6724-46D9-911F-C22E05996F3E}" id="{7B74B866-E230-43C2-8611-E9F6A5F08287}">
    <text>Only 2 strings</text>
  </threadedComment>
  <threadedComment ref="I83" dT="2022-05-23T15:34:24.10" personId="{4C454DCE-6724-46D9-911F-C22E05996F3E}" id="{4157D5EA-8C7F-4420-A964-317B41CD97D2}">
    <text>Only 2 strings</text>
  </threadedComment>
  <threadedComment ref="E89" personId="{DE6A4407-C4E0-4AB4-9306-E2D1C4D83F6A}" id="{8FC1F881-D213-4A7B-9032-F6F31F35CCCA}">
    <text xml:space="preserve">
SBS XL170-FT Deployed </text>
  </threadedComment>
  <threadedComment ref="E90" personId="{DE6A4407-C4E0-4AB4-9306-E2D1C4D83F6A}" id="{673EA18B-777E-4504-94D3-8CD1CDD008D8}">
    <text xml:space="preserve">
SBS XL170-FT Deployed </text>
  </threadedComment>
  <threadedComment ref="E91" personId="{DE6A4407-C4E0-4AB4-9306-E2D1C4D83F6A}" id="{D535D790-B66A-437F-9791-0FADBE459C65}">
    <text xml:space="preserve">
SBS XL170-FT Deployed </text>
  </threadedComment>
  <threadedComment ref="E92" personId="{DE6A4407-C4E0-4AB4-9306-E2D1C4D83F6A}" id="{44BEA983-0959-4273-88C5-473B56E7D837}">
    <text xml:space="preserve">
SBS XL170-FT Deployed </text>
  </threadedComment>
  <threadedComment ref="E116" personId="{DE6A4407-C4E0-4AB4-9306-E2D1C4D83F6A}" id="{BD5565D9-0E69-474F-B23B-70D9820BD55D}">
    <text xml:space="preserve">SBS XL170-FT Deployed 
</text>
  </threadedComment>
  <threadedComment ref="E117" personId="{DE6A4407-C4E0-4AB4-9306-E2D1C4D83F6A}" id="{FDA2F383-4F39-4256-8CB2-1B2BC8D8D98B}">
    <text xml:space="preserve">SBS XL170-FT Deployed 
</text>
  </threadedComment>
  <threadedComment ref="E118" personId="{A17EBE9E-335E-4B86-B866-B87ABC062DA9}" id="{3641F859-71BB-4521-92EE-6AD9AF69DE30}">
    <text>Old XHN batteries installed Jul-19</text>
  </threadedComment>
  <threadedComment ref="F118" personId="{A17EBE9E-335E-4B86-B866-B87ABC062DA9}" id="{EFBD4339-5C6F-4B3E-8F2D-D35CA5A50FCB}">
    <text>Old XHN batteries installed Jul-19</text>
  </threadedComment>
  <threadedComment ref="G118" personId="{A17EBE9E-335E-4B86-B866-B87ABC062DA9}" id="{F31C47DD-C206-45DA-AD32-AA87653806CF}">
    <text>Old XHN batteries installed Jul-19</text>
  </threadedComment>
  <threadedComment ref="H118" personId="{A17EBE9E-335E-4B86-B866-B87ABC062DA9}" id="{23BCA1C2-47EA-4D2E-A82D-7157CE6517AD}">
    <text>Old XHN batteries installed Jul-19</text>
  </threadedComment>
  <threadedComment ref="I118" personId="{A17EBE9E-335E-4B86-B866-B87ABC062DA9}" id="{8BAC345D-533F-4BE9-9CA8-886EB7577287}">
    <text>Old XHN batteries installed Jul-19</text>
  </threadedComment>
  <threadedComment ref="J118" personId="{A17EBE9E-335E-4B86-B866-B87ABC062DA9}" id="{D6C969B2-A2CC-4016-A6E3-3753DFC2519D}">
    <text>Old XHN batteries installed Jul-19</text>
  </threadedComment>
  <threadedComment ref="K118" personId="{A17EBE9E-335E-4B86-B866-B87ABC062DA9}" id="{60121BE1-42E9-4918-998F-E6040681221C}">
    <text>Old XHN batteries installed Jul-19</text>
  </threadedComment>
  <threadedComment ref="L118" personId="{A17EBE9E-335E-4B86-B866-B87ABC062DA9}" id="{018556B1-0AD7-47FF-B860-22C5B1ADB4E1}">
    <text>Old XHN batteries installed Jul-19</text>
  </threadedComment>
  <threadedComment ref="M118" personId="{A17EBE9E-335E-4B86-B866-B87ABC062DA9}" id="{B891BF97-F17A-431C-A7A3-B3D544DDDF7B}">
    <text>Old XHN batteries installed Jul-19</text>
  </threadedComment>
  <threadedComment ref="E119" personId="{A17EBE9E-335E-4B86-B866-B87ABC062DA9}" id="{C116E032-05AE-4536-9EAB-4524DCE0480B}">
    <text>Old XHN batteries installed Jul-19</text>
  </threadedComment>
  <threadedComment ref="F119" personId="{A17EBE9E-335E-4B86-B866-B87ABC062DA9}" id="{F0CAF06D-99BB-41AD-933C-DF9A47945116}">
    <text>Old XHN batteries installed Jul-19</text>
  </threadedComment>
  <threadedComment ref="G119" personId="{A17EBE9E-335E-4B86-B866-B87ABC062DA9}" id="{D6207AD5-CEC1-444E-B85B-9D9C4D3C04CA}">
    <text>Old XHN batteries installed Jul-19</text>
  </threadedComment>
  <threadedComment ref="H119" personId="{A17EBE9E-335E-4B86-B866-B87ABC062DA9}" id="{9B89B4A7-0052-4278-9E36-ECA67BE3ED4F}">
    <text>Old XHN batteries installed Jul-19</text>
  </threadedComment>
  <threadedComment ref="I119" personId="{A17EBE9E-335E-4B86-B866-B87ABC062DA9}" id="{69195778-6B67-4B81-B1F2-80A40D4FFD68}">
    <text>Old XHN batteries installed Jul-19</text>
  </threadedComment>
  <threadedComment ref="J119" personId="{A17EBE9E-335E-4B86-B866-B87ABC062DA9}" id="{617538B4-912E-4829-B907-F19A8080E0F9}">
    <text>Old XHN batteries installed Jul-19</text>
  </threadedComment>
  <threadedComment ref="K119" personId="{A17EBE9E-335E-4B86-B866-B87ABC062DA9}" id="{EF9123EF-286F-4F75-A45D-7043FA85D622}">
    <text>Old XHN batteries installed Jul-19</text>
  </threadedComment>
  <threadedComment ref="L119" personId="{A17EBE9E-335E-4B86-B866-B87ABC062DA9}" id="{0BB29EFD-C36E-49D0-8630-1BD1F127606C}">
    <text>Old XHN batteries installed Jul-19</text>
  </threadedComment>
  <threadedComment ref="M119" personId="{A17EBE9E-335E-4B86-B866-B87ABC062DA9}" id="{786DB729-34A0-419D-84AA-AFEF5D12C8BF}">
    <text>Old XHN batteries installed Jul-19</text>
  </threadedComment>
  <threadedComment ref="B122" personId="{32CADD77-8658-482A-9219-5397F5907CD4}" id="{6FC08B0E-6F55-4A75-BDDE-0F3DE5759BA9}">
    <text>4 stud Youassa battery</text>
  </threadedComment>
  <threadedComment ref="B140" personId="{46EF934A-B4F4-4BB9-BE36-4116C5B4C6E8}" id="{7A6E4966-3917-4A91-9236-4AE072AB84C8}">
    <text>VPC price April-14
AMD - updated Nov 15 for budget forecast FY16/17
AMD updated Oct 28 for budget forecast 18/19
AMD -  updatedt for HT batts and connection kit
AMD - VPC price  16/8/2021 for LRP forcasting</text>
  </threadedComment>
  <threadedComment ref="B141" dT="2021-08-17T08:23:26.27" personId="{9BE93E36-AB66-D74D-B47E-4F96BAE9C5B8}" id="{20F7E3F3-75A1-714B-BE64-BAB01E8C6937}">
    <text>String price plus connection kit 16/08/2021</text>
  </threadedComment>
</ThreadedComments>
</file>

<file path=xl/threadedComments/threadedComment7.xml><?xml version="1.0" encoding="utf-8"?>
<ThreadedComments xmlns="http://schemas.microsoft.com/office/spreadsheetml/2018/threadedcomments" xmlns:x="http://schemas.openxmlformats.org/spreadsheetml/2006/main">
  <threadedComment ref="H24" personId="{85E1FF79-A144-42AE-9357-8A09D5B2EAF1}" id="{4EDEDC09-00DA-48C9-BAC6-F30DC7D93CB9}">
    <text xml:space="preserve"> x10 MiO cabs are 600 wide, so calculated space as x8 800mm cabs</text>
  </threadedComment>
  <threadedComment ref="H26" personId="{85E1FF79-A144-42AE-9357-8A09D5B2EAF1}" id="{BB511B31-6EC4-4E0C-9CDD-B7795B5408B6}">
    <text>x11 MiO cabs are 600 wide</text>
  </threadedComment>
  <threadedComment ref="B108" personId="{85E1FF79-A144-42AE-9357-8A09D5B2EAF1}" id="{63615BED-0553-4D6C-BB94-8FFE5C1DE644}">
    <text>12 cabs used, space inc for x15= 50% either side of suite line</text>
  </threadedComment>
</ThreadedComments>
</file>

<file path=xl/threadedComments/threadedComment8.xml><?xml version="1.0" encoding="utf-8"?>
<ThreadedComments xmlns="http://schemas.microsoft.com/office/spreadsheetml/2018/threadedcomments" xmlns:x="http://schemas.openxmlformats.org/spreadsheetml/2006/main">
  <threadedComment ref="C10" personId="{85E1FF79-A144-42AE-9357-8A09D5B2EAF1}" id="{62538D89-F0C3-4B47-A4B0-15F681B96B07}">
    <text>Oct 16 Decreases inc Voicemail MTA, SMS-C,  MCA and ACF cabs (11kW), then gradual decreases since</text>
  </threadedComment>
  <threadedComment ref="B24" personId="{B3AF713A-095D-4A1C-B7C3-9F06F23D5A44}" id="{6CE72EDB-A286-4206-A19D-202AA12B3CB7}">
    <text>(System Load)</text>
  </threadedComment>
  <threadedComment ref="D40" personId="{B3AF713A-095D-4A1C-B7C3-9F06F23D5A44}" id="{D8908291-2EF0-43DF-940E-040DA6BDD392}">
    <text>Multiply by 10% for load on DC plants</text>
  </threadedComment>
</ThreadedComments>
</file>

<file path=xl/threadedComments/threadedComment9.xml><?xml version="1.0" encoding="utf-8"?>
<ThreadedComments xmlns="http://schemas.microsoft.com/office/spreadsheetml/2018/threadedcomments" xmlns:x="http://schemas.openxmlformats.org/spreadsheetml/2006/main">
  <threadedComment ref="D2" personId="{32CADD77-8658-482A-9219-5397F5907CD4}" id="{CFED8188-36A3-4F39-B7B7-16B825289199}">
    <text>Correction values
RBS 5kW
Normal Office 5kW
Big office 40kW</text>
  </threadedComment>
  <threadedComment ref="O8" personId="{85E1FF79-A144-42AE-9357-8A09D5B2EAF1}" id="{D9EA6A4D-6AF9-47AF-8B4C-10285468917A}">
    <text>Inconsistent readings</text>
  </threadedComment>
  <threadedComment ref="O11" personId="{85E1FF79-A144-42AE-9357-8A09D5B2EAF1}" id="{0EE6DB90-7F1F-4208-AA0F-47E4DD8E2F38}">
    <text>Not reporting from 21/09-25/09</text>
  </threadedComment>
  <threadedComment ref="G15" personId="{85E1FF79-A144-42AE-9357-8A09D5B2EAF1}" id="{4CB26DF1-E77B-45CC-A0E6-68A63941FB94}">
    <text>Not reporting</text>
  </threadedComment>
  <threadedComment ref="Y39" personId="{32CADD77-8658-482A-9219-5397F5907CD4}" id="{2265B3F7-F189-4287-9B46-F2671168B8F1}">
    <text>Cell equation is =(400*L4*1.73)/1000</text>
  </threadedComment>
  <threadedComment ref="D40" personId="{32CADD77-8658-482A-9219-5397F5907CD4}" id="{6E064348-F489-4DDA-A726-97E4EAA67073}">
    <text>Correction values
RBS 5kW
Normal Office 5kW
Big office 40kW</text>
  </threadedComment>
  <threadedComment ref="Y40" personId="{32CADD77-8658-482A-9219-5397F5907CD4}" id="{074F7ADD-F493-49FB-A0ED-069E44C80FA8}">
    <text>cell equation is =(400*L5*1.73)/1000</text>
  </threadedComment>
  <threadedComment ref="H41" personId="{85E1FF79-A144-42AE-9357-8A09D5B2EAF1}" id="{EFA4BCFC-9C14-40CA-A7C1-F8B38B878BBF}">
    <text>Reading of 1.15. Didn’t record for a few days as BEMS systems was upgraded</text>
  </threadedComment>
  <threadedComment ref="H43" personId="{85E1FF79-A144-42AE-9357-8A09D5B2EAF1}" id="{BD709AEA-31B1-465D-90E7-45D0010C3933}">
    <text>Actual value of 0.52. Didn’t record for a few days as BEMS systems was upgraded</text>
  </threadedComment>
  <threadedComment ref="I43" personId="{85E1FF79-A144-42AE-9357-8A09D5B2EAF1}" id="{E6D7435A-BCB3-4F37-8ABF-4E70DBEFCB97}">
    <text>Didn't report for first 3 days of March due to BEMS upgrades</text>
  </threadedComment>
  <threadedComment ref="I44" personId="{85E1FF79-A144-42AE-9357-8A09D5B2EAF1}" id="{76490329-1D75-445A-ACCB-32962EACB6B6}">
    <text>Didn't report for first 3 days of March due to BEMS upgrades</text>
  </threadedComment>
  <threadedComment ref="L44" personId="{85E1FF79-A144-42AE-9357-8A09D5B2EAF1}" id="{E7894465-E42A-44E4-8F52-56BFA51C7294}">
    <text>Actual fig of 0.97, BMS did not report 20-29 June</text>
  </threadedComment>
  <threadedComment ref="D56" personId="{32CADD77-8658-482A-9219-5397F5907CD4}" id="{E696FC18-A270-4065-AC5E-66A7AAE96267}">
    <text>Correction values
RBS 5kW
Normal Office 5kW
Big office 40kW</text>
  </threadedComment>
  <threadedComment ref="B58" personId="{B3AF713A-095D-4A1C-B7C3-9F06F23D5A44}" id="{39B1BBA3-09A1-4DB5-9A9D-EFEB6EEA9462}">
    <text>Tech load from BMS= 294kW (add TSi kW fig).
BMS PUE figs inc TSis from Jan onwards</text>
  </threadedComment>
  <threadedComment ref="B59" personId="{B3AF713A-095D-4A1C-B7C3-9F06F23D5A44}" id="{CF2107A9-A594-4926-99FA-C9726AF4319F}">
    <text>Tech load from BMS= 231kW (add TSi kW fig).
BMS PUE figs inc TSis from Jan onwards</text>
  </threadedComment>
  <threadedComment ref="I62" personId="{B3AF713A-095D-4A1C-B7C3-9F06F23D5A44}" id="{40B67558-E61C-41E1-B059-F0CE0FFFA4F3}">
    <text>This is an approx fig as between 10-21 Mar the value was -0.04 resulting in an average of 0.93</text>
  </threadedComment>
  <threadedComment ref="D72" personId="{32CADD77-8658-482A-9219-5397F5907CD4}" id="{F11308A2-D5AD-445C-A6C5-09CD28A83D40}">
    <text>Correction values
RBS 5kW
Normal Office 5kW
Big office 40kW</text>
  </threadedComment>
  <threadedComment ref="B74" personId="{B3AF713A-095D-4A1C-B7C3-9F06F23D5A44}" id="{3117A83C-7259-4DB9-9AEC-47AED9C0E540}">
    <text>Tech load from BMS= 294kW (add TSi kW fig).
BMS PUE figs inc TSis from Jan onwards</text>
  </threadedComment>
  <threadedComment ref="B75" personId="{B3AF713A-095D-4A1C-B7C3-9F06F23D5A44}" id="{18452732-BEB5-42FE-A6EE-8CBA4263D38F}">
    <text>Tech load from BMS= 231kW (add TSi kW fig).
BMS PUE figs inc TSis from Jan onwards</text>
  </threadedComment>
  <threadedComment ref="D96" personId="{32CADD77-8658-482A-9219-5397F5907CD4}" id="{8FF17046-B721-4868-A6C2-BD2062C940C8}">
    <text>Correction values
RBS 5kW
Normal Office 5kW
Big office 40kW</text>
  </threadedComment>
</ThreadedComments>
</file>

<file path=xl/threadedComments/threadedComment10.xml><?xml version="1.0" encoding="utf-8"?>
<ThreadedComments xmlns="http://schemas.microsoft.com/office/spreadsheetml/2018/threadedcomments" xmlns:x="http://schemas.openxmlformats.org/spreadsheetml/2006/main">
  <threadedComment ref="C26" dT="2022-04-01T13:34:42.42" personId="{4C454DCE-6724-46D9-911F-C22E05996F3E}" id="{A76B342E-5CC2-483C-B7C2-AC595CE972D8}">
    <text>Figures adjust to match 346kw limit</text>
  </threadedComment>
  <threadedComment ref="C60" dT="2022-04-01T13:34:42.42" personId="{4C454DCE-6724-46D9-911F-C22E05996F3E}" id="{3A670D8D-AAB7-49E2-9C06-A3F9A0845993}">
    <text>Figures adjust to match 346kw limit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9.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1.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8.bin"/><Relationship Id="rId4" Type="http://schemas.microsoft.com/office/2017/10/relationships/threadedComment" Target="../threadedComments/threadedComment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3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3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1.bin"/><Relationship Id="rId4" Type="http://schemas.microsoft.com/office/2017/10/relationships/threadedComment" Target="../threadedComments/threadedComment9.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44.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M136"/>
  <sheetViews>
    <sheetView tabSelected="1" showRuler="0" zoomScale="80" zoomScaleNormal="80" zoomScaleSheetLayoutView="100" workbookViewId="0">
      <pane xSplit="1" ySplit="3" topLeftCell="B55" activePane="bottomRight" state="frozen"/>
      <selection pane="bottomRight" activeCell="E66" sqref="E66"/>
      <selection pane="bottomLeft"/>
      <selection pane="topRight"/>
    </sheetView>
  </sheetViews>
  <sheetFormatPr defaultColWidth="8.6640625" defaultRowHeight="12.75" customHeight="1" outlineLevelCol="1"/>
  <cols>
    <col min="1" max="1" width="16.1640625" style="198" customWidth="1"/>
    <col min="2" max="2" width="22.5" style="197" customWidth="1"/>
    <col min="3" max="3" width="11.1640625" style="197" bestFit="1" customWidth="1" outlineLevel="1"/>
    <col min="4" max="4" width="9.6640625" style="197" customWidth="1" outlineLevel="1"/>
    <col min="5" max="5" width="11.6640625" style="197" customWidth="1"/>
    <col min="6" max="6" width="10.1640625" style="197" customWidth="1"/>
    <col min="7" max="7" width="11.5" style="197" customWidth="1"/>
    <col min="8" max="8" width="16.5" style="286" hidden="1" customWidth="1" outlineLevel="1"/>
    <col min="9" max="9" width="15.5" style="197" hidden="1" customWidth="1" outlineLevel="1"/>
    <col min="10" max="10" width="11.5" style="197" hidden="1" customWidth="1" outlineLevel="1"/>
    <col min="11" max="11" width="11.6640625" style="197" hidden="1" customWidth="1" outlineLevel="1"/>
    <col min="12" max="13" width="11.1640625" style="197" hidden="1" customWidth="1" outlineLevel="1"/>
    <col min="14" max="14" width="10.6640625" style="197" customWidth="1" collapsed="1"/>
    <col min="15" max="15" width="10.6640625" style="197" customWidth="1"/>
    <col min="16" max="16" width="10.33203125" style="197" customWidth="1"/>
    <col min="17" max="17" width="10.1640625" style="197" customWidth="1"/>
    <col min="18" max="18" width="14.1640625" style="197" bestFit="1" customWidth="1"/>
    <col min="19" max="19" width="15.6640625" style="286" bestFit="1" customWidth="1"/>
    <col min="20" max="20" width="15.6640625" style="197" customWidth="1"/>
    <col min="21" max="21" width="11.83203125" style="197" customWidth="1"/>
    <col min="22" max="22" width="11.6640625" style="197" bestFit="1" customWidth="1"/>
    <col min="23" max="23" width="17.1640625" style="197" bestFit="1" customWidth="1"/>
    <col min="24" max="24" width="18.5" style="197" customWidth="1"/>
    <col min="25" max="25" width="0.1640625" style="198" customWidth="1"/>
    <col min="26" max="26" width="23.5" style="198" customWidth="1"/>
    <col min="27" max="27" width="0.5" style="198" customWidth="1"/>
    <col min="28" max="28" width="47.1640625" style="198" customWidth="1"/>
    <col min="29" max="29" width="7.1640625" style="198" bestFit="1" customWidth="1"/>
    <col min="30" max="30" width="56.5" style="198" bestFit="1" customWidth="1"/>
    <col min="31" max="31" width="8.6640625" style="198" customWidth="1"/>
    <col min="32" max="32" width="49.6640625" style="198" customWidth="1"/>
    <col min="33" max="33" width="8.6640625" style="198" customWidth="1"/>
    <col min="34" max="34" width="44" style="198" customWidth="1"/>
    <col min="35" max="35" width="5.6640625" style="198" customWidth="1"/>
    <col min="36" max="36" width="44.1640625" style="198" bestFit="1" customWidth="1"/>
    <col min="37" max="37" width="6.5" style="198" bestFit="1" customWidth="1"/>
    <col min="38" max="38" width="46.6640625" style="198" bestFit="1" customWidth="1"/>
    <col min="39" max="39" width="6.5" style="198" bestFit="1" customWidth="1"/>
    <col min="40" max="40" width="49.6640625" style="198" customWidth="1"/>
    <col min="41" max="41" width="7.5" style="198" bestFit="1" customWidth="1"/>
    <col min="42" max="42" width="50.83203125" style="198" customWidth="1"/>
    <col min="43" max="43" width="5.1640625" style="198" bestFit="1" customWidth="1"/>
    <col min="44" max="44" width="37.1640625" style="198" customWidth="1"/>
    <col min="45" max="45" width="7.5" style="198" bestFit="1" customWidth="1"/>
    <col min="46" max="46" width="36.5" style="198" bestFit="1" customWidth="1"/>
    <col min="47" max="47" width="7.5" style="198" customWidth="1"/>
    <col min="48" max="48" width="33" style="198" customWidth="1"/>
    <col min="49" max="49" width="5.1640625" style="198" bestFit="1" customWidth="1"/>
    <col min="50" max="50" width="38.1640625" style="198" customWidth="1"/>
    <col min="51" max="51" width="6.5" style="198" customWidth="1"/>
    <col min="52" max="52" width="33.6640625" style="198" customWidth="1"/>
    <col min="53" max="53" width="3.6640625" style="198" bestFit="1" customWidth="1"/>
    <col min="54" max="54" width="36.6640625" style="198" customWidth="1"/>
    <col min="55" max="55" width="3.6640625" style="198" bestFit="1" customWidth="1"/>
    <col min="56" max="56" width="34.6640625" style="198" customWidth="1"/>
    <col min="57" max="57" width="3.6640625" style="198" bestFit="1" customWidth="1"/>
    <col min="58" max="58" width="39" style="198" customWidth="1"/>
    <col min="59" max="59" width="3.6640625" style="198" bestFit="1" customWidth="1"/>
    <col min="60" max="63" width="8.6640625" style="198"/>
    <col min="64" max="64" width="17" style="198" customWidth="1"/>
    <col min="65" max="65" width="18" style="198" customWidth="1"/>
    <col min="66" max="16384" width="8.6640625" style="198"/>
  </cols>
  <sheetData>
    <row r="1" spans="1:65" ht="27">
      <c r="A1" s="1044" t="s">
        <v>0</v>
      </c>
      <c r="B1" s="1043"/>
      <c r="C1" s="198"/>
      <c r="D1" s="1048"/>
      <c r="E1" s="1045" t="s">
        <v>1</v>
      </c>
      <c r="F1" s="1046" t="s">
        <v>2</v>
      </c>
      <c r="G1" s="1047" t="s">
        <v>3</v>
      </c>
      <c r="H1" s="665" t="s">
        <v>4</v>
      </c>
      <c r="I1" s="666" t="s">
        <v>5</v>
      </c>
      <c r="J1" s="1362" t="s">
        <v>6</v>
      </c>
      <c r="K1" s="1362"/>
      <c r="L1" s="1362"/>
      <c r="M1" s="1362"/>
      <c r="N1" s="1237"/>
      <c r="O1" s="1237"/>
      <c r="P1" s="1237"/>
      <c r="Q1" s="1237"/>
      <c r="V1" s="414"/>
    </row>
    <row r="2" spans="1:65" ht="54" customHeight="1">
      <c r="A2" s="199" t="s">
        <v>7</v>
      </c>
      <c r="B2" s="1042" t="s">
        <v>8</v>
      </c>
      <c r="C2" s="200" t="s">
        <v>9</v>
      </c>
      <c r="D2" s="201" t="s">
        <v>10</v>
      </c>
      <c r="E2" s="201" t="s">
        <v>11</v>
      </c>
      <c r="F2" s="201" t="s">
        <v>12</v>
      </c>
      <c r="G2" s="201" t="s">
        <v>13</v>
      </c>
      <c r="H2" s="202" t="s">
        <v>14</v>
      </c>
      <c r="I2" s="1041" t="s">
        <v>15</v>
      </c>
      <c r="J2" s="1041" t="s">
        <v>16</v>
      </c>
      <c r="K2" s="1042" t="s">
        <v>17</v>
      </c>
      <c r="L2" s="200" t="s">
        <v>18</v>
      </c>
      <c r="M2" s="200" t="s">
        <v>19</v>
      </c>
      <c r="N2" s="200" t="s">
        <v>20</v>
      </c>
      <c r="O2" s="200" t="s">
        <v>21</v>
      </c>
      <c r="P2" s="200" t="s">
        <v>22</v>
      </c>
      <c r="Q2" s="200" t="s">
        <v>23</v>
      </c>
      <c r="R2" s="200" t="s">
        <v>24</v>
      </c>
      <c r="S2" s="920" t="s">
        <v>25</v>
      </c>
      <c r="T2" s="200" t="s">
        <v>26</v>
      </c>
      <c r="U2" s="200" t="s">
        <v>27</v>
      </c>
      <c r="V2" s="849" t="s">
        <v>28</v>
      </c>
      <c r="W2" s="568" t="s">
        <v>29</v>
      </c>
      <c r="X2" s="812" t="s">
        <v>30</v>
      </c>
      <c r="Y2" s="204" t="s">
        <v>31</v>
      </c>
      <c r="Z2" s="572" t="s">
        <v>32</v>
      </c>
      <c r="AA2" s="203" t="s">
        <v>33</v>
      </c>
      <c r="AB2" s="517" t="s">
        <v>34</v>
      </c>
      <c r="AC2" s="421" t="s">
        <v>20</v>
      </c>
      <c r="AD2" s="206" t="s">
        <v>34</v>
      </c>
      <c r="AE2" s="205" t="s">
        <v>23</v>
      </c>
      <c r="AF2" s="206" t="s">
        <v>34</v>
      </c>
      <c r="AG2" s="205" t="s">
        <v>23</v>
      </c>
      <c r="AH2" s="206" t="s">
        <v>34</v>
      </c>
      <c r="AI2" s="205" t="s">
        <v>23</v>
      </c>
      <c r="AJ2" s="206" t="s">
        <v>34</v>
      </c>
      <c r="AK2" s="205" t="s">
        <v>23</v>
      </c>
      <c r="AL2" s="206" t="s">
        <v>34</v>
      </c>
      <c r="AM2" s="205" t="s">
        <v>23</v>
      </c>
      <c r="AN2" s="206" t="s">
        <v>34</v>
      </c>
      <c r="AO2" s="205" t="s">
        <v>23</v>
      </c>
      <c r="AP2" s="206" t="s">
        <v>34</v>
      </c>
      <c r="AQ2" s="205" t="s">
        <v>23</v>
      </c>
      <c r="AR2" s="206" t="s">
        <v>34</v>
      </c>
      <c r="AS2" s="205" t="s">
        <v>23</v>
      </c>
      <c r="AT2" s="206" t="s">
        <v>34</v>
      </c>
      <c r="AU2" s="205" t="s">
        <v>23</v>
      </c>
      <c r="AV2" s="206" t="s">
        <v>34</v>
      </c>
      <c r="AW2" s="205" t="s">
        <v>23</v>
      </c>
      <c r="AX2" s="206" t="s">
        <v>34</v>
      </c>
      <c r="AY2" s="205" t="s">
        <v>23</v>
      </c>
      <c r="AZ2" s="206" t="s">
        <v>34</v>
      </c>
      <c r="BA2" s="205" t="s">
        <v>23</v>
      </c>
      <c r="BB2" s="206" t="s">
        <v>34</v>
      </c>
      <c r="BC2" s="205" t="s">
        <v>23</v>
      </c>
      <c r="BD2" s="206" t="s">
        <v>34</v>
      </c>
      <c r="BE2" s="205" t="s">
        <v>23</v>
      </c>
      <c r="BF2" s="206" t="s">
        <v>34</v>
      </c>
      <c r="BG2" s="207" t="s">
        <v>23</v>
      </c>
    </row>
    <row r="3" spans="1:65" ht="13.15">
      <c r="A3" s="208"/>
      <c r="B3" s="209"/>
      <c r="C3" s="209"/>
      <c r="D3" s="211"/>
      <c r="E3" s="211"/>
      <c r="F3" s="211"/>
      <c r="G3" s="211"/>
      <c r="H3" s="210"/>
      <c r="I3" s="211"/>
      <c r="J3" s="211"/>
      <c r="K3" s="211"/>
      <c r="L3" s="211"/>
      <c r="M3" s="211"/>
      <c r="N3" s="211"/>
      <c r="O3" s="211"/>
      <c r="P3" s="211"/>
      <c r="Q3" s="211"/>
      <c r="R3" s="211"/>
      <c r="S3" s="210"/>
      <c r="T3" s="211"/>
      <c r="U3" s="211"/>
      <c r="V3" s="211"/>
      <c r="W3" s="211"/>
      <c r="Z3" s="208"/>
      <c r="AB3" s="271" t="s">
        <v>35</v>
      </c>
      <c r="AC3" s="271"/>
      <c r="AD3" s="271"/>
      <c r="AE3" s="271"/>
      <c r="AF3" s="197"/>
      <c r="BK3" s="213"/>
      <c r="BL3" s="214"/>
      <c r="BM3" s="214"/>
    </row>
    <row r="4" spans="1:65" ht="13.15">
      <c r="A4" s="244" t="s">
        <v>36</v>
      </c>
      <c r="B4" s="215" t="s">
        <v>37</v>
      </c>
      <c r="C4" s="216" t="s">
        <v>38</v>
      </c>
      <c r="D4" s="1071">
        <v>631</v>
      </c>
      <c r="E4" s="1071">
        <v>630</v>
      </c>
      <c r="F4" s="532">
        <f t="shared" ref="F4:F35" si="0">E4/M4</f>
        <v>0.54545454545454541</v>
      </c>
      <c r="G4" s="1249">
        <f>SUM(E4:E8)*54.5/1000</f>
        <v>170.91200000000001</v>
      </c>
      <c r="H4" s="217">
        <v>36</v>
      </c>
      <c r="I4" s="218">
        <v>3.5</v>
      </c>
      <c r="J4" s="215">
        <f t="shared" ref="J4:J16" si="1">INT(H4*I4)</f>
        <v>126</v>
      </c>
      <c r="K4" s="215">
        <v>18</v>
      </c>
      <c r="L4" s="215">
        <f>INT((H4-K4)*I4)</f>
        <v>63</v>
      </c>
      <c r="M4" s="215">
        <f>INT((L4*1000)/54.5)</f>
        <v>1155</v>
      </c>
      <c r="N4" s="215">
        <f t="shared" ref="N4:N8" si="2">SUM(AC4)</f>
        <v>54</v>
      </c>
      <c r="O4" s="536">
        <f t="shared" ref="O4:O35" si="3">(E4+N4)/M4</f>
        <v>0.59220779220779218</v>
      </c>
      <c r="P4" s="1249">
        <f>SUM(N4:N8)*54.5/1000</f>
        <v>13.897500000000001</v>
      </c>
      <c r="Q4" s="555">
        <f t="shared" ref="Q4:Q8" si="4">SUM(AE4:BG4)</f>
        <v>10</v>
      </c>
      <c r="R4" s="1226">
        <f>SUM(Q4:Q8)*54.5/1000</f>
        <v>1.0900000000000001</v>
      </c>
      <c r="S4" s="562">
        <f t="shared" ref="S4:S35" si="5">SUM(E4+N4+Q4)</f>
        <v>694</v>
      </c>
      <c r="T4" s="1214">
        <f>SUM(S4:S8)*54.5/1000</f>
        <v>185.89949999999999</v>
      </c>
      <c r="U4" s="219">
        <f>SUM(M4-S4)</f>
        <v>461</v>
      </c>
      <c r="V4" s="1218">
        <f>SUM(U4:U8)*54.5/1000</f>
        <v>128.83799999999999</v>
      </c>
      <c r="W4" s="220">
        <f t="shared" ref="W4:W35" si="6">S4/M4</f>
        <v>0.60086580086580088</v>
      </c>
      <c r="X4" s="1324">
        <f>(G4+P4+R4)/'Building Capability'!$D$3</f>
        <v>0.59015714285714294</v>
      </c>
      <c r="Y4" s="245">
        <f>W4</f>
        <v>0.60086580086580088</v>
      </c>
      <c r="Z4" s="1294">
        <f>(G4+P4+R4)/'Building Capability'!$F$3</f>
        <v>0.59015714285714294</v>
      </c>
      <c r="AA4" s="1297"/>
      <c r="AB4" s="417" t="s">
        <v>39</v>
      </c>
      <c r="AC4" s="424">
        <v>54</v>
      </c>
      <c r="AD4" s="222" t="s">
        <v>40</v>
      </c>
      <c r="AE4" s="221">
        <v>5</v>
      </c>
      <c r="AF4" s="222" t="s">
        <v>41</v>
      </c>
      <c r="AG4" s="221">
        <v>5</v>
      </c>
      <c r="AH4" s="222"/>
      <c r="AI4" s="221"/>
      <c r="AJ4" s="222"/>
      <c r="AK4" s="221"/>
      <c r="AL4" s="222"/>
      <c r="AM4" s="221"/>
      <c r="AN4" s="222"/>
      <c r="AO4" s="221"/>
      <c r="AP4" s="222"/>
      <c r="AQ4" s="221"/>
      <c r="AR4" s="222"/>
      <c r="AS4" s="221"/>
      <c r="AT4" s="222"/>
      <c r="AU4" s="221"/>
      <c r="AV4" s="222"/>
      <c r="AW4" s="221"/>
      <c r="AX4" s="222"/>
      <c r="AY4" s="221"/>
      <c r="AZ4" s="222"/>
      <c r="BA4" s="221"/>
      <c r="BB4" s="222"/>
      <c r="BC4" s="221"/>
      <c r="BD4" s="222"/>
      <c r="BE4" s="221"/>
      <c r="BF4" s="222"/>
      <c r="BG4" s="223"/>
      <c r="BL4" s="1285" t="s">
        <v>42</v>
      </c>
      <c r="BM4" s="1285"/>
    </row>
    <row r="5" spans="1:65" ht="12.75" customHeight="1">
      <c r="A5" s="225" t="s">
        <v>36</v>
      </c>
      <c r="B5" s="226" t="s">
        <v>43</v>
      </c>
      <c r="C5" s="227" t="s">
        <v>38</v>
      </c>
      <c r="D5" s="1072">
        <v>606</v>
      </c>
      <c r="E5" s="1072">
        <v>607</v>
      </c>
      <c r="F5" s="533">
        <f t="shared" si="0"/>
        <v>0.52554112554112553</v>
      </c>
      <c r="G5" s="1250"/>
      <c r="H5" s="228">
        <v>36</v>
      </c>
      <c r="I5" s="229">
        <v>3.5</v>
      </c>
      <c r="J5" s="226">
        <f t="shared" si="1"/>
        <v>126</v>
      </c>
      <c r="K5" s="226">
        <v>18</v>
      </c>
      <c r="L5" s="226">
        <f>INT((H5-K5)*I5)</f>
        <v>63</v>
      </c>
      <c r="M5" s="226">
        <f>INT((L5*1000)/54.5)</f>
        <v>1155</v>
      </c>
      <c r="N5" s="226">
        <f t="shared" si="2"/>
        <v>54</v>
      </c>
      <c r="O5" s="536">
        <f t="shared" si="3"/>
        <v>0.5722943722943723</v>
      </c>
      <c r="P5" s="1250"/>
      <c r="Q5" s="440">
        <f t="shared" si="4"/>
        <v>0</v>
      </c>
      <c r="R5" s="1227"/>
      <c r="S5" s="563">
        <f t="shared" si="5"/>
        <v>661</v>
      </c>
      <c r="T5" s="1220"/>
      <c r="U5" s="230">
        <f t="shared" ref="U5:U75" si="7">SUM(M5-S5)</f>
        <v>494</v>
      </c>
      <c r="V5" s="1221"/>
      <c r="W5" s="231">
        <f t="shared" si="6"/>
        <v>0.5722943722943723</v>
      </c>
      <c r="X5" s="1325"/>
      <c r="Y5" s="198">
        <f t="shared" ref="Y5:Y77" si="8">W5</f>
        <v>0.5722943722943723</v>
      </c>
      <c r="Z5" s="1295"/>
      <c r="AA5" s="1297"/>
      <c r="AB5" s="415" t="s">
        <v>39</v>
      </c>
      <c r="AC5" s="422">
        <v>54</v>
      </c>
      <c r="AD5" s="233"/>
      <c r="AE5" s="232"/>
      <c r="AF5" s="233"/>
      <c r="AG5" s="232"/>
      <c r="AH5" s="233"/>
      <c r="AI5" s="232"/>
      <c r="AJ5" s="233"/>
      <c r="AK5" s="232"/>
      <c r="AL5" s="233"/>
      <c r="AM5" s="232"/>
      <c r="AN5" s="233"/>
      <c r="AO5" s="232"/>
      <c r="AP5" s="233"/>
      <c r="AQ5" s="232"/>
      <c r="AR5" s="233"/>
      <c r="AS5" s="232"/>
      <c r="AT5" s="233"/>
      <c r="AU5" s="232"/>
      <c r="AV5" s="233"/>
      <c r="AW5" s="232"/>
      <c r="AX5" s="233"/>
      <c r="AY5" s="232"/>
      <c r="AZ5" s="233"/>
      <c r="BA5" s="232"/>
      <c r="BB5" s="233"/>
      <c r="BC5" s="232"/>
      <c r="BD5" s="233"/>
      <c r="BE5" s="232"/>
      <c r="BF5" s="233"/>
      <c r="BG5" s="234"/>
      <c r="BK5" s="224"/>
      <c r="BL5" s="493" t="s">
        <v>44</v>
      </c>
      <c r="BM5" s="493" t="s">
        <v>45</v>
      </c>
    </row>
    <row r="6" spans="1:65" ht="13.15">
      <c r="A6" s="235" t="s">
        <v>36</v>
      </c>
      <c r="B6" s="226" t="s">
        <v>46</v>
      </c>
      <c r="C6" s="227" t="s">
        <v>38</v>
      </c>
      <c r="D6" s="1071">
        <v>466</v>
      </c>
      <c r="E6" s="1071">
        <v>476</v>
      </c>
      <c r="F6" s="533">
        <f t="shared" si="0"/>
        <v>0.41212121212121211</v>
      </c>
      <c r="G6" s="1250"/>
      <c r="H6" s="228">
        <v>36</v>
      </c>
      <c r="I6" s="229">
        <v>3.5</v>
      </c>
      <c r="J6" s="226">
        <f t="shared" si="1"/>
        <v>126</v>
      </c>
      <c r="K6" s="226">
        <v>18</v>
      </c>
      <c r="L6" s="226">
        <f t="shared" ref="L6:L76" si="9">INT((H6-K6)*I6)</f>
        <v>63</v>
      </c>
      <c r="M6" s="226">
        <f t="shared" ref="M6:M76" si="10">INT((L6*1000)/54.5)</f>
        <v>1155</v>
      </c>
      <c r="N6" s="226">
        <f t="shared" si="2"/>
        <v>48</v>
      </c>
      <c r="O6" s="536">
        <f t="shared" si="3"/>
        <v>0.45367965367965368</v>
      </c>
      <c r="P6" s="1250"/>
      <c r="Q6" s="440">
        <f t="shared" si="4"/>
        <v>10</v>
      </c>
      <c r="R6" s="1227"/>
      <c r="S6" s="563">
        <f t="shared" si="5"/>
        <v>534</v>
      </c>
      <c r="T6" s="1215"/>
      <c r="U6" s="230">
        <f t="shared" si="7"/>
        <v>621</v>
      </c>
      <c r="V6" s="1219"/>
      <c r="W6" s="231">
        <f t="shared" si="6"/>
        <v>0.46233766233766233</v>
      </c>
      <c r="X6" s="1325"/>
      <c r="Y6" s="198">
        <f t="shared" si="8"/>
        <v>0.46233766233766233</v>
      </c>
      <c r="Z6" s="1295"/>
      <c r="AA6" s="1297"/>
      <c r="AB6" s="415" t="s">
        <v>39</v>
      </c>
      <c r="AC6" s="422">
        <v>48</v>
      </c>
      <c r="AD6" s="236" t="s">
        <v>40</v>
      </c>
      <c r="AE6" s="324">
        <v>5</v>
      </c>
      <c r="AF6" s="236" t="s">
        <v>41</v>
      </c>
      <c r="AG6" s="324">
        <v>5</v>
      </c>
      <c r="AH6" s="236"/>
      <c r="AI6" s="324"/>
      <c r="AJ6" s="233"/>
      <c r="AK6" s="324"/>
      <c r="AL6" s="233"/>
      <c r="AM6" s="232"/>
      <c r="AN6" s="233"/>
      <c r="AO6" s="232"/>
      <c r="AP6" s="233"/>
      <c r="AQ6" s="232"/>
      <c r="AR6" s="233"/>
      <c r="AS6" s="232"/>
      <c r="AT6" s="233"/>
      <c r="AU6" s="232"/>
      <c r="AV6" s="233"/>
      <c r="AW6" s="232"/>
      <c r="AX6" s="233"/>
      <c r="AY6" s="232"/>
      <c r="AZ6" s="233"/>
      <c r="BA6" s="232"/>
      <c r="BB6" s="233"/>
      <c r="BC6" s="232"/>
      <c r="BD6" s="233"/>
      <c r="BE6" s="232"/>
      <c r="BF6" s="233"/>
      <c r="BG6" s="234"/>
      <c r="BK6" s="498"/>
      <c r="BL6" s="493" t="s">
        <v>47</v>
      </c>
      <c r="BM6" s="493"/>
    </row>
    <row r="7" spans="1:65" ht="13.15">
      <c r="A7" s="257" t="s">
        <v>36</v>
      </c>
      <c r="B7" s="226" t="s">
        <v>48</v>
      </c>
      <c r="C7" s="227" t="s">
        <v>38</v>
      </c>
      <c r="D7" s="1193">
        <v>696</v>
      </c>
      <c r="E7" s="1193">
        <v>696</v>
      </c>
      <c r="F7" s="533">
        <f t="shared" si="0"/>
        <v>0.60259740259740258</v>
      </c>
      <c r="G7" s="1258">
        <f>G4/'Building Capability'!$D$3</f>
        <v>0.54257777777777783</v>
      </c>
      <c r="H7" s="228">
        <v>36</v>
      </c>
      <c r="I7" s="229">
        <v>3.5</v>
      </c>
      <c r="J7" s="226">
        <f t="shared" si="1"/>
        <v>126</v>
      </c>
      <c r="K7" s="226">
        <v>18</v>
      </c>
      <c r="L7" s="226">
        <f t="shared" si="9"/>
        <v>63</v>
      </c>
      <c r="M7" s="226">
        <f t="shared" si="10"/>
        <v>1155</v>
      </c>
      <c r="N7" s="226">
        <f t="shared" si="2"/>
        <v>50</v>
      </c>
      <c r="O7" s="536">
        <f t="shared" si="3"/>
        <v>0.64588744588744584</v>
      </c>
      <c r="P7" s="1251">
        <f>P4/'Building Capability'!$D$3</f>
        <v>4.411904761904762E-2</v>
      </c>
      <c r="Q7" s="440">
        <f t="shared" si="4"/>
        <v>0</v>
      </c>
      <c r="R7" s="1228">
        <f>R4/'Building Capability'!$D$3</f>
        <v>3.4603174603174604E-3</v>
      </c>
      <c r="S7" s="563">
        <f t="shared" si="5"/>
        <v>746</v>
      </c>
      <c r="T7" s="1216">
        <f>T4/'Building Capability'!$D$3</f>
        <v>0.59015714285714282</v>
      </c>
      <c r="U7" s="230">
        <f t="shared" si="7"/>
        <v>409</v>
      </c>
      <c r="V7" s="1230">
        <f>V4/'Building Capability'!$D$3</f>
        <v>0.40900952380952377</v>
      </c>
      <c r="W7" s="231">
        <f t="shared" si="6"/>
        <v>0.64588744588744584</v>
      </c>
      <c r="X7" s="1325"/>
      <c r="Y7" s="198">
        <f t="shared" si="8"/>
        <v>0.64588744588744584</v>
      </c>
      <c r="Z7" s="1295"/>
      <c r="AA7" s="1297"/>
      <c r="AB7" s="415" t="s">
        <v>39</v>
      </c>
      <c r="AC7" s="422">
        <v>50</v>
      </c>
      <c r="AD7" s="233"/>
      <c r="AE7" s="232"/>
      <c r="AF7" s="487"/>
      <c r="AG7" s="489"/>
      <c r="AH7" s="528"/>
      <c r="AI7" s="529"/>
      <c r="AJ7" s="233"/>
      <c r="AK7" s="335"/>
      <c r="AL7" s="233"/>
      <c r="AM7" s="232"/>
      <c r="AN7" s="233"/>
      <c r="AO7" s="232"/>
      <c r="AP7" s="233"/>
      <c r="AQ7" s="232"/>
      <c r="AR7" s="233"/>
      <c r="AS7" s="232"/>
      <c r="AT7" s="233"/>
      <c r="AU7" s="232"/>
      <c r="AV7" s="233"/>
      <c r="AW7" s="232"/>
      <c r="AX7" s="233"/>
      <c r="AY7" s="232"/>
      <c r="AZ7" s="233"/>
      <c r="BA7" s="232"/>
      <c r="BB7" s="233"/>
      <c r="BC7" s="232"/>
      <c r="BD7" s="233"/>
      <c r="BE7" s="232"/>
      <c r="BF7" s="233"/>
      <c r="BG7" s="234"/>
      <c r="BK7" s="494"/>
      <c r="BL7" s="493" t="s">
        <v>49</v>
      </c>
      <c r="BM7" s="495"/>
    </row>
    <row r="8" spans="1:65" ht="13.15">
      <c r="A8" s="249" t="s">
        <v>36</v>
      </c>
      <c r="B8" s="253" t="s">
        <v>50</v>
      </c>
      <c r="C8" s="250" t="s">
        <v>38</v>
      </c>
      <c r="D8" s="1073">
        <v>743</v>
      </c>
      <c r="E8" s="1073">
        <v>727</v>
      </c>
      <c r="F8" s="1070">
        <f t="shared" si="0"/>
        <v>0.62943722943722946</v>
      </c>
      <c r="G8" s="1260"/>
      <c r="H8" s="251">
        <v>36</v>
      </c>
      <c r="I8" s="252">
        <v>3.5</v>
      </c>
      <c r="J8" s="253">
        <f>INT(H8*I8)</f>
        <v>126</v>
      </c>
      <c r="K8" s="253">
        <v>18</v>
      </c>
      <c r="L8" s="253">
        <f t="shared" si="9"/>
        <v>63</v>
      </c>
      <c r="M8" s="253">
        <f t="shared" si="10"/>
        <v>1155</v>
      </c>
      <c r="N8" s="253">
        <f t="shared" si="2"/>
        <v>49</v>
      </c>
      <c r="O8" s="537">
        <f t="shared" si="3"/>
        <v>0.67186147186147183</v>
      </c>
      <c r="P8" s="1252"/>
      <c r="Q8" s="556">
        <f t="shared" si="4"/>
        <v>0</v>
      </c>
      <c r="R8" s="1229"/>
      <c r="S8" s="564">
        <f t="shared" si="5"/>
        <v>776</v>
      </c>
      <c r="T8" s="1217"/>
      <c r="U8" s="254">
        <f t="shared" si="7"/>
        <v>379</v>
      </c>
      <c r="V8" s="1231"/>
      <c r="W8" s="255">
        <f t="shared" si="6"/>
        <v>0.67186147186147183</v>
      </c>
      <c r="X8" s="1333"/>
      <c r="Y8" s="256">
        <f t="shared" si="8"/>
        <v>0.67186147186147183</v>
      </c>
      <c r="Z8" s="1296"/>
      <c r="AA8" s="1297"/>
      <c r="AB8" s="416" t="s">
        <v>39</v>
      </c>
      <c r="AC8" s="423">
        <v>49</v>
      </c>
      <c r="AD8" s="242"/>
      <c r="AE8" s="241"/>
      <c r="AF8" s="499"/>
      <c r="AG8" s="500"/>
      <c r="AH8" s="785"/>
      <c r="AI8" s="783"/>
      <c r="AJ8" s="242"/>
      <c r="AK8" s="241"/>
      <c r="AL8" s="332"/>
      <c r="AM8" s="333"/>
      <c r="AN8" s="334"/>
      <c r="AO8" s="333"/>
      <c r="AP8" s="242"/>
      <c r="AQ8" s="241"/>
      <c r="AR8" s="242"/>
      <c r="AS8" s="241"/>
      <c r="AT8" s="242"/>
      <c r="AU8" s="241"/>
      <c r="AV8" s="242"/>
      <c r="AW8" s="241"/>
      <c r="AX8" s="242"/>
      <c r="AY8" s="241"/>
      <c r="AZ8" s="242"/>
      <c r="BA8" s="241"/>
      <c r="BB8" s="242"/>
      <c r="BC8" s="241"/>
      <c r="BD8" s="242"/>
      <c r="BE8" s="241"/>
      <c r="BF8" s="242"/>
      <c r="BG8" s="243"/>
      <c r="BK8" s="496"/>
      <c r="BL8" s="493" t="s">
        <v>51</v>
      </c>
      <c r="BM8" s="495"/>
    </row>
    <row r="9" spans="1:65" ht="13.15">
      <c r="A9" s="225" t="s">
        <v>52</v>
      </c>
      <c r="B9" s="266" t="s">
        <v>53</v>
      </c>
      <c r="C9" s="267" t="s">
        <v>38</v>
      </c>
      <c r="D9" s="727">
        <v>806</v>
      </c>
      <c r="E9" s="727">
        <v>804</v>
      </c>
      <c r="F9" s="552">
        <f t="shared" si="0"/>
        <v>0.69610389610389611</v>
      </c>
      <c r="G9" s="1241">
        <f>SUM(E9:E16)*54.5/1000</f>
        <v>386.95</v>
      </c>
      <c r="H9" s="268">
        <v>36</v>
      </c>
      <c r="I9" s="269">
        <v>3.5</v>
      </c>
      <c r="J9" s="266">
        <f t="shared" si="1"/>
        <v>126</v>
      </c>
      <c r="K9" s="266">
        <v>18</v>
      </c>
      <c r="L9" s="266">
        <f t="shared" si="9"/>
        <v>63</v>
      </c>
      <c r="M9" s="266">
        <f t="shared" si="10"/>
        <v>1155</v>
      </c>
      <c r="N9" s="266">
        <f>SUM(AC9)</f>
        <v>83</v>
      </c>
      <c r="O9" s="553">
        <f t="shared" si="3"/>
        <v>0.76796536796536796</v>
      </c>
      <c r="P9" s="1241">
        <f>SUM(N9:N16)*54.5/1000</f>
        <v>39.021999999999998</v>
      </c>
      <c r="Q9" s="266">
        <f>SUM(AE9:BG9)</f>
        <v>55</v>
      </c>
      <c r="R9" s="1247">
        <f>SUM(Q9:Q16)*54.5/1000</f>
        <v>38.040999999999997</v>
      </c>
      <c r="S9" s="562">
        <f t="shared" si="5"/>
        <v>942</v>
      </c>
      <c r="T9" s="1214">
        <f>SUM(S9:S16)*54.5/1000</f>
        <v>464.01299999999998</v>
      </c>
      <c r="U9" s="279">
        <f t="shared" si="7"/>
        <v>213</v>
      </c>
      <c r="V9" s="1218">
        <f>SUM(U9:U16)*54.5/1000</f>
        <v>39.567</v>
      </c>
      <c r="W9" s="554">
        <f t="shared" si="6"/>
        <v>0.81558441558441563</v>
      </c>
      <c r="X9" s="1313">
        <f>(G9+P9+R9)/'Building Capability'!$D$4</f>
        <v>0.92066071428571428</v>
      </c>
      <c r="Y9" s="198">
        <f t="shared" si="8"/>
        <v>0.81558441558441563</v>
      </c>
      <c r="Z9" s="1298">
        <f>(G9+P9+R9)/'Building Capability'!$F$4</f>
        <v>0.92066071428571428</v>
      </c>
      <c r="AB9" s="417" t="s">
        <v>54</v>
      </c>
      <c r="AC9" s="424">
        <v>83</v>
      </c>
      <c r="AD9" s="1015" t="s">
        <v>55</v>
      </c>
      <c r="AE9" s="531">
        <v>10</v>
      </c>
      <c r="AF9" s="530" t="s">
        <v>56</v>
      </c>
      <c r="AG9" s="531">
        <v>36</v>
      </c>
      <c r="AH9" s="222" t="s">
        <v>57</v>
      </c>
      <c r="AI9" s="221">
        <v>9</v>
      </c>
      <c r="AJ9" s="452"/>
      <c r="AK9" s="456"/>
      <c r="AL9" s="222"/>
      <c r="AM9" s="221"/>
      <c r="AN9" s="222"/>
      <c r="AO9" s="221"/>
      <c r="AP9" s="222"/>
      <c r="AQ9" s="221"/>
      <c r="AR9" s="222"/>
      <c r="AS9" s="221"/>
      <c r="AT9" s="222"/>
      <c r="AU9" s="221"/>
      <c r="AV9" s="222"/>
      <c r="AW9" s="221"/>
      <c r="AX9" s="222"/>
      <c r="AY9" s="221"/>
      <c r="AZ9" s="222"/>
      <c r="BA9" s="221"/>
      <c r="BB9" s="222"/>
      <c r="BC9" s="221"/>
      <c r="BD9" s="222"/>
      <c r="BE9" s="221"/>
      <c r="BF9" s="222"/>
      <c r="BG9" s="223"/>
      <c r="BK9" s="497"/>
      <c r="BL9" s="493" t="s">
        <v>58</v>
      </c>
      <c r="BM9" s="495"/>
    </row>
    <row r="10" spans="1:65" ht="13.15">
      <c r="A10" s="246" t="s">
        <v>52</v>
      </c>
      <c r="B10" s="226" t="s">
        <v>59</v>
      </c>
      <c r="C10" s="227" t="s">
        <v>38</v>
      </c>
      <c r="D10" s="492">
        <v>913</v>
      </c>
      <c r="E10" s="492">
        <v>912</v>
      </c>
      <c r="F10" s="535">
        <f t="shared" si="0"/>
        <v>0.78961038961038965</v>
      </c>
      <c r="G10" s="1241"/>
      <c r="H10" s="228">
        <v>36</v>
      </c>
      <c r="I10" s="229">
        <v>3.5</v>
      </c>
      <c r="J10" s="226">
        <f t="shared" si="1"/>
        <v>126</v>
      </c>
      <c r="K10" s="226">
        <v>18</v>
      </c>
      <c r="L10" s="226">
        <f t="shared" si="9"/>
        <v>63</v>
      </c>
      <c r="M10" s="226">
        <f t="shared" si="10"/>
        <v>1155</v>
      </c>
      <c r="N10" s="226">
        <f t="shared" ref="N10:N16" si="11">SUM(AC10)</f>
        <v>70</v>
      </c>
      <c r="O10" s="536">
        <f t="shared" si="3"/>
        <v>0.8502164502164502</v>
      </c>
      <c r="P10" s="1241"/>
      <c r="Q10" s="226">
        <f t="shared" ref="Q10:Q16" si="12">SUM(AE10:BG10)</f>
        <v>135</v>
      </c>
      <c r="R10" s="1247"/>
      <c r="S10" s="563">
        <f t="shared" si="5"/>
        <v>1117</v>
      </c>
      <c r="T10" s="1220"/>
      <c r="U10" s="230">
        <f t="shared" si="7"/>
        <v>38</v>
      </c>
      <c r="V10" s="1221"/>
      <c r="W10" s="231">
        <f t="shared" si="6"/>
        <v>0.96709956709956713</v>
      </c>
      <c r="X10" s="1314"/>
      <c r="Y10" s="198">
        <f t="shared" si="8"/>
        <v>0.96709956709956713</v>
      </c>
      <c r="Z10" s="1295"/>
      <c r="AA10" s="247"/>
      <c r="AB10" s="418" t="s">
        <v>54</v>
      </c>
      <c r="AC10" s="422">
        <v>70</v>
      </c>
      <c r="AD10" s="233"/>
      <c r="AE10" s="529"/>
      <c r="AF10" s="487" t="s">
        <v>60</v>
      </c>
      <c r="AG10" s="489">
        <v>126</v>
      </c>
      <c r="AH10" s="233" t="s">
        <v>61</v>
      </c>
      <c r="AI10" s="529">
        <v>9</v>
      </c>
      <c r="AJ10" s="737"/>
      <c r="AK10" s="232"/>
      <c r="AL10" s="528"/>
      <c r="AM10" s="529"/>
      <c r="AN10" s="528"/>
      <c r="AO10" s="529"/>
      <c r="AP10" s="487"/>
      <c r="AQ10" s="489"/>
      <c r="AR10" s="233"/>
      <c r="AS10" s="232"/>
      <c r="AT10" s="233"/>
      <c r="AU10" s="232"/>
      <c r="AV10" s="233"/>
      <c r="AW10" s="232"/>
      <c r="AX10" s="233"/>
      <c r="AY10" s="232"/>
      <c r="AZ10" s="233"/>
      <c r="BA10" s="232"/>
      <c r="BB10" s="233"/>
      <c r="BC10" s="232"/>
      <c r="BD10" s="233"/>
      <c r="BE10" s="232"/>
      <c r="BF10" s="233"/>
      <c r="BG10" s="234"/>
    </row>
    <row r="11" spans="1:65" ht="13.15">
      <c r="A11" s="246" t="s">
        <v>52</v>
      </c>
      <c r="B11" s="226" t="s">
        <v>62</v>
      </c>
      <c r="C11" s="227" t="s">
        <v>38</v>
      </c>
      <c r="D11" s="492">
        <v>858</v>
      </c>
      <c r="E11" s="492">
        <v>858</v>
      </c>
      <c r="F11" s="535">
        <f t="shared" si="0"/>
        <v>0.74285714285714288</v>
      </c>
      <c r="G11" s="1241"/>
      <c r="H11" s="228">
        <v>36</v>
      </c>
      <c r="I11" s="229">
        <v>3.5</v>
      </c>
      <c r="J11" s="226">
        <f t="shared" si="1"/>
        <v>126</v>
      </c>
      <c r="K11" s="226">
        <v>18</v>
      </c>
      <c r="L11" s="226">
        <f t="shared" si="9"/>
        <v>63</v>
      </c>
      <c r="M11" s="226">
        <f t="shared" si="10"/>
        <v>1155</v>
      </c>
      <c r="N11" s="226">
        <f t="shared" si="11"/>
        <v>44</v>
      </c>
      <c r="O11" s="536">
        <f t="shared" si="3"/>
        <v>0.78095238095238095</v>
      </c>
      <c r="P11" s="1241"/>
      <c r="Q11" s="226">
        <f t="shared" si="12"/>
        <v>79</v>
      </c>
      <c r="R11" s="1247"/>
      <c r="S11" s="563">
        <f t="shared" si="5"/>
        <v>981</v>
      </c>
      <c r="T11" s="1220"/>
      <c r="U11" s="230">
        <f t="shared" si="7"/>
        <v>174</v>
      </c>
      <c r="V11" s="1221"/>
      <c r="W11" s="231">
        <f t="shared" si="6"/>
        <v>0.8493506493506493</v>
      </c>
      <c r="X11" s="1314"/>
      <c r="Y11" s="198">
        <f t="shared" si="8"/>
        <v>0.8493506493506493</v>
      </c>
      <c r="Z11" s="1295"/>
      <c r="AA11" s="247"/>
      <c r="AB11" s="418" t="s">
        <v>54</v>
      </c>
      <c r="AC11" s="422">
        <v>44</v>
      </c>
      <c r="AD11" s="233" t="s">
        <v>55</v>
      </c>
      <c r="AE11" s="529">
        <v>10</v>
      </c>
      <c r="AF11" s="487" t="s">
        <v>60</v>
      </c>
      <c r="AG11" s="489">
        <v>69</v>
      </c>
      <c r="AH11" s="233"/>
      <c r="AI11" s="529"/>
      <c r="AJ11" s="233"/>
      <c r="AK11" s="232"/>
      <c r="AL11" s="528"/>
      <c r="AM11" s="529"/>
      <c r="AN11" s="528"/>
      <c r="AO11" s="529"/>
      <c r="AP11" s="233"/>
      <c r="AQ11" s="232"/>
      <c r="AR11" s="233"/>
      <c r="AS11" s="232"/>
      <c r="AT11" s="233"/>
      <c r="AU11" s="232"/>
      <c r="AV11" s="233"/>
      <c r="AW11" s="232"/>
      <c r="AX11" s="233"/>
      <c r="AY11" s="232"/>
      <c r="AZ11" s="233"/>
      <c r="BA11" s="232"/>
      <c r="BB11" s="233"/>
      <c r="BC11" s="232"/>
      <c r="BD11" s="233"/>
      <c r="BE11" s="232"/>
      <c r="BF11" s="233"/>
      <c r="BG11" s="234"/>
      <c r="BK11" s="224"/>
      <c r="BL11" s="224"/>
      <c r="BM11" s="224"/>
    </row>
    <row r="12" spans="1:65" ht="13.15">
      <c r="A12" s="246" t="s">
        <v>52</v>
      </c>
      <c r="B12" s="226" t="s">
        <v>63</v>
      </c>
      <c r="C12" s="227" t="s">
        <v>38</v>
      </c>
      <c r="D12" s="230">
        <v>885</v>
      </c>
      <c r="E12" s="230">
        <v>890</v>
      </c>
      <c r="F12" s="536">
        <f t="shared" si="0"/>
        <v>0.77056277056277056</v>
      </c>
      <c r="G12" s="1242"/>
      <c r="H12" s="228">
        <v>36</v>
      </c>
      <c r="I12" s="229">
        <v>3.5</v>
      </c>
      <c r="J12" s="226">
        <f t="shared" si="1"/>
        <v>126</v>
      </c>
      <c r="K12" s="226">
        <v>18</v>
      </c>
      <c r="L12" s="226">
        <f t="shared" si="9"/>
        <v>63</v>
      </c>
      <c r="M12" s="226">
        <f t="shared" si="10"/>
        <v>1155</v>
      </c>
      <c r="N12" s="226">
        <f t="shared" si="11"/>
        <v>81</v>
      </c>
      <c r="O12" s="536">
        <f t="shared" si="3"/>
        <v>0.84069264069264071</v>
      </c>
      <c r="P12" s="1242"/>
      <c r="Q12" s="226">
        <f t="shared" si="12"/>
        <v>95</v>
      </c>
      <c r="R12" s="1248"/>
      <c r="S12" s="563">
        <f t="shared" si="5"/>
        <v>1066</v>
      </c>
      <c r="T12" s="1215"/>
      <c r="U12" s="230">
        <f t="shared" si="7"/>
        <v>89</v>
      </c>
      <c r="V12" s="1219"/>
      <c r="W12" s="231">
        <f t="shared" si="6"/>
        <v>0.92294372294372296</v>
      </c>
      <c r="X12" s="1314"/>
      <c r="Y12" s="198">
        <f t="shared" si="8"/>
        <v>0.92294372294372296</v>
      </c>
      <c r="Z12" s="1295"/>
      <c r="AA12" s="247"/>
      <c r="AB12" s="418" t="s">
        <v>54</v>
      </c>
      <c r="AC12" s="422">
        <v>81</v>
      </c>
      <c r="AD12" s="233" t="s">
        <v>64</v>
      </c>
      <c r="AE12" s="232">
        <v>95</v>
      </c>
      <c r="AF12" s="233"/>
      <c r="AG12" s="232"/>
      <c r="AH12" s="233"/>
      <c r="AI12" s="232"/>
      <c r="AJ12" s="233"/>
      <c r="AK12" s="232"/>
      <c r="AL12" s="233"/>
      <c r="AM12" s="232"/>
      <c r="AN12" s="487"/>
      <c r="AO12" s="489"/>
      <c r="AP12" s="233"/>
      <c r="AQ12" s="232"/>
      <c r="AR12" s="233"/>
      <c r="AS12" s="232"/>
      <c r="AT12" s="233"/>
      <c r="AU12" s="232"/>
      <c r="AV12" s="233"/>
      <c r="AW12" s="232"/>
      <c r="AX12" s="233"/>
      <c r="AY12" s="232"/>
      <c r="AZ12" s="233"/>
      <c r="BA12" s="232"/>
      <c r="BB12" s="233"/>
      <c r="BC12" s="232"/>
      <c r="BD12" s="233"/>
      <c r="BE12" s="232"/>
      <c r="BF12" s="233"/>
      <c r="BG12" s="234"/>
      <c r="BK12" s="224"/>
      <c r="BL12" s="224"/>
      <c r="BM12" s="224"/>
    </row>
    <row r="13" spans="1:65" ht="13.15" customHeight="1">
      <c r="A13" s="246" t="s">
        <v>52</v>
      </c>
      <c r="B13" s="226" t="s">
        <v>65</v>
      </c>
      <c r="C13" s="227" t="s">
        <v>38</v>
      </c>
      <c r="D13" s="230">
        <v>877</v>
      </c>
      <c r="E13" s="230">
        <v>875</v>
      </c>
      <c r="F13" s="536">
        <f t="shared" si="0"/>
        <v>0.75757575757575757</v>
      </c>
      <c r="G13" s="1208">
        <f>G9/'Building Capability'!$D$4</f>
        <v>0.76775793650793644</v>
      </c>
      <c r="H13" s="228">
        <v>36</v>
      </c>
      <c r="I13" s="229">
        <v>3.5</v>
      </c>
      <c r="J13" s="226">
        <f t="shared" si="1"/>
        <v>126</v>
      </c>
      <c r="K13" s="226">
        <v>18</v>
      </c>
      <c r="L13" s="226">
        <f t="shared" si="9"/>
        <v>63</v>
      </c>
      <c r="M13" s="226">
        <f t="shared" si="10"/>
        <v>1155</v>
      </c>
      <c r="N13" s="226">
        <f t="shared" si="11"/>
        <v>90</v>
      </c>
      <c r="O13" s="536">
        <f t="shared" si="3"/>
        <v>0.83549783549783552</v>
      </c>
      <c r="P13" s="1238">
        <f>P9/'Building Capability'!$D$4</f>
        <v>7.7424603174603174E-2</v>
      </c>
      <c r="Q13" s="226">
        <f>SUM(AE13:BG13)</f>
        <v>204</v>
      </c>
      <c r="R13" s="1223">
        <f>R9/'Building Capability'!$D$4</f>
        <v>7.5478174603174603E-2</v>
      </c>
      <c r="S13" s="563">
        <f t="shared" si="5"/>
        <v>1169</v>
      </c>
      <c r="T13" s="1216">
        <f>T9/'Building Capability'!$D$4</f>
        <v>0.92066071428571428</v>
      </c>
      <c r="U13" s="230">
        <f t="shared" si="7"/>
        <v>-14</v>
      </c>
      <c r="V13" s="1208">
        <f>V9/'Building Capability'!$D$4</f>
        <v>7.8505952380952385E-2</v>
      </c>
      <c r="W13" s="231">
        <f t="shared" si="6"/>
        <v>1.0121212121212122</v>
      </c>
      <c r="X13" s="1314"/>
      <c r="Y13" s="198">
        <f t="shared" si="8"/>
        <v>1.0121212121212122</v>
      </c>
      <c r="Z13" s="1295"/>
      <c r="AA13" s="247"/>
      <c r="AB13" s="418" t="s">
        <v>54</v>
      </c>
      <c r="AC13" s="422">
        <v>90</v>
      </c>
      <c r="AD13" s="233" t="s">
        <v>64</v>
      </c>
      <c r="AE13" s="232">
        <v>95</v>
      </c>
      <c r="AF13" s="487" t="s">
        <v>60</v>
      </c>
      <c r="AG13" s="489">
        <v>73</v>
      </c>
      <c r="AH13" s="528" t="s">
        <v>56</v>
      </c>
      <c r="AI13" s="529">
        <v>36</v>
      </c>
      <c r="AJ13" s="233"/>
      <c r="AK13" s="232"/>
      <c r="AL13" s="233"/>
      <c r="AM13" s="232"/>
      <c r="AN13" s="487"/>
      <c r="AO13" s="489"/>
      <c r="AP13" s="233"/>
      <c r="AQ13" s="232"/>
      <c r="AR13" s="233"/>
      <c r="AS13" s="232"/>
      <c r="AT13" s="233"/>
      <c r="AU13" s="232"/>
      <c r="AV13" s="233"/>
      <c r="AW13" s="232"/>
      <c r="AX13" s="233"/>
      <c r="AY13" s="232"/>
      <c r="AZ13" s="233"/>
      <c r="BA13" s="232"/>
      <c r="BB13" s="233"/>
      <c r="BC13" s="232"/>
      <c r="BD13" s="233"/>
      <c r="BE13" s="232"/>
      <c r="BF13" s="233"/>
      <c r="BG13" s="234"/>
      <c r="BK13" s="224"/>
      <c r="BL13" s="224"/>
      <c r="BM13" s="224"/>
    </row>
    <row r="14" spans="1:65" ht="13.15" customHeight="1">
      <c r="A14" s="246" t="s">
        <v>52</v>
      </c>
      <c r="B14" s="226" t="s">
        <v>66</v>
      </c>
      <c r="C14" s="248" t="s">
        <v>38</v>
      </c>
      <c r="D14" s="230">
        <v>950</v>
      </c>
      <c r="E14" s="230">
        <v>954</v>
      </c>
      <c r="F14" s="536">
        <f t="shared" si="0"/>
        <v>0.82597402597402603</v>
      </c>
      <c r="G14" s="1213"/>
      <c r="H14" s="228">
        <v>36</v>
      </c>
      <c r="I14" s="229">
        <v>3.5</v>
      </c>
      <c r="J14" s="226">
        <f t="shared" si="1"/>
        <v>126</v>
      </c>
      <c r="K14" s="226">
        <v>18</v>
      </c>
      <c r="L14" s="226">
        <f t="shared" si="9"/>
        <v>63</v>
      </c>
      <c r="M14" s="226">
        <f t="shared" si="10"/>
        <v>1155</v>
      </c>
      <c r="N14" s="226">
        <f t="shared" si="11"/>
        <v>120</v>
      </c>
      <c r="O14" s="536">
        <f t="shared" si="3"/>
        <v>0.92987012987012985</v>
      </c>
      <c r="P14" s="1239"/>
      <c r="Q14" s="226">
        <f t="shared" si="12"/>
        <v>32</v>
      </c>
      <c r="R14" s="1224"/>
      <c r="S14" s="563">
        <f t="shared" si="5"/>
        <v>1106</v>
      </c>
      <c r="T14" s="1222"/>
      <c r="U14" s="230">
        <f t="shared" si="7"/>
        <v>49</v>
      </c>
      <c r="V14" s="1213"/>
      <c r="W14" s="231">
        <f t="shared" si="6"/>
        <v>0.95757575757575752</v>
      </c>
      <c r="X14" s="1314"/>
      <c r="Z14" s="1295"/>
      <c r="AA14" s="247"/>
      <c r="AB14" s="418" t="s">
        <v>54</v>
      </c>
      <c r="AC14" s="422">
        <v>120</v>
      </c>
      <c r="AD14" s="233"/>
      <c r="AE14" s="529"/>
      <c r="AF14" s="487" t="s">
        <v>60</v>
      </c>
      <c r="AG14" s="489">
        <v>32</v>
      </c>
      <c r="AH14" s="233"/>
      <c r="AI14" s="529"/>
      <c r="AJ14" s="233"/>
      <c r="AK14" s="232"/>
      <c r="AL14" s="233"/>
      <c r="AM14" s="232"/>
      <c r="AN14" s="487"/>
      <c r="AO14" s="489"/>
      <c r="AP14" s="233"/>
      <c r="AQ14" s="232"/>
      <c r="AR14" s="233"/>
      <c r="AS14" s="232"/>
      <c r="AT14" s="233"/>
      <c r="AU14" s="232"/>
      <c r="AV14" s="233"/>
      <c r="AW14" s="232"/>
      <c r="AX14" s="233"/>
      <c r="AY14" s="232"/>
      <c r="AZ14" s="233"/>
      <c r="BA14" s="232"/>
      <c r="BB14" s="233"/>
      <c r="BC14" s="232"/>
      <c r="BD14" s="233"/>
      <c r="BE14" s="232"/>
      <c r="BF14" s="233"/>
      <c r="BG14" s="234"/>
      <c r="BK14" s="224"/>
      <c r="BL14" s="224"/>
      <c r="BM14" s="224"/>
    </row>
    <row r="15" spans="1:65" ht="13.15" customHeight="1">
      <c r="A15" s="246" t="s">
        <v>52</v>
      </c>
      <c r="B15" s="226" t="s">
        <v>67</v>
      </c>
      <c r="C15" s="227" t="s">
        <v>38</v>
      </c>
      <c r="D15" s="230">
        <v>876</v>
      </c>
      <c r="E15" s="230">
        <v>874</v>
      </c>
      <c r="F15" s="536">
        <f t="shared" si="0"/>
        <v>0.75670995670995667</v>
      </c>
      <c r="G15" s="1213"/>
      <c r="H15" s="228">
        <v>36</v>
      </c>
      <c r="I15" s="229">
        <v>3.5</v>
      </c>
      <c r="J15" s="226">
        <f t="shared" si="1"/>
        <v>126</v>
      </c>
      <c r="K15" s="226">
        <v>18</v>
      </c>
      <c r="L15" s="226">
        <f t="shared" si="9"/>
        <v>63</v>
      </c>
      <c r="M15" s="226">
        <f t="shared" si="10"/>
        <v>1155</v>
      </c>
      <c r="N15" s="226">
        <f t="shared" si="11"/>
        <v>127</v>
      </c>
      <c r="O15" s="536">
        <f t="shared" si="3"/>
        <v>0.8666666666666667</v>
      </c>
      <c r="P15" s="1239"/>
      <c r="Q15" s="226">
        <f t="shared" si="12"/>
        <v>41</v>
      </c>
      <c r="R15" s="1224"/>
      <c r="S15" s="563">
        <f t="shared" si="5"/>
        <v>1042</v>
      </c>
      <c r="T15" s="1222"/>
      <c r="U15" s="230">
        <f t="shared" si="7"/>
        <v>113</v>
      </c>
      <c r="V15" s="1213"/>
      <c r="W15" s="231">
        <f t="shared" si="6"/>
        <v>0.90216450216450217</v>
      </c>
      <c r="X15" s="1314"/>
      <c r="Y15" s="198">
        <f t="shared" si="8"/>
        <v>0.90216450216450217</v>
      </c>
      <c r="Z15" s="1295"/>
      <c r="AA15" s="247"/>
      <c r="AB15" s="418" t="s">
        <v>54</v>
      </c>
      <c r="AC15" s="422">
        <v>127</v>
      </c>
      <c r="AD15" s="233"/>
      <c r="AE15" s="232"/>
      <c r="AF15" s="487" t="s">
        <v>60</v>
      </c>
      <c r="AG15" s="489">
        <v>41</v>
      </c>
      <c r="AH15" s="457"/>
      <c r="AI15" s="458"/>
      <c r="AJ15" s="233"/>
      <c r="AK15" s="232"/>
      <c r="AL15" s="233"/>
      <c r="AM15" s="232"/>
      <c r="AN15" s="487"/>
      <c r="AO15" s="489"/>
      <c r="AP15" s="233"/>
      <c r="AQ15" s="232"/>
      <c r="AR15" s="233"/>
      <c r="AS15" s="232"/>
      <c r="AT15" s="233"/>
      <c r="AU15" s="232"/>
      <c r="AV15" s="233"/>
      <c r="AW15" s="232"/>
      <c r="AX15" s="233"/>
      <c r="AY15" s="232"/>
      <c r="AZ15" s="233"/>
      <c r="BA15" s="232"/>
      <c r="BB15" s="233"/>
      <c r="BC15" s="232"/>
      <c r="BD15" s="233"/>
      <c r="BE15" s="232"/>
      <c r="BF15" s="233"/>
      <c r="BG15" s="234"/>
      <c r="BK15" s="224"/>
      <c r="BL15" s="224"/>
      <c r="BM15" s="224"/>
    </row>
    <row r="16" spans="1:65" ht="13.9" customHeight="1">
      <c r="A16" s="249" t="s">
        <v>52</v>
      </c>
      <c r="B16" s="253" t="s">
        <v>68</v>
      </c>
      <c r="C16" s="250" t="s">
        <v>38</v>
      </c>
      <c r="D16" s="254">
        <v>934</v>
      </c>
      <c r="E16" s="254">
        <v>933</v>
      </c>
      <c r="F16" s="537">
        <f t="shared" si="0"/>
        <v>0.80779220779220784</v>
      </c>
      <c r="G16" s="1209"/>
      <c r="H16" s="251">
        <v>36</v>
      </c>
      <c r="I16" s="252">
        <v>3.5</v>
      </c>
      <c r="J16" s="253">
        <f t="shared" si="1"/>
        <v>126</v>
      </c>
      <c r="K16" s="253">
        <v>18</v>
      </c>
      <c r="L16" s="253">
        <f t="shared" si="9"/>
        <v>63</v>
      </c>
      <c r="M16" s="253">
        <f t="shared" si="10"/>
        <v>1155</v>
      </c>
      <c r="N16" s="253">
        <f t="shared" si="11"/>
        <v>101</v>
      </c>
      <c r="O16" s="537">
        <f t="shared" si="3"/>
        <v>0.89523809523809528</v>
      </c>
      <c r="P16" s="1240"/>
      <c r="Q16" s="253">
        <f t="shared" si="12"/>
        <v>57</v>
      </c>
      <c r="R16" s="1225"/>
      <c r="S16" s="564">
        <f t="shared" si="5"/>
        <v>1091</v>
      </c>
      <c r="T16" s="1217"/>
      <c r="U16" s="254">
        <f t="shared" si="7"/>
        <v>64</v>
      </c>
      <c r="V16" s="1209"/>
      <c r="W16" s="255">
        <f t="shared" si="6"/>
        <v>0.94458874458874453</v>
      </c>
      <c r="X16" s="1315"/>
      <c r="Y16" s="256">
        <f t="shared" si="8"/>
        <v>0.94458874458874453</v>
      </c>
      <c r="Z16" s="1296"/>
      <c r="AA16" s="247"/>
      <c r="AB16" s="418" t="s">
        <v>54</v>
      </c>
      <c r="AC16" s="423">
        <v>101</v>
      </c>
      <c r="AD16" s="499"/>
      <c r="AE16" s="500"/>
      <c r="AF16" s="499" t="s">
        <v>60</v>
      </c>
      <c r="AG16" s="500">
        <v>57</v>
      </c>
      <c r="AH16" s="480"/>
      <c r="AI16" s="481"/>
      <c r="AJ16" s="242"/>
      <c r="AK16" s="241"/>
      <c r="AL16" s="242"/>
      <c r="AM16" s="241"/>
      <c r="AN16" s="499"/>
      <c r="AO16" s="500"/>
      <c r="AP16" s="242"/>
      <c r="AQ16" s="241"/>
      <c r="AR16" s="242"/>
      <c r="AS16" s="241"/>
      <c r="AT16" s="242"/>
      <c r="AU16" s="241"/>
      <c r="AV16" s="242"/>
      <c r="AW16" s="241"/>
      <c r="AX16" s="242"/>
      <c r="AY16" s="241"/>
      <c r="AZ16" s="242"/>
      <c r="BA16" s="241"/>
      <c r="BB16" s="242"/>
      <c r="BC16" s="241"/>
      <c r="BD16" s="242"/>
      <c r="BE16" s="241"/>
      <c r="BF16" s="242"/>
      <c r="BG16" s="243"/>
      <c r="BK16" s="224"/>
      <c r="BL16" s="224"/>
      <c r="BM16" s="224"/>
    </row>
    <row r="17" spans="1:59" ht="13.15">
      <c r="A17" s="225" t="s">
        <v>69</v>
      </c>
      <c r="B17" s="266" t="s">
        <v>70</v>
      </c>
      <c r="C17" s="267" t="s">
        <v>38</v>
      </c>
      <c r="D17" s="279">
        <v>358</v>
      </c>
      <c r="E17" s="279">
        <v>363</v>
      </c>
      <c r="F17" s="551">
        <f t="shared" si="0"/>
        <v>0.31428571428571428</v>
      </c>
      <c r="G17" s="1210">
        <f>SUM(E17:E21)*54.5/1000</f>
        <v>123.4425</v>
      </c>
      <c r="H17" s="268">
        <v>36</v>
      </c>
      <c r="I17" s="269">
        <v>3.5</v>
      </c>
      <c r="J17" s="279">
        <f t="shared" ref="J17:J46" si="13">INT(H17*I17)</f>
        <v>126</v>
      </c>
      <c r="K17" s="266">
        <v>18</v>
      </c>
      <c r="L17" s="266">
        <f t="shared" si="9"/>
        <v>63</v>
      </c>
      <c r="M17" s="266">
        <f t="shared" si="10"/>
        <v>1155</v>
      </c>
      <c r="N17" s="266">
        <f t="shared" ref="N17:N21" si="14">SUM(AC17)</f>
        <v>0</v>
      </c>
      <c r="O17" s="558">
        <f t="shared" si="3"/>
        <v>0.31428571428571428</v>
      </c>
      <c r="P17" s="1249">
        <f>SUM(N17:N21)*54.5/1000</f>
        <v>0</v>
      </c>
      <c r="Q17" s="560">
        <f t="shared" ref="Q17:Q21" si="15">SUM(AE17:BG17)</f>
        <v>0</v>
      </c>
      <c r="R17" s="1226">
        <f>SUM(Q17:Q21)*54.5/1000</f>
        <v>5.7770000000000001</v>
      </c>
      <c r="S17" s="562">
        <f t="shared" si="5"/>
        <v>363</v>
      </c>
      <c r="T17" s="1214">
        <f>SUM(S17:S21)*54.5/1000</f>
        <v>129.21950000000001</v>
      </c>
      <c r="U17" s="279">
        <f t="shared" si="7"/>
        <v>792</v>
      </c>
      <c r="V17" s="1218">
        <f>SUM(U17:U21)*54.5/1000</f>
        <v>185.518</v>
      </c>
      <c r="W17" s="270">
        <f t="shared" si="6"/>
        <v>0.31428571428571428</v>
      </c>
      <c r="X17" s="1324">
        <f>(G17+P17+R17)/'Building Capability'!$D$5</f>
        <v>0.41022063492063487</v>
      </c>
      <c r="Y17" s="198">
        <f t="shared" si="8"/>
        <v>0.31428571428571428</v>
      </c>
      <c r="Z17" s="1298">
        <f>(G17+P17+R17)/'Building Capability'!$F$5</f>
        <v>0.41022063492063487</v>
      </c>
      <c r="AB17" s="417"/>
      <c r="AC17" s="424"/>
      <c r="AD17" s="530"/>
      <c r="AE17" s="531"/>
      <c r="AF17" s="222"/>
      <c r="AG17" s="221"/>
      <c r="AH17" s="222"/>
      <c r="AI17" s="221"/>
      <c r="AJ17" s="530"/>
      <c r="AK17" s="531"/>
      <c r="AL17" s="222"/>
      <c r="AM17" s="221"/>
      <c r="AN17" s="222"/>
      <c r="AO17" s="221"/>
      <c r="AP17" s="222"/>
      <c r="AQ17" s="221"/>
      <c r="AR17" s="222"/>
      <c r="AS17" s="221"/>
      <c r="AT17" s="222"/>
      <c r="AU17" s="221"/>
      <c r="AV17" s="222"/>
      <c r="AW17" s="221"/>
      <c r="AX17" s="222"/>
      <c r="AY17" s="221"/>
      <c r="AZ17" s="222"/>
      <c r="BA17" s="221"/>
      <c r="BB17" s="222"/>
      <c r="BC17" s="221"/>
      <c r="BD17" s="222"/>
      <c r="BE17" s="221"/>
      <c r="BF17" s="222"/>
      <c r="BG17" s="223"/>
    </row>
    <row r="18" spans="1:59" ht="13.15">
      <c r="A18" s="246" t="s">
        <v>69</v>
      </c>
      <c r="B18" s="226" t="s">
        <v>71</v>
      </c>
      <c r="C18" s="227" t="s">
        <v>38</v>
      </c>
      <c r="D18" s="230">
        <v>469</v>
      </c>
      <c r="E18" s="230">
        <v>482</v>
      </c>
      <c r="F18" s="540">
        <f t="shared" si="0"/>
        <v>0.41731601731601731</v>
      </c>
      <c r="G18" s="1212"/>
      <c r="H18" s="228">
        <v>36</v>
      </c>
      <c r="I18" s="229">
        <v>3.5</v>
      </c>
      <c r="J18" s="230">
        <f t="shared" si="13"/>
        <v>126</v>
      </c>
      <c r="K18" s="226">
        <v>18</v>
      </c>
      <c r="L18" s="226">
        <f t="shared" si="9"/>
        <v>63</v>
      </c>
      <c r="M18" s="226">
        <f t="shared" si="10"/>
        <v>1155</v>
      </c>
      <c r="N18" s="226">
        <f t="shared" si="14"/>
        <v>0</v>
      </c>
      <c r="O18" s="536">
        <f t="shared" si="3"/>
        <v>0.41731601731601731</v>
      </c>
      <c r="P18" s="1250"/>
      <c r="Q18" s="440">
        <f t="shared" si="15"/>
        <v>9</v>
      </c>
      <c r="R18" s="1227"/>
      <c r="S18" s="563">
        <f t="shared" si="5"/>
        <v>491</v>
      </c>
      <c r="T18" s="1220"/>
      <c r="U18" s="230">
        <f t="shared" si="7"/>
        <v>664</v>
      </c>
      <c r="V18" s="1221"/>
      <c r="W18" s="231">
        <f t="shared" si="6"/>
        <v>0.4251082251082251</v>
      </c>
      <c r="X18" s="1325"/>
      <c r="Y18" s="198">
        <f t="shared" si="8"/>
        <v>0.4251082251082251</v>
      </c>
      <c r="Z18" s="1295"/>
      <c r="AB18" s="415"/>
      <c r="AC18" s="422"/>
      <c r="AD18" s="233" t="s">
        <v>57</v>
      </c>
      <c r="AE18" s="232">
        <v>9</v>
      </c>
      <c r="AF18" s="487"/>
      <c r="AG18" s="489"/>
      <c r="AH18" s="233"/>
      <c r="AI18" s="232"/>
      <c r="AJ18" s="233"/>
      <c r="AK18" s="232"/>
      <c r="AL18" s="233"/>
      <c r="AM18" s="232"/>
      <c r="AN18" s="233"/>
      <c r="AO18" s="232"/>
      <c r="AP18" s="233"/>
      <c r="AQ18" s="232"/>
      <c r="AR18" s="233"/>
      <c r="AS18" s="232"/>
      <c r="AT18" s="233"/>
      <c r="AU18" s="232"/>
      <c r="AV18" s="233"/>
      <c r="AW18" s="232"/>
      <c r="AX18" s="233"/>
      <c r="AY18" s="232"/>
      <c r="AZ18" s="233"/>
      <c r="BA18" s="232"/>
      <c r="BB18" s="233"/>
      <c r="BC18" s="232"/>
      <c r="BD18" s="233"/>
      <c r="BE18" s="232"/>
      <c r="BF18" s="233"/>
      <c r="BG18" s="234"/>
    </row>
    <row r="19" spans="1:59" ht="13.15">
      <c r="A19" s="246" t="s">
        <v>69</v>
      </c>
      <c r="B19" s="226" t="s">
        <v>72</v>
      </c>
      <c r="C19" s="227" t="s">
        <v>38</v>
      </c>
      <c r="D19" s="230">
        <v>613</v>
      </c>
      <c r="E19" s="230">
        <v>618</v>
      </c>
      <c r="F19" s="540">
        <f t="shared" si="0"/>
        <v>0.53506493506493502</v>
      </c>
      <c r="G19" s="1211"/>
      <c r="H19" s="228">
        <v>36</v>
      </c>
      <c r="I19" s="229">
        <v>3.5</v>
      </c>
      <c r="J19" s="230">
        <f t="shared" si="13"/>
        <v>126</v>
      </c>
      <c r="K19" s="226">
        <v>18</v>
      </c>
      <c r="L19" s="226">
        <f t="shared" si="9"/>
        <v>63</v>
      </c>
      <c r="M19" s="226">
        <f t="shared" si="10"/>
        <v>1155</v>
      </c>
      <c r="N19" s="226">
        <f t="shared" si="14"/>
        <v>0</v>
      </c>
      <c r="O19" s="536">
        <f t="shared" si="3"/>
        <v>0.53506493506493502</v>
      </c>
      <c r="P19" s="1250"/>
      <c r="Q19" s="440">
        <f t="shared" si="15"/>
        <v>9</v>
      </c>
      <c r="R19" s="1227"/>
      <c r="S19" s="563">
        <f t="shared" si="5"/>
        <v>627</v>
      </c>
      <c r="T19" s="1215"/>
      <c r="U19" s="230">
        <f t="shared" si="7"/>
        <v>528</v>
      </c>
      <c r="V19" s="1219"/>
      <c r="W19" s="231">
        <f t="shared" si="6"/>
        <v>0.54285714285714282</v>
      </c>
      <c r="X19" s="1325"/>
      <c r="Y19" s="198">
        <f t="shared" si="8"/>
        <v>0.54285714285714282</v>
      </c>
      <c r="Z19" s="1295"/>
      <c r="AB19" s="415"/>
      <c r="AC19" s="422"/>
      <c r="AD19" s="233" t="s">
        <v>57</v>
      </c>
      <c r="AE19" s="232">
        <v>9</v>
      </c>
      <c r="AF19" s="233"/>
      <c r="AG19" s="232"/>
      <c r="AH19" s="233"/>
      <c r="AI19" s="232"/>
      <c r="AJ19" s="233"/>
      <c r="AK19" s="232"/>
      <c r="AL19" s="233"/>
      <c r="AM19" s="232"/>
      <c r="AN19" s="233"/>
      <c r="AO19" s="232"/>
      <c r="AP19" s="233"/>
      <c r="AQ19" s="232"/>
      <c r="AR19" s="233"/>
      <c r="AS19" s="232"/>
      <c r="AT19" s="233"/>
      <c r="AU19" s="232"/>
      <c r="AV19" s="233"/>
      <c r="AW19" s="232"/>
      <c r="AX19" s="233"/>
      <c r="AY19" s="232"/>
      <c r="AZ19" s="233"/>
      <c r="BA19" s="232"/>
      <c r="BB19" s="233"/>
      <c r="BC19" s="232"/>
      <c r="BD19" s="233"/>
      <c r="BE19" s="232"/>
      <c r="BF19" s="233"/>
      <c r="BG19" s="234"/>
    </row>
    <row r="20" spans="1:59" ht="13.15">
      <c r="A20" s="246" t="s">
        <v>69</v>
      </c>
      <c r="B20" s="226" t="s">
        <v>73</v>
      </c>
      <c r="C20" s="227" t="s">
        <v>38</v>
      </c>
      <c r="D20" s="230">
        <v>475</v>
      </c>
      <c r="E20" s="230">
        <v>481</v>
      </c>
      <c r="F20" s="540">
        <f t="shared" si="0"/>
        <v>0.41645021645021646</v>
      </c>
      <c r="G20" s="1235">
        <f>G17/'Building Capability'!$D$5</f>
        <v>0.39188095238095239</v>
      </c>
      <c r="H20" s="228">
        <v>36</v>
      </c>
      <c r="I20" s="229">
        <v>3.5</v>
      </c>
      <c r="J20" s="230">
        <f t="shared" si="13"/>
        <v>126</v>
      </c>
      <c r="K20" s="226">
        <v>18</v>
      </c>
      <c r="L20" s="226">
        <f t="shared" si="9"/>
        <v>63</v>
      </c>
      <c r="M20" s="226">
        <f t="shared" si="10"/>
        <v>1155</v>
      </c>
      <c r="N20" s="226">
        <f t="shared" si="14"/>
        <v>0</v>
      </c>
      <c r="O20" s="536">
        <f t="shared" si="3"/>
        <v>0.41645021645021646</v>
      </c>
      <c r="P20" s="1251">
        <f>P17/'Building Capability'!$D$5</f>
        <v>0</v>
      </c>
      <c r="Q20" s="440">
        <f t="shared" si="15"/>
        <v>44</v>
      </c>
      <c r="R20" s="1322">
        <f>R17/'Building Capability'!$D$5</f>
        <v>1.8339682539682541E-2</v>
      </c>
      <c r="S20" s="563">
        <f t="shared" si="5"/>
        <v>525</v>
      </c>
      <c r="T20" s="1216">
        <f>T17/'Building Capability'!$D$5</f>
        <v>0.41022063492063493</v>
      </c>
      <c r="U20" s="230">
        <f t="shared" si="7"/>
        <v>630</v>
      </c>
      <c r="V20" s="1208">
        <f>V17/'Building Capability'!$D$5</f>
        <v>0.58894603174603177</v>
      </c>
      <c r="W20" s="231">
        <f t="shared" si="6"/>
        <v>0.45454545454545453</v>
      </c>
      <c r="X20" s="1325"/>
      <c r="Y20" s="198">
        <f t="shared" si="8"/>
        <v>0.45454545454545453</v>
      </c>
      <c r="Z20" s="1295"/>
      <c r="AB20" s="415"/>
      <c r="AC20" s="422"/>
      <c r="AD20" s="487" t="s">
        <v>74</v>
      </c>
      <c r="AE20" s="489">
        <v>44</v>
      </c>
      <c r="AF20" s="523"/>
      <c r="AG20" s="524"/>
      <c r="AH20" s="233"/>
      <c r="AI20" s="232"/>
      <c r="AJ20" s="233"/>
      <c r="AK20" s="232"/>
      <c r="AL20" s="233"/>
      <c r="AM20" s="232"/>
      <c r="AN20" s="233"/>
      <c r="AO20" s="232"/>
      <c r="AP20" s="233"/>
      <c r="AQ20" s="232"/>
      <c r="AR20" s="233"/>
      <c r="AS20" s="232"/>
      <c r="AT20" s="233"/>
      <c r="AU20" s="232"/>
      <c r="AV20" s="233"/>
      <c r="AW20" s="232"/>
      <c r="AX20" s="233"/>
      <c r="AY20" s="232"/>
      <c r="AZ20" s="233"/>
      <c r="BA20" s="232"/>
      <c r="BB20" s="233"/>
      <c r="BC20" s="232"/>
      <c r="BD20" s="233"/>
      <c r="BE20" s="232"/>
      <c r="BF20" s="233"/>
      <c r="BG20" s="234"/>
    </row>
    <row r="21" spans="1:59" ht="13.9" customHeight="1">
      <c r="A21" s="257" t="s">
        <v>69</v>
      </c>
      <c r="B21" s="211" t="s">
        <v>75</v>
      </c>
      <c r="C21" s="237" t="s">
        <v>38</v>
      </c>
      <c r="D21" s="1194">
        <v>352</v>
      </c>
      <c r="E21" s="1196">
        <v>321</v>
      </c>
      <c r="F21" s="1040">
        <f t="shared" si="0"/>
        <v>0.2779220779220779</v>
      </c>
      <c r="G21" s="1236"/>
      <c r="H21" s="238">
        <v>36</v>
      </c>
      <c r="I21" s="239">
        <v>3.5</v>
      </c>
      <c r="J21" s="210">
        <f t="shared" si="13"/>
        <v>126</v>
      </c>
      <c r="K21" s="211">
        <v>18</v>
      </c>
      <c r="L21" s="211">
        <f t="shared" si="9"/>
        <v>63</v>
      </c>
      <c r="M21" s="211">
        <f t="shared" si="10"/>
        <v>1155</v>
      </c>
      <c r="N21" s="211">
        <f t="shared" si="14"/>
        <v>0</v>
      </c>
      <c r="O21" s="559">
        <f t="shared" si="3"/>
        <v>0.2779220779220779</v>
      </c>
      <c r="P21" s="1252"/>
      <c r="Q21" s="561">
        <f t="shared" si="15"/>
        <v>44</v>
      </c>
      <c r="R21" s="1338"/>
      <c r="S21" s="564">
        <f t="shared" si="5"/>
        <v>365</v>
      </c>
      <c r="T21" s="1217"/>
      <c r="U21" s="210">
        <f t="shared" si="7"/>
        <v>790</v>
      </c>
      <c r="V21" s="1209"/>
      <c r="W21" s="240">
        <f t="shared" si="6"/>
        <v>0.31601731601731603</v>
      </c>
      <c r="X21" s="1333"/>
      <c r="Y21" s="256">
        <f t="shared" si="8"/>
        <v>0.31601731601731603</v>
      </c>
      <c r="Z21" s="1296"/>
      <c r="AB21" s="416"/>
      <c r="AC21" s="423"/>
      <c r="AD21" s="499" t="s">
        <v>74</v>
      </c>
      <c r="AE21" s="500">
        <v>44</v>
      </c>
      <c r="AF21" s="233"/>
      <c r="AG21" s="241"/>
      <c r="AH21" s="233"/>
      <c r="AI21" s="241"/>
      <c r="AJ21" s="242"/>
      <c r="AK21" s="241"/>
      <c r="AL21" s="242"/>
      <c r="AM21" s="241"/>
      <c r="AN21" s="242"/>
      <c r="AO21" s="241"/>
      <c r="AP21" s="242"/>
      <c r="AQ21" s="241"/>
      <c r="AR21" s="242"/>
      <c r="AS21" s="241"/>
      <c r="AT21" s="242"/>
      <c r="AU21" s="241"/>
      <c r="AV21" s="242"/>
      <c r="AW21" s="241"/>
      <c r="AX21" s="242"/>
      <c r="AY21" s="241"/>
      <c r="AZ21" s="242"/>
      <c r="BA21" s="241"/>
      <c r="BB21" s="242"/>
      <c r="BC21" s="241"/>
      <c r="BD21" s="242"/>
      <c r="BE21" s="241"/>
      <c r="BF21" s="242"/>
      <c r="BG21" s="243"/>
    </row>
    <row r="22" spans="1:59" ht="13.15">
      <c r="A22" s="244" t="s">
        <v>76</v>
      </c>
      <c r="B22" s="215" t="s">
        <v>77</v>
      </c>
      <c r="C22" s="216" t="s">
        <v>38</v>
      </c>
      <c r="D22" s="802">
        <v>835</v>
      </c>
      <c r="E22" s="802">
        <v>834</v>
      </c>
      <c r="F22" s="539">
        <f t="shared" si="0"/>
        <v>0.7220779220779221</v>
      </c>
      <c r="G22" s="1256">
        <f>SUM(E22:E27)*54.5/1000</f>
        <v>288.14150000000001</v>
      </c>
      <c r="H22" s="474">
        <v>36</v>
      </c>
      <c r="I22" s="218">
        <v>3.5</v>
      </c>
      <c r="J22" s="215">
        <f t="shared" si="13"/>
        <v>126</v>
      </c>
      <c r="K22" s="215">
        <v>18</v>
      </c>
      <c r="L22" s="215">
        <f t="shared" si="9"/>
        <v>63</v>
      </c>
      <c r="M22" s="215">
        <f t="shared" si="10"/>
        <v>1155</v>
      </c>
      <c r="N22" s="215">
        <f>SUM(AC22)</f>
        <v>210</v>
      </c>
      <c r="O22" s="538">
        <f t="shared" si="3"/>
        <v>0.90389610389610386</v>
      </c>
      <c r="P22" s="1256">
        <f>SUM(N22:N27)*54.5/1000</f>
        <v>67.852500000000006</v>
      </c>
      <c r="Q22" s="215">
        <f>SUM(AE22:BG22)</f>
        <v>15</v>
      </c>
      <c r="R22" s="1261">
        <f>SUM(Q22:Q27)*54.5/1000</f>
        <v>3.488</v>
      </c>
      <c r="S22" s="562">
        <f t="shared" si="5"/>
        <v>1059</v>
      </c>
      <c r="T22" s="1214">
        <f>SUM(S22:S27)*54.5/1000</f>
        <v>359.48200000000003</v>
      </c>
      <c r="U22" s="219">
        <f t="shared" si="7"/>
        <v>96</v>
      </c>
      <c r="V22" s="1218">
        <f>SUM(U22:U27)*54.5/1000</f>
        <v>18.202999999999999</v>
      </c>
      <c r="W22" s="220">
        <f t="shared" si="6"/>
        <v>0.91688311688311686</v>
      </c>
      <c r="X22" s="1324">
        <f>(G22+P22+R22)/'Building Capability'!$D$6</f>
        <v>0.95101058201058208</v>
      </c>
      <c r="Y22" s="245">
        <f t="shared" si="8"/>
        <v>0.91688311688311686</v>
      </c>
      <c r="Z22" s="1286">
        <f>(G22+P22+R22)/'Building Capability'!$F$6</f>
        <v>0.95101058201058208</v>
      </c>
      <c r="AA22" s="1286" t="e">
        <f>(G22+P22)/'Building Capability'!$G$6</f>
        <v>#DIV/0!</v>
      </c>
      <c r="AB22" s="417" t="s">
        <v>78</v>
      </c>
      <c r="AC22" s="424">
        <v>210</v>
      </c>
      <c r="AD22" s="222" t="s">
        <v>79</v>
      </c>
      <c r="AE22" s="221">
        <v>15</v>
      </c>
      <c r="AF22" s="222"/>
      <c r="AG22" s="221"/>
      <c r="AH22" s="222"/>
      <c r="AI22" s="221"/>
      <c r="AJ22" s="222"/>
      <c r="AK22" s="221"/>
      <c r="AL22" s="222"/>
      <c r="AM22" s="221"/>
      <c r="AN22" s="222"/>
      <c r="AO22" s="221"/>
      <c r="AP22" s="222"/>
      <c r="AQ22" s="221"/>
      <c r="AR22" s="233"/>
      <c r="AS22" s="221"/>
      <c r="AT22" s="222"/>
      <c r="AU22" s="221"/>
      <c r="AV22" s="222"/>
      <c r="AW22" s="221"/>
      <c r="AX22" s="222"/>
      <c r="AY22" s="221"/>
      <c r="AZ22" s="222"/>
      <c r="BA22" s="221"/>
      <c r="BB22" s="222"/>
      <c r="BC22" s="221"/>
      <c r="BD22" s="222"/>
      <c r="BE22" s="221"/>
      <c r="BF22" s="222"/>
      <c r="BG22" s="223"/>
    </row>
    <row r="23" spans="1:59" ht="13.15">
      <c r="A23" s="246" t="s">
        <v>76</v>
      </c>
      <c r="B23" s="226" t="s">
        <v>80</v>
      </c>
      <c r="C23" s="227" t="s">
        <v>38</v>
      </c>
      <c r="D23" s="230">
        <v>921</v>
      </c>
      <c r="E23" s="230">
        <v>920</v>
      </c>
      <c r="F23" s="541">
        <f t="shared" si="0"/>
        <v>0.79653679653679654</v>
      </c>
      <c r="G23" s="1241"/>
      <c r="H23" s="475">
        <v>36</v>
      </c>
      <c r="I23" s="229">
        <v>3.5</v>
      </c>
      <c r="J23" s="226">
        <f t="shared" si="13"/>
        <v>126</v>
      </c>
      <c r="K23" s="226">
        <v>18</v>
      </c>
      <c r="L23" s="226">
        <f t="shared" si="9"/>
        <v>63</v>
      </c>
      <c r="M23" s="226">
        <f t="shared" si="10"/>
        <v>1155</v>
      </c>
      <c r="N23" s="226">
        <f t="shared" ref="N23:N27" si="16">SUM(AC23)</f>
        <v>188</v>
      </c>
      <c r="O23" s="536">
        <f t="shared" si="3"/>
        <v>0.95930735930735933</v>
      </c>
      <c r="P23" s="1241"/>
      <c r="Q23" s="226">
        <f t="shared" ref="Q23:Q27" si="17">SUM(AE23:BG23)</f>
        <v>0</v>
      </c>
      <c r="R23" s="1247"/>
      <c r="S23" s="563">
        <f t="shared" si="5"/>
        <v>1108</v>
      </c>
      <c r="T23" s="1220"/>
      <c r="U23" s="230">
        <f t="shared" si="7"/>
        <v>47</v>
      </c>
      <c r="V23" s="1221"/>
      <c r="W23" s="484">
        <f t="shared" si="6"/>
        <v>0.95930735930735933</v>
      </c>
      <c r="X23" s="1325"/>
      <c r="Y23" s="198">
        <f t="shared" si="8"/>
        <v>0.95930735930735933</v>
      </c>
      <c r="Z23" s="1287"/>
      <c r="AA23" s="1287"/>
      <c r="AB23" s="415" t="s">
        <v>54</v>
      </c>
      <c r="AC23" s="422">
        <v>188</v>
      </c>
      <c r="AD23" s="233"/>
      <c r="AE23" s="232"/>
      <c r="AF23" s="233"/>
      <c r="AG23" s="529"/>
      <c r="AH23" s="233"/>
      <c r="AI23" s="232"/>
      <c r="AJ23" s="233"/>
      <c r="AK23" s="232"/>
      <c r="AL23" s="233"/>
      <c r="AM23" s="232"/>
      <c r="AN23" s="233"/>
      <c r="AO23" s="232"/>
      <c r="AP23" s="233"/>
      <c r="AQ23" s="232"/>
      <c r="AR23" s="233"/>
      <c r="AS23" s="232"/>
      <c r="AT23" s="233"/>
      <c r="AU23" s="232"/>
      <c r="AV23" s="233"/>
      <c r="AW23" s="232"/>
      <c r="AX23" s="233"/>
      <c r="AY23" s="232"/>
      <c r="AZ23" s="233"/>
      <c r="BA23" s="232"/>
      <c r="BB23" s="233"/>
      <c r="BC23" s="232"/>
      <c r="BD23" s="233"/>
      <c r="BE23" s="232"/>
      <c r="BF23" s="233"/>
      <c r="BG23" s="234"/>
    </row>
    <row r="24" spans="1:59" ht="12.6" customHeight="1">
      <c r="A24" s="246" t="s">
        <v>76</v>
      </c>
      <c r="B24" s="226" t="s">
        <v>81</v>
      </c>
      <c r="C24" s="227" t="s">
        <v>38</v>
      </c>
      <c r="D24" s="1039">
        <v>878</v>
      </c>
      <c r="E24" s="1039">
        <v>880</v>
      </c>
      <c r="F24" s="1063">
        <f t="shared" si="0"/>
        <v>0.76190476190476186</v>
      </c>
      <c r="G24" s="1257"/>
      <c r="H24" s="475">
        <v>36</v>
      </c>
      <c r="I24" s="229">
        <v>3.5</v>
      </c>
      <c r="J24" s="226">
        <f t="shared" si="13"/>
        <v>126</v>
      </c>
      <c r="K24" s="226">
        <v>18</v>
      </c>
      <c r="L24" s="226">
        <f t="shared" si="9"/>
        <v>63</v>
      </c>
      <c r="M24" s="226">
        <f t="shared" si="10"/>
        <v>1155</v>
      </c>
      <c r="N24" s="226">
        <f t="shared" si="16"/>
        <v>199</v>
      </c>
      <c r="O24" s="536">
        <f t="shared" si="3"/>
        <v>0.93419913419913425</v>
      </c>
      <c r="P24" s="1242"/>
      <c r="Q24" s="226">
        <f t="shared" si="17"/>
        <v>17</v>
      </c>
      <c r="R24" s="1248"/>
      <c r="S24" s="563">
        <f t="shared" si="5"/>
        <v>1096</v>
      </c>
      <c r="T24" s="1215"/>
      <c r="U24" s="230">
        <f t="shared" si="7"/>
        <v>59</v>
      </c>
      <c r="V24" s="1219"/>
      <c r="W24" s="231">
        <f t="shared" si="6"/>
        <v>0.94891774891774894</v>
      </c>
      <c r="X24" s="1325"/>
      <c r="Y24" s="198">
        <f t="shared" si="8"/>
        <v>0.94891774891774894</v>
      </c>
      <c r="Z24" s="1287"/>
      <c r="AA24" s="1287"/>
      <c r="AB24" s="415" t="s">
        <v>54</v>
      </c>
      <c r="AC24" s="422">
        <v>199</v>
      </c>
      <c r="AD24" s="233"/>
      <c r="AE24" s="232"/>
      <c r="AF24" s="523" t="s">
        <v>82</v>
      </c>
      <c r="AG24" s="524">
        <v>17</v>
      </c>
      <c r="AH24" s="523"/>
      <c r="AI24" s="524"/>
      <c r="AJ24" s="233"/>
      <c r="AK24" s="232"/>
      <c r="AL24" s="233"/>
      <c r="AM24" s="232"/>
      <c r="AN24" s="233"/>
      <c r="AO24" s="232"/>
      <c r="AP24" s="233"/>
      <c r="AQ24" s="232"/>
      <c r="AR24" s="233"/>
      <c r="AS24" s="232"/>
      <c r="AT24" s="233"/>
      <c r="AU24" s="232"/>
      <c r="AV24" s="233"/>
      <c r="AW24" s="232"/>
      <c r="AX24" s="233"/>
      <c r="AY24" s="232"/>
      <c r="AZ24" s="233"/>
      <c r="BA24" s="232"/>
      <c r="BB24" s="233"/>
      <c r="BC24" s="232"/>
      <c r="BD24" s="233"/>
      <c r="BE24" s="232"/>
      <c r="BF24" s="233"/>
      <c r="BG24" s="234"/>
    </row>
    <row r="25" spans="1:59" ht="13.15">
      <c r="A25" s="257" t="s">
        <v>76</v>
      </c>
      <c r="B25" s="211" t="s">
        <v>83</v>
      </c>
      <c r="C25" s="227" t="s">
        <v>38</v>
      </c>
      <c r="D25" s="230">
        <v>836</v>
      </c>
      <c r="E25" s="230">
        <v>836</v>
      </c>
      <c r="F25" s="551">
        <f t="shared" si="0"/>
        <v>0.72380952380952379</v>
      </c>
      <c r="G25" s="1258">
        <f>G22/'Building Capability'!$D$6</f>
        <v>0.76227910052910053</v>
      </c>
      <c r="H25" s="475">
        <v>36</v>
      </c>
      <c r="I25" s="239">
        <v>3.5</v>
      </c>
      <c r="J25" s="226">
        <f t="shared" si="13"/>
        <v>126</v>
      </c>
      <c r="K25" s="226">
        <v>18</v>
      </c>
      <c r="L25" s="226">
        <f t="shared" si="9"/>
        <v>63</v>
      </c>
      <c r="M25" s="226">
        <f t="shared" si="10"/>
        <v>1155</v>
      </c>
      <c r="N25" s="226">
        <f t="shared" si="16"/>
        <v>184</v>
      </c>
      <c r="O25" s="536">
        <f t="shared" si="3"/>
        <v>0.88311688311688308</v>
      </c>
      <c r="P25" s="1238">
        <f>P22/'Building Capability'!$D$6</f>
        <v>0.17950396825396828</v>
      </c>
      <c r="Q25" s="226">
        <f t="shared" si="17"/>
        <v>32</v>
      </c>
      <c r="R25" s="1223">
        <f>R22/'Building Capability'!$D$6</f>
        <v>9.2275132275132267E-3</v>
      </c>
      <c r="S25" s="563">
        <f t="shared" si="5"/>
        <v>1052</v>
      </c>
      <c r="T25" s="1216">
        <f>T22/'Building Capability'!$D$6</f>
        <v>0.95101058201058208</v>
      </c>
      <c r="U25" s="210">
        <f t="shared" si="7"/>
        <v>103</v>
      </c>
      <c r="V25" s="1208">
        <f>V22/'Building Capability'!$D$6</f>
        <v>4.8156084656084654E-2</v>
      </c>
      <c r="W25" s="240">
        <f t="shared" si="6"/>
        <v>0.91082251082251087</v>
      </c>
      <c r="X25" s="1325"/>
      <c r="Y25" s="198">
        <f t="shared" si="8"/>
        <v>0.91082251082251087</v>
      </c>
      <c r="Z25" s="1287"/>
      <c r="AA25" s="1287"/>
      <c r="AB25" s="415" t="s">
        <v>54</v>
      </c>
      <c r="AC25" s="422">
        <v>184</v>
      </c>
      <c r="AD25" s="233" t="s">
        <v>79</v>
      </c>
      <c r="AE25" s="232">
        <v>15</v>
      </c>
      <c r="AF25" s="523" t="s">
        <v>82</v>
      </c>
      <c r="AG25" s="524">
        <v>17</v>
      </c>
      <c r="AH25" s="523"/>
      <c r="AI25" s="524"/>
      <c r="AJ25" s="233"/>
      <c r="AK25" s="232"/>
      <c r="AL25" s="233"/>
      <c r="AM25" s="232"/>
      <c r="AN25" s="233"/>
      <c r="AO25" s="232"/>
      <c r="AP25" s="233"/>
      <c r="AQ25" s="232"/>
      <c r="AR25" s="233"/>
      <c r="AS25" s="232"/>
      <c r="AT25" s="233"/>
      <c r="AU25" s="232"/>
      <c r="AV25" s="233"/>
      <c r="AW25" s="232"/>
      <c r="AX25" s="233"/>
      <c r="AY25" s="232"/>
      <c r="AZ25" s="233"/>
      <c r="BA25" s="232"/>
      <c r="BB25" s="233"/>
      <c r="BC25" s="232"/>
      <c r="BD25" s="233"/>
      <c r="BE25" s="232"/>
      <c r="BF25" s="233"/>
      <c r="BG25" s="234"/>
    </row>
    <row r="26" spans="1:59" ht="12.6" customHeight="1">
      <c r="A26" s="257" t="s">
        <v>76</v>
      </c>
      <c r="B26" s="211" t="s">
        <v>84</v>
      </c>
      <c r="C26" s="473" t="s">
        <v>38</v>
      </c>
      <c r="D26" s="804">
        <v>932</v>
      </c>
      <c r="E26" s="804">
        <v>930</v>
      </c>
      <c r="F26" s="543">
        <f t="shared" si="0"/>
        <v>0.80519480519480524</v>
      </c>
      <c r="G26" s="1259"/>
      <c r="H26" s="476">
        <v>36</v>
      </c>
      <c r="I26" s="239">
        <v>3.5</v>
      </c>
      <c r="J26" s="330">
        <f t="shared" si="13"/>
        <v>126</v>
      </c>
      <c r="K26" s="330">
        <v>18</v>
      </c>
      <c r="L26" s="330">
        <f t="shared" si="9"/>
        <v>63</v>
      </c>
      <c r="M26" s="330">
        <f t="shared" si="10"/>
        <v>1155</v>
      </c>
      <c r="N26" s="211">
        <f t="shared" si="16"/>
        <v>193</v>
      </c>
      <c r="O26" s="536">
        <f t="shared" si="3"/>
        <v>0.97229437229437232</v>
      </c>
      <c r="P26" s="1239"/>
      <c r="Q26" s="211">
        <f t="shared" si="17"/>
        <v>0</v>
      </c>
      <c r="R26" s="1224"/>
      <c r="S26" s="563">
        <f t="shared" si="5"/>
        <v>1123</v>
      </c>
      <c r="T26" s="1222"/>
      <c r="U26" s="210">
        <f t="shared" si="7"/>
        <v>32</v>
      </c>
      <c r="V26" s="1213"/>
      <c r="W26" s="240">
        <f t="shared" si="6"/>
        <v>0.97229437229437232</v>
      </c>
      <c r="X26" s="1325"/>
      <c r="Z26" s="1287"/>
      <c r="AA26" s="1287"/>
      <c r="AB26" s="415" t="s">
        <v>54</v>
      </c>
      <c r="AC26" s="422">
        <v>193</v>
      </c>
      <c r="AD26" s="233"/>
      <c r="AE26" s="232"/>
      <c r="AF26" s="233"/>
      <c r="AG26" s="232"/>
      <c r="AH26" s="233"/>
      <c r="AI26" s="232"/>
      <c r="AJ26" s="233"/>
      <c r="AK26" s="232"/>
      <c r="AL26" s="233"/>
      <c r="AM26" s="232"/>
      <c r="AN26" s="233"/>
      <c r="AO26" s="232"/>
      <c r="AP26" s="233"/>
      <c r="AQ26" s="232"/>
      <c r="AR26" s="233"/>
      <c r="AS26" s="232"/>
      <c r="AT26" s="233"/>
      <c r="AU26" s="232"/>
      <c r="AV26" s="233"/>
      <c r="AW26" s="232"/>
      <c r="AX26" s="233"/>
      <c r="AY26" s="232"/>
      <c r="AZ26" s="233"/>
      <c r="BA26" s="232"/>
      <c r="BB26" s="233"/>
      <c r="BC26" s="232"/>
      <c r="BD26" s="233"/>
      <c r="BE26" s="232"/>
      <c r="BF26" s="233"/>
      <c r="BG26" s="234"/>
    </row>
    <row r="27" spans="1:59" ht="13.15">
      <c r="A27" s="249" t="s">
        <v>76</v>
      </c>
      <c r="B27" s="253" t="s">
        <v>85</v>
      </c>
      <c r="C27" s="262" t="s">
        <v>38</v>
      </c>
      <c r="D27" s="254">
        <v>883</v>
      </c>
      <c r="E27" s="254">
        <v>887</v>
      </c>
      <c r="F27" s="544">
        <f t="shared" si="0"/>
        <v>0.76796536796536796</v>
      </c>
      <c r="G27" s="1260"/>
      <c r="H27" s="251">
        <v>36</v>
      </c>
      <c r="I27" s="252">
        <v>3.5</v>
      </c>
      <c r="J27" s="253">
        <f t="shared" si="13"/>
        <v>126</v>
      </c>
      <c r="K27" s="253">
        <v>18</v>
      </c>
      <c r="L27" s="253">
        <f t="shared" si="9"/>
        <v>63</v>
      </c>
      <c r="M27" s="253">
        <f t="shared" si="10"/>
        <v>1155</v>
      </c>
      <c r="N27" s="253">
        <f t="shared" si="16"/>
        <v>271</v>
      </c>
      <c r="O27" s="537">
        <f t="shared" si="3"/>
        <v>1.0025974025974025</v>
      </c>
      <c r="P27" s="1240"/>
      <c r="Q27" s="253">
        <f t="shared" si="17"/>
        <v>0</v>
      </c>
      <c r="R27" s="1225"/>
      <c r="S27" s="564">
        <f t="shared" si="5"/>
        <v>1158</v>
      </c>
      <c r="T27" s="1217"/>
      <c r="U27" s="254">
        <f t="shared" si="7"/>
        <v>-3</v>
      </c>
      <c r="V27" s="1213"/>
      <c r="W27" s="255">
        <f t="shared" si="6"/>
        <v>1.0025974025974025</v>
      </c>
      <c r="X27" s="1333"/>
      <c r="Z27" s="1288"/>
      <c r="AA27" s="1288"/>
      <c r="AB27" s="416" t="s">
        <v>54</v>
      </c>
      <c r="AC27" s="423">
        <v>271</v>
      </c>
      <c r="AD27" s="480"/>
      <c r="AE27" s="481"/>
      <c r="AF27" s="784"/>
      <c r="AG27" s="1005"/>
      <c r="AH27" s="480"/>
      <c r="AI27" s="481"/>
      <c r="AJ27" s="242"/>
      <c r="AK27" s="241"/>
      <c r="AL27" s="242"/>
      <c r="AM27" s="241"/>
      <c r="AN27" s="242"/>
      <c r="AO27" s="241"/>
      <c r="AP27" s="242"/>
      <c r="AQ27" s="241"/>
      <c r="AR27" s="242"/>
      <c r="AS27" s="241"/>
      <c r="AT27" s="242"/>
      <c r="AU27" s="241"/>
      <c r="AV27" s="242"/>
      <c r="AW27" s="241"/>
      <c r="AX27" s="242"/>
      <c r="AY27" s="241"/>
      <c r="AZ27" s="242"/>
      <c r="BA27" s="241"/>
      <c r="BB27" s="242"/>
      <c r="BC27" s="241"/>
      <c r="BD27" s="242"/>
      <c r="BE27" s="241"/>
      <c r="BF27" s="242"/>
      <c r="BG27" s="243"/>
    </row>
    <row r="28" spans="1:59" s="258" customFormat="1" ht="13.15">
      <c r="A28" s="225" t="s">
        <v>86</v>
      </c>
      <c r="B28" s="266" t="s">
        <v>87</v>
      </c>
      <c r="C28" s="267" t="s">
        <v>38</v>
      </c>
      <c r="D28" s="279">
        <v>424</v>
      </c>
      <c r="E28" s="279">
        <v>424</v>
      </c>
      <c r="F28" s="545">
        <f t="shared" si="0"/>
        <v>0.36709956709956709</v>
      </c>
      <c r="G28" s="1210">
        <f>SUM(E28:E31)*54.5/1000</f>
        <v>82.622</v>
      </c>
      <c r="H28" s="268">
        <v>36</v>
      </c>
      <c r="I28" s="269">
        <v>3.5</v>
      </c>
      <c r="J28" s="266">
        <f t="shared" si="13"/>
        <v>126</v>
      </c>
      <c r="K28" s="266">
        <v>18</v>
      </c>
      <c r="L28" s="266">
        <f t="shared" si="9"/>
        <v>63</v>
      </c>
      <c r="M28" s="266">
        <f t="shared" si="10"/>
        <v>1155</v>
      </c>
      <c r="N28" s="266">
        <f t="shared" ref="N28:N38" si="18">SUM(AC28)</f>
        <v>0</v>
      </c>
      <c r="O28" s="558">
        <f t="shared" si="3"/>
        <v>0.36709956709956709</v>
      </c>
      <c r="P28" s="1262">
        <f>SUM(N28:N31)*54.5/1000</f>
        <v>0</v>
      </c>
      <c r="Q28" s="560">
        <f t="shared" ref="Q28:Q38" si="19">SUM(AE28:BG28)</f>
        <v>0</v>
      </c>
      <c r="R28" s="1320">
        <f>SUM(Q28:Q31)*54.4/1000</f>
        <v>0</v>
      </c>
      <c r="S28" s="562">
        <f t="shared" si="5"/>
        <v>424</v>
      </c>
      <c r="T28" s="1214">
        <f>SUM(S28:S31)*54.5/1000</f>
        <v>82.622</v>
      </c>
      <c r="U28" s="279">
        <f t="shared" si="7"/>
        <v>731</v>
      </c>
      <c r="V28" s="1218">
        <f>SUM(U28:U31)*54.5/1000</f>
        <v>169.16800000000001</v>
      </c>
      <c r="W28" s="284">
        <f t="shared" si="6"/>
        <v>0.36709956709956709</v>
      </c>
      <c r="X28" s="1334">
        <f>(G28+P28+R28)/'Building Capability'!$D$7</f>
        <v>0.32786507936507936</v>
      </c>
      <c r="Y28" s="198">
        <f t="shared" si="8"/>
        <v>0.36709956709956709</v>
      </c>
      <c r="Z28" s="1304">
        <f>(G28+P28+R28)/'Building Capability'!$F$7</f>
        <v>0.27540666666666669</v>
      </c>
      <c r="AA28" s="198"/>
      <c r="AB28" s="415"/>
      <c r="AC28" s="422"/>
      <c r="AD28" s="233"/>
      <c r="AE28" s="232"/>
      <c r="AF28" s="233"/>
      <c r="AG28" s="232"/>
      <c r="AH28" s="233"/>
      <c r="AI28" s="232"/>
      <c r="AJ28" s="233"/>
      <c r="AK28" s="232"/>
      <c r="AL28" s="233"/>
      <c r="AM28" s="232"/>
      <c r="AN28" s="233"/>
      <c r="AO28" s="232"/>
      <c r="AP28" s="233"/>
      <c r="AQ28" s="232"/>
      <c r="AR28" s="233"/>
      <c r="AS28" s="232"/>
      <c r="AT28" s="233"/>
      <c r="AU28" s="232"/>
      <c r="AV28" s="233"/>
      <c r="AW28" s="232"/>
      <c r="AX28" s="233"/>
      <c r="AY28" s="232"/>
      <c r="AZ28" s="233"/>
      <c r="BA28" s="232"/>
      <c r="BB28" s="233"/>
      <c r="BC28" s="232"/>
      <c r="BD28" s="233"/>
      <c r="BE28" s="232"/>
      <c r="BF28" s="233"/>
      <c r="BG28" s="234"/>
    </row>
    <row r="29" spans="1:59" ht="13.15">
      <c r="A29" s="246" t="s">
        <v>86</v>
      </c>
      <c r="B29" s="226" t="s">
        <v>88</v>
      </c>
      <c r="C29" s="227" t="s">
        <v>38</v>
      </c>
      <c r="D29" s="230">
        <v>343</v>
      </c>
      <c r="E29" s="230">
        <v>340</v>
      </c>
      <c r="F29" s="540">
        <f t="shared" si="0"/>
        <v>0.2943722943722944</v>
      </c>
      <c r="G29" s="1211"/>
      <c r="H29" s="228">
        <v>36</v>
      </c>
      <c r="I29" s="229">
        <v>3.5</v>
      </c>
      <c r="J29" s="226">
        <f t="shared" si="13"/>
        <v>126</v>
      </c>
      <c r="K29" s="226">
        <v>18</v>
      </c>
      <c r="L29" s="226">
        <f t="shared" si="9"/>
        <v>63</v>
      </c>
      <c r="M29" s="226">
        <f t="shared" si="10"/>
        <v>1155</v>
      </c>
      <c r="N29" s="226">
        <f t="shared" si="18"/>
        <v>0</v>
      </c>
      <c r="O29" s="536">
        <f t="shared" si="3"/>
        <v>0.2943722943722944</v>
      </c>
      <c r="P29" s="1263"/>
      <c r="Q29" s="440">
        <f t="shared" si="19"/>
        <v>0</v>
      </c>
      <c r="R29" s="1321"/>
      <c r="S29" s="563">
        <f t="shared" si="5"/>
        <v>340</v>
      </c>
      <c r="T29" s="1215"/>
      <c r="U29" s="230">
        <f t="shared" si="7"/>
        <v>815</v>
      </c>
      <c r="V29" s="1219"/>
      <c r="W29" s="231">
        <f t="shared" si="6"/>
        <v>0.2943722943722944</v>
      </c>
      <c r="X29" s="1335"/>
      <c r="Y29" s="198">
        <f t="shared" si="8"/>
        <v>0.2943722943722944</v>
      </c>
      <c r="Z29" s="1305"/>
      <c r="AB29" s="415"/>
      <c r="AC29" s="422"/>
      <c r="AD29" s="487"/>
      <c r="AE29" s="489"/>
      <c r="AF29" s="233"/>
      <c r="AG29" s="232"/>
      <c r="AH29" s="233"/>
      <c r="AI29" s="232"/>
      <c r="AJ29" s="233"/>
      <c r="AK29" s="232"/>
      <c r="AL29" s="233"/>
      <c r="AM29" s="232"/>
      <c r="AN29" s="233"/>
      <c r="AO29" s="232"/>
      <c r="AP29" s="233"/>
      <c r="AQ29" s="232"/>
      <c r="AR29" s="233"/>
      <c r="AS29" s="232"/>
      <c r="AT29" s="233"/>
      <c r="AU29" s="232"/>
      <c r="AV29" s="233"/>
      <c r="AW29" s="232"/>
      <c r="AX29" s="233"/>
      <c r="AY29" s="232"/>
      <c r="AZ29" s="233"/>
      <c r="BA29" s="232"/>
      <c r="BB29" s="233"/>
      <c r="BC29" s="232"/>
      <c r="BD29" s="233"/>
      <c r="BE29" s="232"/>
      <c r="BF29" s="233"/>
      <c r="BG29" s="234"/>
    </row>
    <row r="30" spans="1:59" ht="10.5" customHeight="1">
      <c r="A30" s="246" t="s">
        <v>86</v>
      </c>
      <c r="B30" s="226" t="s">
        <v>89</v>
      </c>
      <c r="C30" s="227" t="s">
        <v>38</v>
      </c>
      <c r="D30" s="230">
        <v>440</v>
      </c>
      <c r="E30" s="230">
        <v>437</v>
      </c>
      <c r="F30" s="540">
        <f t="shared" si="0"/>
        <v>0.37835497835497833</v>
      </c>
      <c r="G30" s="1235">
        <f>G28/'Building Capability'!$D$7</f>
        <v>0.32786507936507936</v>
      </c>
      <c r="H30" s="228">
        <v>36</v>
      </c>
      <c r="I30" s="229">
        <v>3.5</v>
      </c>
      <c r="J30" s="226">
        <f t="shared" si="13"/>
        <v>126</v>
      </c>
      <c r="K30" s="226">
        <v>18</v>
      </c>
      <c r="L30" s="226">
        <f t="shared" si="9"/>
        <v>63</v>
      </c>
      <c r="M30" s="226">
        <f t="shared" si="10"/>
        <v>1155</v>
      </c>
      <c r="N30" s="226">
        <f t="shared" si="18"/>
        <v>0</v>
      </c>
      <c r="O30" s="536">
        <f t="shared" si="3"/>
        <v>0.37835497835497833</v>
      </c>
      <c r="P30" s="1208">
        <f>P28/'Building Capability'!$D$7</f>
        <v>0</v>
      </c>
      <c r="Q30" s="440">
        <f t="shared" si="19"/>
        <v>0</v>
      </c>
      <c r="R30" s="1205">
        <f>R27/'Building Capability'!$D$7</f>
        <v>0</v>
      </c>
      <c r="S30" s="563">
        <f t="shared" si="5"/>
        <v>437</v>
      </c>
      <c r="T30" s="1216">
        <f>T28/'Building Capability'!$D$7</f>
        <v>0.32786507936507936</v>
      </c>
      <c r="U30" s="230">
        <f t="shared" si="7"/>
        <v>718</v>
      </c>
      <c r="V30" s="1208">
        <f>V28/'Building Capability'!$D$7</f>
        <v>0.67130158730158729</v>
      </c>
      <c r="W30" s="231">
        <f t="shared" si="6"/>
        <v>0.37835497835497833</v>
      </c>
      <c r="X30" s="1335"/>
      <c r="Y30" s="198">
        <f t="shared" si="8"/>
        <v>0.37835497835497833</v>
      </c>
      <c r="Z30" s="1305"/>
      <c r="AA30" s="247"/>
      <c r="AB30" s="418"/>
      <c r="AC30" s="422"/>
      <c r="AD30" s="233"/>
      <c r="AE30" s="232"/>
      <c r="AF30" s="233"/>
      <c r="AG30" s="232"/>
      <c r="AH30" s="233"/>
      <c r="AI30" s="232"/>
      <c r="AJ30" s="233"/>
      <c r="AK30" s="232"/>
      <c r="AL30" s="233"/>
      <c r="AM30" s="232"/>
      <c r="AN30" s="233"/>
      <c r="AO30" s="232"/>
      <c r="AP30" s="233"/>
      <c r="AQ30" s="232"/>
      <c r="AR30" s="233"/>
      <c r="AS30" s="232"/>
      <c r="AT30" s="233"/>
      <c r="AU30" s="232"/>
      <c r="AV30" s="233"/>
      <c r="AW30" s="232"/>
      <c r="AX30" s="233"/>
      <c r="AY30" s="232"/>
      <c r="AZ30" s="233"/>
      <c r="BA30" s="232"/>
      <c r="BB30" s="233"/>
      <c r="BC30" s="232"/>
      <c r="BD30" s="233"/>
      <c r="BE30" s="232"/>
      <c r="BF30" s="233"/>
      <c r="BG30" s="234"/>
    </row>
    <row r="31" spans="1:59" ht="13.15">
      <c r="A31" s="259" t="s">
        <v>86</v>
      </c>
      <c r="B31" s="348" t="s">
        <v>90</v>
      </c>
      <c r="C31" s="250" t="s">
        <v>38</v>
      </c>
      <c r="D31" s="254">
        <v>316</v>
      </c>
      <c r="E31" s="254">
        <v>315</v>
      </c>
      <c r="F31" s="546">
        <f t="shared" si="0"/>
        <v>0.27272727272727271</v>
      </c>
      <c r="G31" s="1236"/>
      <c r="H31" s="251">
        <v>36</v>
      </c>
      <c r="I31" s="252">
        <v>3.5</v>
      </c>
      <c r="J31" s="253">
        <f t="shared" si="13"/>
        <v>126</v>
      </c>
      <c r="K31" s="253">
        <v>18</v>
      </c>
      <c r="L31" s="253">
        <f t="shared" si="9"/>
        <v>63</v>
      </c>
      <c r="M31" s="253">
        <f t="shared" si="10"/>
        <v>1155</v>
      </c>
      <c r="N31" s="253">
        <f t="shared" si="18"/>
        <v>0</v>
      </c>
      <c r="O31" s="537">
        <f t="shared" si="3"/>
        <v>0.27272727272727271</v>
      </c>
      <c r="P31" s="1209"/>
      <c r="Q31" s="556">
        <f t="shared" si="19"/>
        <v>0</v>
      </c>
      <c r="R31" s="1207"/>
      <c r="S31" s="564">
        <f t="shared" si="5"/>
        <v>315</v>
      </c>
      <c r="T31" s="1217"/>
      <c r="U31" s="254">
        <f t="shared" si="7"/>
        <v>840</v>
      </c>
      <c r="V31" s="1209"/>
      <c r="W31" s="260">
        <f t="shared" si="6"/>
        <v>0.27272727272727271</v>
      </c>
      <c r="X31" s="1336"/>
      <c r="Y31" s="256">
        <f t="shared" si="8"/>
        <v>0.27272727272727271</v>
      </c>
      <c r="Z31" s="1306"/>
      <c r="AB31" s="416"/>
      <c r="AC31" s="423"/>
      <c r="AD31" s="784"/>
      <c r="AE31" s="783"/>
      <c r="AF31" s="242"/>
      <c r="AG31" s="241"/>
      <c r="AH31" s="242"/>
      <c r="AI31" s="241"/>
      <c r="AJ31" s="242"/>
      <c r="AK31" s="241"/>
      <c r="AL31" s="242"/>
      <c r="AM31" s="241"/>
      <c r="AN31" s="242"/>
      <c r="AO31" s="241"/>
      <c r="AP31" s="242"/>
      <c r="AQ31" s="241"/>
      <c r="AR31" s="242"/>
      <c r="AS31" s="241"/>
      <c r="AT31" s="242"/>
      <c r="AU31" s="241"/>
      <c r="AV31" s="242"/>
      <c r="AW31" s="241"/>
      <c r="AX31" s="242"/>
      <c r="AY31" s="241"/>
      <c r="AZ31" s="242"/>
      <c r="BA31" s="241"/>
      <c r="BB31" s="242"/>
      <c r="BC31" s="241"/>
      <c r="BD31" s="242"/>
      <c r="BE31" s="241"/>
      <c r="BF31" s="242"/>
      <c r="BG31" s="243"/>
    </row>
    <row r="32" spans="1:59" ht="13.15">
      <c r="A32" s="244" t="s">
        <v>91</v>
      </c>
      <c r="B32" s="215" t="s">
        <v>92</v>
      </c>
      <c r="C32" s="216" t="s">
        <v>38</v>
      </c>
      <c r="D32" s="802">
        <v>663</v>
      </c>
      <c r="E32" s="802">
        <v>664</v>
      </c>
      <c r="F32" s="539">
        <f t="shared" si="0"/>
        <v>0.5748917748917749</v>
      </c>
      <c r="G32" s="1249">
        <f>SUM(E32:E38)*54.5/1000</f>
        <v>274.84350000000001</v>
      </c>
      <c r="H32" s="217">
        <v>36</v>
      </c>
      <c r="I32" s="218">
        <v>3.5</v>
      </c>
      <c r="J32" s="219">
        <f t="shared" si="13"/>
        <v>126</v>
      </c>
      <c r="K32" s="215">
        <v>18</v>
      </c>
      <c r="L32" s="215">
        <f t="shared" si="9"/>
        <v>63</v>
      </c>
      <c r="M32" s="215">
        <f t="shared" si="10"/>
        <v>1155</v>
      </c>
      <c r="N32" s="215">
        <f t="shared" si="18"/>
        <v>139</v>
      </c>
      <c r="O32" s="538">
        <f t="shared" si="3"/>
        <v>0.69523809523809521</v>
      </c>
      <c r="P32" s="1249">
        <f>SUM(N32:N38)*54.5/1000</f>
        <v>103.877</v>
      </c>
      <c r="Q32" s="555">
        <f t="shared" si="19"/>
        <v>25.700000000000003</v>
      </c>
      <c r="R32" s="1226">
        <f>SUM(Q32:Q38)*54.5/1000</f>
        <v>16.393600000000003</v>
      </c>
      <c r="S32" s="562">
        <f t="shared" si="5"/>
        <v>828.7</v>
      </c>
      <c r="T32" s="1214">
        <f>SUM(S32:S38)*54.5/1000</f>
        <v>395.11410000000001</v>
      </c>
      <c r="U32" s="219">
        <f t="shared" si="7"/>
        <v>326.29999999999995</v>
      </c>
      <c r="V32" s="1218">
        <f>SUM(U32:U38)*54.5/1000</f>
        <v>69.607399999999998</v>
      </c>
      <c r="W32" s="761">
        <f t="shared" si="6"/>
        <v>0.71748917748917751</v>
      </c>
      <c r="X32" s="1340">
        <f>(G32+P32+R32)/'Building Capability'!$D$8</f>
        <v>0.84970774193548393</v>
      </c>
      <c r="Y32" s="245">
        <f t="shared" si="8"/>
        <v>0.71748917748917751</v>
      </c>
      <c r="Z32" s="1304">
        <f>(G32+P32+R32)/'Building Capability'!$F$8</f>
        <v>0.84970774193548393</v>
      </c>
      <c r="AA32" s="1294" t="e">
        <f>(G32+P32)/'Building Capability'!$G$8</f>
        <v>#DIV/0!</v>
      </c>
      <c r="AB32" s="417" t="s">
        <v>54</v>
      </c>
      <c r="AC32" s="424">
        <v>139</v>
      </c>
      <c r="AD32" s="906" t="s">
        <v>93</v>
      </c>
      <c r="AE32" s="907">
        <v>10.3</v>
      </c>
      <c r="AF32" s="906" t="s">
        <v>94</v>
      </c>
      <c r="AG32" s="907">
        <v>6.4</v>
      </c>
      <c r="AH32" s="1056"/>
      <c r="AI32" s="989"/>
      <c r="AJ32" s="1056" t="s">
        <v>57</v>
      </c>
      <c r="AK32" s="907">
        <v>9</v>
      </c>
      <c r="AL32" s="1056"/>
      <c r="AM32" s="989"/>
      <c r="AN32" s="906"/>
      <c r="AO32" s="722"/>
      <c r="AP32" s="1019"/>
      <c r="AQ32" s="1004"/>
      <c r="AR32" s="233"/>
      <c r="AS32" s="221"/>
      <c r="AT32" s="222"/>
      <c r="AU32" s="221"/>
      <c r="AV32" s="222"/>
      <c r="AW32" s="221"/>
      <c r="AX32" s="222"/>
      <c r="AY32" s="221"/>
      <c r="AZ32" s="222"/>
      <c r="BA32" s="221"/>
      <c r="BB32" s="222"/>
      <c r="BC32" s="221"/>
      <c r="BD32" s="222"/>
      <c r="BE32" s="221"/>
      <c r="BF32" s="222"/>
      <c r="BG32" s="223"/>
    </row>
    <row r="33" spans="1:59" ht="13.15">
      <c r="A33" s="246" t="s">
        <v>91</v>
      </c>
      <c r="B33" s="226" t="s">
        <v>95</v>
      </c>
      <c r="C33" s="227" t="s">
        <v>38</v>
      </c>
      <c r="D33" s="803">
        <v>811</v>
      </c>
      <c r="E33" s="803">
        <v>811</v>
      </c>
      <c r="F33" s="542">
        <f t="shared" si="0"/>
        <v>0.70216450216450221</v>
      </c>
      <c r="G33" s="1250"/>
      <c r="H33" s="228">
        <v>36</v>
      </c>
      <c r="I33" s="229">
        <v>3.5</v>
      </c>
      <c r="J33" s="230">
        <f t="shared" si="13"/>
        <v>126</v>
      </c>
      <c r="K33" s="226">
        <v>18</v>
      </c>
      <c r="L33" s="226">
        <f t="shared" si="9"/>
        <v>63</v>
      </c>
      <c r="M33" s="226">
        <f t="shared" si="10"/>
        <v>1155</v>
      </c>
      <c r="N33" s="226">
        <f t="shared" si="18"/>
        <v>162</v>
      </c>
      <c r="O33" s="536">
        <f t="shared" si="3"/>
        <v>0.84242424242424241</v>
      </c>
      <c r="P33" s="1250"/>
      <c r="Q33" s="440">
        <f t="shared" si="19"/>
        <v>43.7</v>
      </c>
      <c r="R33" s="1227"/>
      <c r="S33" s="563">
        <f t="shared" si="5"/>
        <v>1016.7</v>
      </c>
      <c r="T33" s="1220"/>
      <c r="U33" s="230">
        <f t="shared" si="7"/>
        <v>138.29999999999995</v>
      </c>
      <c r="V33" s="1221"/>
      <c r="W33" s="762">
        <f t="shared" si="6"/>
        <v>0.8802597402597403</v>
      </c>
      <c r="X33" s="1340"/>
      <c r="Y33" s="198">
        <f t="shared" si="8"/>
        <v>0.8802597402597403</v>
      </c>
      <c r="Z33" s="1305"/>
      <c r="AA33" s="1295"/>
      <c r="AB33" s="415" t="s">
        <v>54</v>
      </c>
      <c r="AC33" s="422">
        <v>162</v>
      </c>
      <c r="AD33" s="906" t="s">
        <v>93</v>
      </c>
      <c r="AE33" s="907">
        <v>10.3</v>
      </c>
      <c r="AF33" s="906" t="s">
        <v>94</v>
      </c>
      <c r="AG33" s="907">
        <v>6.4</v>
      </c>
      <c r="AH33" s="1056" t="s">
        <v>96</v>
      </c>
      <c r="AI33" s="598">
        <v>27</v>
      </c>
      <c r="AJ33" s="1056" t="s">
        <v>97</v>
      </c>
      <c r="AK33" s="907" t="s">
        <v>97</v>
      </c>
      <c r="AL33" s="1056" t="s">
        <v>97</v>
      </c>
      <c r="AM33" s="989" t="s">
        <v>97</v>
      </c>
      <c r="AN33" s="906"/>
      <c r="AO33" s="722"/>
      <c r="AP33" s="906"/>
      <c r="AQ33" s="907"/>
      <c r="AR33" s="233"/>
      <c r="AS33" s="232"/>
      <c r="AT33" s="233"/>
      <c r="AU33" s="232"/>
      <c r="AV33" s="233"/>
      <c r="AW33" s="232"/>
      <c r="AX33" s="233"/>
      <c r="AY33" s="232"/>
      <c r="AZ33" s="233"/>
      <c r="BA33" s="232"/>
      <c r="BB33" s="233"/>
      <c r="BC33" s="232"/>
      <c r="BD33" s="233"/>
      <c r="BE33" s="232"/>
      <c r="BF33" s="233"/>
      <c r="BG33" s="234"/>
    </row>
    <row r="34" spans="1:59" ht="12.6" customHeight="1">
      <c r="A34" s="246" t="s">
        <v>91</v>
      </c>
      <c r="B34" s="226" t="s">
        <v>98</v>
      </c>
      <c r="C34" s="227" t="s">
        <v>38</v>
      </c>
      <c r="D34" s="492">
        <v>766</v>
      </c>
      <c r="E34" s="492">
        <v>764</v>
      </c>
      <c r="F34" s="540">
        <f t="shared" si="0"/>
        <v>0.66147186147186143</v>
      </c>
      <c r="G34" s="1250"/>
      <c r="H34" s="228">
        <v>36</v>
      </c>
      <c r="I34" s="229">
        <v>3.5</v>
      </c>
      <c r="J34" s="230">
        <f t="shared" si="13"/>
        <v>126</v>
      </c>
      <c r="K34" s="226">
        <v>18</v>
      </c>
      <c r="L34" s="226">
        <f t="shared" si="9"/>
        <v>63</v>
      </c>
      <c r="M34" s="226">
        <f t="shared" si="10"/>
        <v>1155</v>
      </c>
      <c r="N34" s="226">
        <f t="shared" si="18"/>
        <v>233</v>
      </c>
      <c r="O34" s="536">
        <f t="shared" si="3"/>
        <v>0.86320346320346319</v>
      </c>
      <c r="P34" s="1250"/>
      <c r="Q34" s="440">
        <f t="shared" si="19"/>
        <v>25.700000000000003</v>
      </c>
      <c r="R34" s="1227"/>
      <c r="S34" s="563">
        <f t="shared" si="5"/>
        <v>1022.7</v>
      </c>
      <c r="T34" s="1215"/>
      <c r="U34" s="230">
        <f t="shared" si="7"/>
        <v>132.29999999999995</v>
      </c>
      <c r="V34" s="1219"/>
      <c r="W34" s="762">
        <f t="shared" si="6"/>
        <v>0.88545454545454549</v>
      </c>
      <c r="X34" s="1340"/>
      <c r="Y34" s="198">
        <f t="shared" si="8"/>
        <v>0.88545454545454549</v>
      </c>
      <c r="Z34" s="1305"/>
      <c r="AA34" s="1295"/>
      <c r="AB34" s="415" t="s">
        <v>54</v>
      </c>
      <c r="AC34" s="422">
        <v>233</v>
      </c>
      <c r="AD34" s="906" t="s">
        <v>93</v>
      </c>
      <c r="AE34" s="907">
        <v>10.3</v>
      </c>
      <c r="AF34" s="906" t="s">
        <v>94</v>
      </c>
      <c r="AG34" s="907">
        <v>6.4</v>
      </c>
      <c r="AH34" s="1056"/>
      <c r="AI34" s="598"/>
      <c r="AJ34" s="1056" t="s">
        <v>99</v>
      </c>
      <c r="AK34" s="907">
        <v>9</v>
      </c>
      <c r="AL34" s="1056" t="s">
        <v>97</v>
      </c>
      <c r="AM34" s="989" t="s">
        <v>97</v>
      </c>
      <c r="AN34" s="906"/>
      <c r="AO34" s="722"/>
      <c r="AP34" s="737"/>
      <c r="AQ34" s="1002"/>
      <c r="AR34" s="233"/>
      <c r="AS34" s="232"/>
      <c r="AT34" s="233"/>
      <c r="AU34" s="232"/>
      <c r="AV34" s="233"/>
      <c r="AW34" s="232"/>
      <c r="AX34" s="233"/>
      <c r="AY34" s="232"/>
      <c r="AZ34" s="233"/>
      <c r="BA34" s="232"/>
      <c r="BB34" s="233"/>
      <c r="BC34" s="232"/>
      <c r="BD34" s="233"/>
      <c r="BE34" s="232"/>
      <c r="BF34" s="233"/>
      <c r="BG34" s="234"/>
    </row>
    <row r="35" spans="1:59" ht="15" customHeight="1">
      <c r="A35" s="257" t="s">
        <v>91</v>
      </c>
      <c r="B35" s="211" t="s">
        <v>100</v>
      </c>
      <c r="C35" s="261" t="s">
        <v>38</v>
      </c>
      <c r="D35" s="210">
        <v>745</v>
      </c>
      <c r="E35" s="210">
        <v>744</v>
      </c>
      <c r="F35" s="534">
        <f t="shared" si="0"/>
        <v>0.64415584415584415</v>
      </c>
      <c r="G35" s="1258">
        <f>G32/'Building Capability'!$D$8</f>
        <v>0.5910612903225807</v>
      </c>
      <c r="H35" s="238">
        <v>36</v>
      </c>
      <c r="I35" s="239">
        <v>3.5</v>
      </c>
      <c r="J35" s="210">
        <f t="shared" si="13"/>
        <v>126</v>
      </c>
      <c r="K35" s="211">
        <v>18</v>
      </c>
      <c r="L35" s="211">
        <f t="shared" si="9"/>
        <v>63</v>
      </c>
      <c r="M35" s="211">
        <f t="shared" si="10"/>
        <v>1155</v>
      </c>
      <c r="N35" s="226">
        <f t="shared" si="18"/>
        <v>239</v>
      </c>
      <c r="O35" s="559">
        <f t="shared" si="3"/>
        <v>0.85108225108225111</v>
      </c>
      <c r="P35" s="1318">
        <f>P32/'Building Capability'!$D$8</f>
        <v>0.22339139784946235</v>
      </c>
      <c r="Q35" s="561">
        <f t="shared" si="19"/>
        <v>43.7</v>
      </c>
      <c r="R35" s="1365">
        <f>R32/'Building Capability'!$D$8</f>
        <v>3.5255053763440868E-2</v>
      </c>
      <c r="S35" s="563">
        <f t="shared" si="5"/>
        <v>1026.7</v>
      </c>
      <c r="T35" s="1368">
        <f>T32/'Building Capability'!$D$8</f>
        <v>0.84970774193548393</v>
      </c>
      <c r="U35" s="230">
        <f t="shared" si="7"/>
        <v>128.29999999999995</v>
      </c>
      <c r="V35" s="1208">
        <f>V32/'Building Capability'!$D$8</f>
        <v>0.14969333333333332</v>
      </c>
      <c r="W35" s="762">
        <f t="shared" si="6"/>
        <v>0.888917748917749</v>
      </c>
      <c r="X35" s="1340"/>
      <c r="Y35" s="198">
        <f t="shared" si="8"/>
        <v>0.888917748917749</v>
      </c>
      <c r="Z35" s="1305"/>
      <c r="AA35" s="1303"/>
      <c r="AB35" s="415" t="s">
        <v>54</v>
      </c>
      <c r="AC35" s="422">
        <v>239</v>
      </c>
      <c r="AD35" s="906" t="s">
        <v>93</v>
      </c>
      <c r="AE35" s="907">
        <v>10.3</v>
      </c>
      <c r="AF35" s="906" t="s">
        <v>94</v>
      </c>
      <c r="AG35" s="907">
        <v>6.4</v>
      </c>
      <c r="AH35" s="1056" t="s">
        <v>96</v>
      </c>
      <c r="AI35" s="989">
        <v>27</v>
      </c>
      <c r="AJ35" s="1056" t="s">
        <v>97</v>
      </c>
      <c r="AK35" s="989" t="s">
        <v>97</v>
      </c>
      <c r="AL35" s="1056" t="s">
        <v>97</v>
      </c>
      <c r="AM35" s="989" t="s">
        <v>97</v>
      </c>
      <c r="AN35" s="597"/>
      <c r="AO35" s="724"/>
      <c r="AP35" s="737"/>
      <c r="AQ35" s="1002"/>
      <c r="AR35" s="233"/>
      <c r="AS35" s="232"/>
      <c r="AT35" s="233"/>
      <c r="AU35" s="232"/>
      <c r="AV35" s="233"/>
      <c r="AW35" s="232"/>
      <c r="AX35" s="233"/>
      <c r="AY35" s="232"/>
      <c r="AZ35" s="233"/>
      <c r="BA35" s="232"/>
      <c r="BB35" s="233"/>
      <c r="BC35" s="232"/>
      <c r="BD35" s="233"/>
      <c r="BE35" s="232"/>
      <c r="BF35" s="233"/>
      <c r="BG35" s="234"/>
    </row>
    <row r="36" spans="1:59" ht="13.15">
      <c r="A36" s="861" t="s">
        <v>91</v>
      </c>
      <c r="B36" s="862" t="s">
        <v>101</v>
      </c>
      <c r="C36" s="863" t="s">
        <v>38</v>
      </c>
      <c r="D36" s="864">
        <v>721</v>
      </c>
      <c r="E36" s="864">
        <v>724</v>
      </c>
      <c r="F36" s="865">
        <f t="shared" ref="F36:F67" si="20">E36/M36</f>
        <v>0.62683982683982686</v>
      </c>
      <c r="G36" s="1259"/>
      <c r="H36" s="866">
        <v>36</v>
      </c>
      <c r="I36" s="867">
        <v>3.5</v>
      </c>
      <c r="J36" s="864">
        <f t="shared" si="13"/>
        <v>126</v>
      </c>
      <c r="K36" s="862">
        <v>18</v>
      </c>
      <c r="L36" s="862">
        <f t="shared" si="9"/>
        <v>63</v>
      </c>
      <c r="M36" s="862">
        <f t="shared" si="10"/>
        <v>1155</v>
      </c>
      <c r="N36" s="862">
        <f t="shared" si="18"/>
        <v>211</v>
      </c>
      <c r="O36" s="868">
        <f t="shared" ref="O36:O67" si="21">(E36+N36)/M36</f>
        <v>0.80952380952380953</v>
      </c>
      <c r="P36" s="1363"/>
      <c r="Q36" s="776">
        <f t="shared" si="19"/>
        <v>54</v>
      </c>
      <c r="R36" s="1366"/>
      <c r="S36" s="895">
        <f t="shared" ref="S36:S67" si="22">SUM(E36+N36+Q36)</f>
        <v>989</v>
      </c>
      <c r="T36" s="1369"/>
      <c r="U36" s="864">
        <f t="shared" si="7"/>
        <v>166</v>
      </c>
      <c r="V36" s="1213"/>
      <c r="W36" s="763">
        <f t="shared" ref="W36:W75" si="23">S36/M36</f>
        <v>0.8562770562770563</v>
      </c>
      <c r="X36" s="1340"/>
      <c r="Y36" s="256">
        <f t="shared" si="8"/>
        <v>0.8562770562770563</v>
      </c>
      <c r="Z36" s="1305"/>
      <c r="AA36" s="1296"/>
      <c r="AB36" s="415" t="s">
        <v>54</v>
      </c>
      <c r="AC36" s="422">
        <v>211</v>
      </c>
      <c r="AD36" s="824"/>
      <c r="AE36" s="825"/>
      <c r="AF36" s="824"/>
      <c r="AG36" s="825"/>
      <c r="AH36" s="1056" t="s">
        <v>96</v>
      </c>
      <c r="AI36" s="598">
        <v>54</v>
      </c>
      <c r="AJ36" s="1056"/>
      <c r="AK36" s="598"/>
      <c r="AL36" s="1056"/>
      <c r="AM36" s="598"/>
      <c r="AN36" s="597"/>
      <c r="AO36" s="598"/>
      <c r="AP36" s="233"/>
      <c r="AQ36" s="232"/>
      <c r="AR36" s="233"/>
      <c r="AS36" s="232"/>
      <c r="AT36" s="233"/>
      <c r="AU36" s="232"/>
      <c r="AV36" s="233"/>
      <c r="AW36" s="232"/>
      <c r="AX36" s="233"/>
      <c r="AY36" s="232"/>
      <c r="AZ36" s="233"/>
      <c r="BA36" s="232"/>
      <c r="BB36" s="233"/>
      <c r="BC36" s="232"/>
      <c r="BD36" s="233"/>
      <c r="BE36" s="232"/>
      <c r="BF36" s="233"/>
      <c r="BG36" s="234"/>
    </row>
    <row r="37" spans="1:59" ht="13.5" customHeight="1">
      <c r="A37" s="860" t="s">
        <v>91</v>
      </c>
      <c r="B37" s="266" t="s">
        <v>102</v>
      </c>
      <c r="C37" s="940" t="s">
        <v>103</v>
      </c>
      <c r="D37" s="1139">
        <v>694</v>
      </c>
      <c r="E37" s="1139">
        <v>696</v>
      </c>
      <c r="F37" s="545">
        <f t="shared" si="20"/>
        <v>0.5058139534883721</v>
      </c>
      <c r="G37" s="1259"/>
      <c r="H37" s="992">
        <v>51</v>
      </c>
      <c r="I37" s="993">
        <v>3</v>
      </c>
      <c r="J37" s="994">
        <f>INT(H37*I37)</f>
        <v>153</v>
      </c>
      <c r="K37" s="992">
        <v>26</v>
      </c>
      <c r="L37" s="1003">
        <f t="shared" si="9"/>
        <v>75</v>
      </c>
      <c r="M37" s="995">
        <f t="shared" si="10"/>
        <v>1376</v>
      </c>
      <c r="N37" s="995">
        <f t="shared" si="18"/>
        <v>430</v>
      </c>
      <c r="O37" s="858">
        <f t="shared" si="21"/>
        <v>0.8183139534883721</v>
      </c>
      <c r="P37" s="1363"/>
      <c r="Q37" s="999">
        <f t="shared" si="19"/>
        <v>54</v>
      </c>
      <c r="R37" s="1366"/>
      <c r="S37" s="1000">
        <f t="shared" si="22"/>
        <v>1180</v>
      </c>
      <c r="T37" s="1369"/>
      <c r="U37" s="1001">
        <f t="shared" si="7"/>
        <v>196</v>
      </c>
      <c r="V37" s="1213"/>
      <c r="W37" s="870">
        <f t="shared" si="23"/>
        <v>0.85755813953488369</v>
      </c>
      <c r="X37" s="1340"/>
      <c r="Z37" s="1305"/>
      <c r="AA37" s="859"/>
      <c r="AB37" s="415" t="s">
        <v>54</v>
      </c>
      <c r="AC37" s="422">
        <v>430</v>
      </c>
      <c r="AD37" s="528"/>
      <c r="AE37" s="529"/>
      <c r="AF37" s="906"/>
      <c r="AG37" s="1036"/>
      <c r="AH37" s="1056" t="s">
        <v>104</v>
      </c>
      <c r="AI37" s="989">
        <v>54</v>
      </c>
      <c r="AJ37" s="597" t="s">
        <v>97</v>
      </c>
      <c r="AK37" s="598" t="s">
        <v>97</v>
      </c>
      <c r="AL37" s="597" t="s">
        <v>97</v>
      </c>
      <c r="AM37" s="598" t="s">
        <v>97</v>
      </c>
      <c r="AN37" s="597"/>
      <c r="AO37" s="722"/>
      <c r="AP37" s="233"/>
      <c r="AQ37" s="232"/>
      <c r="AR37" s="233"/>
      <c r="AS37" s="232"/>
      <c r="AT37" s="233"/>
      <c r="AU37" s="232"/>
      <c r="AV37" s="233"/>
      <c r="AW37" s="232"/>
      <c r="AX37" s="233"/>
      <c r="AY37" s="232"/>
      <c r="AZ37" s="233"/>
      <c r="BA37" s="232"/>
      <c r="BB37" s="233"/>
      <c r="BC37" s="232"/>
      <c r="BD37" s="233"/>
      <c r="BE37" s="232"/>
      <c r="BF37" s="233"/>
      <c r="BG37" s="234"/>
    </row>
    <row r="38" spans="1:59" ht="16.5" customHeight="1">
      <c r="A38" s="853" t="s">
        <v>91</v>
      </c>
      <c r="B38" s="854" t="s">
        <v>105</v>
      </c>
      <c r="C38" s="941" t="s">
        <v>103</v>
      </c>
      <c r="D38" s="1140">
        <v>640</v>
      </c>
      <c r="E38" s="1140">
        <v>640</v>
      </c>
      <c r="F38" s="855">
        <f t="shared" si="20"/>
        <v>0.46511627906976744</v>
      </c>
      <c r="G38" s="1260"/>
      <c r="H38" s="996">
        <v>51</v>
      </c>
      <c r="I38" s="997">
        <v>3</v>
      </c>
      <c r="J38" s="998">
        <f>INT(H38*I38)</f>
        <v>153</v>
      </c>
      <c r="K38" s="996">
        <v>26</v>
      </c>
      <c r="L38" s="1003">
        <f t="shared" si="9"/>
        <v>75</v>
      </c>
      <c r="M38" s="996">
        <f t="shared" si="10"/>
        <v>1376</v>
      </c>
      <c r="N38" s="996">
        <f t="shared" si="18"/>
        <v>492</v>
      </c>
      <c r="O38" s="856">
        <f t="shared" si="21"/>
        <v>0.82267441860465118</v>
      </c>
      <c r="P38" s="1364"/>
      <c r="Q38" s="999">
        <f t="shared" si="19"/>
        <v>54</v>
      </c>
      <c r="R38" s="1367"/>
      <c r="S38" s="1000">
        <f t="shared" si="22"/>
        <v>1186</v>
      </c>
      <c r="T38" s="1370"/>
      <c r="U38" s="1001">
        <f t="shared" si="7"/>
        <v>190</v>
      </c>
      <c r="V38" s="1209"/>
      <c r="W38" s="871">
        <f t="shared" si="23"/>
        <v>0.86191860465116277</v>
      </c>
      <c r="X38" s="1341"/>
      <c r="Z38" s="1306"/>
      <c r="AA38" s="859"/>
      <c r="AB38" s="415" t="s">
        <v>54</v>
      </c>
      <c r="AC38" s="422">
        <v>492</v>
      </c>
      <c r="AD38" s="242"/>
      <c r="AE38" s="241"/>
      <c r="AF38" s="906"/>
      <c r="AG38" s="1036"/>
      <c r="AH38" s="1056" t="s">
        <v>104</v>
      </c>
      <c r="AI38" s="989">
        <v>54</v>
      </c>
      <c r="AJ38" s="597" t="s">
        <v>97</v>
      </c>
      <c r="AK38" s="598" t="s">
        <v>97</v>
      </c>
      <c r="AL38" s="597" t="s">
        <v>97</v>
      </c>
      <c r="AM38" s="598" t="s">
        <v>97</v>
      </c>
      <c r="AN38" s="597"/>
      <c r="AO38" s="722"/>
      <c r="AP38" s="233"/>
      <c r="AQ38" s="232"/>
      <c r="AR38" s="233"/>
      <c r="AS38" s="232"/>
      <c r="AT38" s="233"/>
      <c r="AU38" s="232"/>
      <c r="AV38" s="233"/>
      <c r="AW38" s="232"/>
      <c r="AX38" s="233"/>
      <c r="AY38" s="232"/>
      <c r="AZ38" s="233"/>
      <c r="BA38" s="232"/>
      <c r="BB38" s="233"/>
      <c r="BC38" s="232"/>
      <c r="BD38" s="233"/>
      <c r="BE38" s="232"/>
      <c r="BF38" s="233"/>
      <c r="BG38" s="234"/>
    </row>
    <row r="39" spans="1:59" ht="13.15">
      <c r="A39" s="244" t="s">
        <v>106</v>
      </c>
      <c r="B39" s="215" t="s">
        <v>107</v>
      </c>
      <c r="C39" s="216" t="s">
        <v>108</v>
      </c>
      <c r="D39" s="219">
        <v>747</v>
      </c>
      <c r="E39" s="219">
        <v>736</v>
      </c>
      <c r="F39" s="547">
        <f t="shared" si="20"/>
        <v>0.63722943722943726</v>
      </c>
      <c r="G39" s="1256">
        <f>SUM(E39:E46)*54.5/1000</f>
        <v>285.08949999999999</v>
      </c>
      <c r="H39" s="217">
        <v>44</v>
      </c>
      <c r="I39" s="218">
        <v>3</v>
      </c>
      <c r="J39" s="215">
        <f t="shared" si="13"/>
        <v>132</v>
      </c>
      <c r="K39" s="215">
        <v>23</v>
      </c>
      <c r="L39" s="215">
        <f t="shared" si="9"/>
        <v>63</v>
      </c>
      <c r="M39" s="215">
        <f t="shared" si="10"/>
        <v>1155</v>
      </c>
      <c r="N39" s="215">
        <f t="shared" ref="N39:N44" si="24">SUM(AC39)</f>
        <v>20</v>
      </c>
      <c r="O39" s="538">
        <f t="shared" si="21"/>
        <v>0.65454545454545454</v>
      </c>
      <c r="P39" s="1256">
        <f>SUM(N39:N46)*54.5/1000</f>
        <v>67.307500000000005</v>
      </c>
      <c r="Q39" s="557">
        <f>SUM(AE39:BG39)</f>
        <v>54</v>
      </c>
      <c r="R39" s="1320">
        <f>SUM(Q39:Q46)*54.5/1000</f>
        <v>20.388449999999999</v>
      </c>
      <c r="S39" s="562">
        <f t="shared" si="22"/>
        <v>810</v>
      </c>
      <c r="T39" s="1214">
        <f>SUM(S39:S46)*54.5/1000</f>
        <v>372.78544999999997</v>
      </c>
      <c r="U39" s="219">
        <f t="shared" si="7"/>
        <v>345</v>
      </c>
      <c r="V39" s="1218">
        <f>SUM(U39:U46)*54.5/1000</f>
        <v>88.829549999999983</v>
      </c>
      <c r="W39" s="869">
        <f t="shared" si="23"/>
        <v>0.70129870129870131</v>
      </c>
      <c r="X39" s="1340">
        <f>(G39+P39+R39)/'Building Capability'!$D$9</f>
        <v>0.80689491341991337</v>
      </c>
      <c r="Y39" s="245">
        <f t="shared" si="8"/>
        <v>0.70129870129870131</v>
      </c>
      <c r="Z39" s="1286">
        <f>(G39+P39+R39)/'Building Capability'!$F$9</f>
        <v>0.80689491341991337</v>
      </c>
      <c r="AA39" s="1299" t="e">
        <f>((G39+P39)+SUM('Inverter Loading'!#REF!:'Inverter Loading'!#REF!))/'Building Capability'!$G$9</f>
        <v>#REF!</v>
      </c>
      <c r="AB39" s="417" t="s">
        <v>54</v>
      </c>
      <c r="AC39" s="425">
        <v>20</v>
      </c>
      <c r="AD39" s="488" t="s">
        <v>109</v>
      </c>
      <c r="AE39" s="490">
        <v>20</v>
      </c>
      <c r="AF39" s="1054" t="s">
        <v>110</v>
      </c>
      <c r="AG39" s="1055">
        <v>24</v>
      </c>
      <c r="AH39" s="1054" t="s">
        <v>111</v>
      </c>
      <c r="AI39" s="1055">
        <v>10</v>
      </c>
      <c r="AJ39" s="1054"/>
      <c r="AK39" s="1055"/>
      <c r="AL39" s="1026"/>
      <c r="AM39" s="1025"/>
      <c r="AN39" s="599"/>
      <c r="AO39" s="725"/>
      <c r="AP39" s="1019"/>
      <c r="AQ39" s="1004"/>
      <c r="AR39" s="599"/>
      <c r="AS39" s="600"/>
      <c r="AT39" s="599"/>
      <c r="AU39" s="600"/>
      <c r="AV39" s="599"/>
      <c r="AW39" s="600"/>
      <c r="AX39" s="599" t="s">
        <v>97</v>
      </c>
      <c r="AY39" s="221"/>
      <c r="AZ39" s="222"/>
      <c r="BA39" s="221"/>
      <c r="BB39" s="222"/>
      <c r="BC39" s="221"/>
      <c r="BD39" s="222"/>
      <c r="BE39" s="221"/>
      <c r="BF39" s="222"/>
      <c r="BG39" s="223"/>
    </row>
    <row r="40" spans="1:59" ht="14.85" customHeight="1">
      <c r="A40" s="246" t="s">
        <v>106</v>
      </c>
      <c r="B40" s="226" t="s">
        <v>112</v>
      </c>
      <c r="C40" s="227" t="s">
        <v>108</v>
      </c>
      <c r="D40" s="230">
        <v>766</v>
      </c>
      <c r="E40" s="230">
        <v>754</v>
      </c>
      <c r="F40" s="542">
        <f t="shared" si="20"/>
        <v>0.65281385281385285</v>
      </c>
      <c r="G40" s="1241"/>
      <c r="H40" s="228">
        <v>44</v>
      </c>
      <c r="I40" s="229">
        <v>3</v>
      </c>
      <c r="J40" s="226">
        <f t="shared" si="13"/>
        <v>132</v>
      </c>
      <c r="K40" s="226">
        <v>23</v>
      </c>
      <c r="L40" s="226">
        <f t="shared" si="9"/>
        <v>63</v>
      </c>
      <c r="M40" s="226">
        <f t="shared" si="10"/>
        <v>1155</v>
      </c>
      <c r="N40" s="226">
        <f t="shared" si="24"/>
        <v>56</v>
      </c>
      <c r="O40" s="536">
        <f t="shared" si="21"/>
        <v>0.70129870129870131</v>
      </c>
      <c r="P40" s="1241"/>
      <c r="Q40" s="440">
        <f t="shared" ref="Q40:Q55" si="25">SUM(AE40:BG40)</f>
        <v>29</v>
      </c>
      <c r="R40" s="1337"/>
      <c r="S40" s="563">
        <f t="shared" si="22"/>
        <v>839</v>
      </c>
      <c r="T40" s="1220"/>
      <c r="U40" s="230">
        <f t="shared" si="7"/>
        <v>316</v>
      </c>
      <c r="V40" s="1221"/>
      <c r="W40" s="762">
        <f t="shared" si="23"/>
        <v>0.72640692640692639</v>
      </c>
      <c r="X40" s="1340"/>
      <c r="Y40" s="198">
        <f t="shared" si="8"/>
        <v>0.72640692640692639</v>
      </c>
      <c r="Z40" s="1287"/>
      <c r="AA40" s="1300"/>
      <c r="AB40" s="415" t="s">
        <v>54</v>
      </c>
      <c r="AC40" s="816">
        <v>56</v>
      </c>
      <c r="AD40" s="824" t="s">
        <v>109</v>
      </c>
      <c r="AE40" s="825">
        <v>19</v>
      </c>
      <c r="AF40" s="1056" t="s">
        <v>111</v>
      </c>
      <c r="AG40" s="1057">
        <v>10</v>
      </c>
      <c r="AH40" s="1056"/>
      <c r="AI40" s="1057"/>
      <c r="AJ40" s="1056"/>
      <c r="AK40" s="1057"/>
      <c r="AL40" s="597"/>
      <c r="AM40" s="722"/>
      <c r="AN40" s="597"/>
      <c r="AO40" s="722"/>
      <c r="AP40" s="906"/>
      <c r="AQ40" s="907"/>
      <c r="AR40" s="597"/>
      <c r="AS40" s="598"/>
      <c r="AT40" s="597"/>
      <c r="AU40" s="598"/>
      <c r="AV40" s="597"/>
      <c r="AW40" s="598"/>
      <c r="AX40" s="597" t="s">
        <v>97</v>
      </c>
      <c r="AY40" s="232"/>
      <c r="AZ40" s="233"/>
      <c r="BA40" s="232"/>
      <c r="BB40" s="233"/>
      <c r="BC40" s="232"/>
      <c r="BD40" s="233"/>
      <c r="BE40" s="232"/>
      <c r="BF40" s="233"/>
      <c r="BG40" s="234"/>
    </row>
    <row r="41" spans="1:59" ht="14.85" customHeight="1">
      <c r="A41" s="246" t="s">
        <v>106</v>
      </c>
      <c r="B41" s="226" t="s">
        <v>113</v>
      </c>
      <c r="C41" s="227" t="s">
        <v>108</v>
      </c>
      <c r="D41" s="230">
        <v>772</v>
      </c>
      <c r="E41" s="230">
        <v>771</v>
      </c>
      <c r="F41" s="533">
        <f t="shared" si="20"/>
        <v>0.66753246753246753</v>
      </c>
      <c r="G41" s="1242"/>
      <c r="H41" s="228">
        <v>44</v>
      </c>
      <c r="I41" s="229">
        <v>3</v>
      </c>
      <c r="J41" s="226">
        <f t="shared" si="13"/>
        <v>132</v>
      </c>
      <c r="K41" s="226">
        <v>23</v>
      </c>
      <c r="L41" s="226">
        <f t="shared" si="9"/>
        <v>63</v>
      </c>
      <c r="M41" s="226">
        <f t="shared" si="10"/>
        <v>1155</v>
      </c>
      <c r="N41" s="226">
        <f t="shared" si="24"/>
        <v>151</v>
      </c>
      <c r="O41" s="536">
        <f t="shared" si="21"/>
        <v>0.79826839826839824</v>
      </c>
      <c r="P41" s="1242"/>
      <c r="Q41" s="440">
        <f>SUM(AE41:BG41)</f>
        <v>10</v>
      </c>
      <c r="R41" s="1321"/>
      <c r="S41" s="563">
        <f t="shared" si="22"/>
        <v>932</v>
      </c>
      <c r="T41" s="1215"/>
      <c r="U41" s="230">
        <f t="shared" si="7"/>
        <v>223</v>
      </c>
      <c r="V41" s="1219"/>
      <c r="W41" s="762">
        <f t="shared" si="23"/>
        <v>0.80692640692640694</v>
      </c>
      <c r="X41" s="1340"/>
      <c r="Y41" s="198">
        <f t="shared" si="8"/>
        <v>0.80692640692640694</v>
      </c>
      <c r="Z41" s="1287"/>
      <c r="AA41" s="1300"/>
      <c r="AB41" s="415" t="s">
        <v>54</v>
      </c>
      <c r="AC41" s="816">
        <v>151</v>
      </c>
      <c r="AD41" s="597"/>
      <c r="AE41" s="722"/>
      <c r="AF41" s="597" t="s">
        <v>111</v>
      </c>
      <c r="AG41" s="724">
        <v>10</v>
      </c>
      <c r="AH41" s="597"/>
      <c r="AI41" s="724"/>
      <c r="AJ41" s="1056"/>
      <c r="AK41" s="1057"/>
      <c r="AL41" s="597"/>
      <c r="AM41" s="722"/>
      <c r="AN41" s="597"/>
      <c r="AO41" s="722"/>
      <c r="AP41" s="906"/>
      <c r="AQ41" s="907"/>
      <c r="AR41" s="597"/>
      <c r="AS41" s="598"/>
      <c r="AT41" s="597"/>
      <c r="AU41" s="598"/>
      <c r="AV41" s="597"/>
      <c r="AW41" s="598"/>
      <c r="AX41" s="597" t="s">
        <v>97</v>
      </c>
      <c r="AY41" s="232"/>
      <c r="AZ41" s="233"/>
      <c r="BA41" s="232"/>
      <c r="BB41" s="233"/>
      <c r="BC41" s="232"/>
      <c r="BD41" s="233"/>
      <c r="BE41" s="232"/>
      <c r="BF41" s="233"/>
      <c r="BG41" s="234"/>
    </row>
    <row r="42" spans="1:59" ht="14.1" customHeight="1">
      <c r="A42" s="246" t="s">
        <v>106</v>
      </c>
      <c r="B42" s="226" t="s">
        <v>114</v>
      </c>
      <c r="C42" s="227" t="s">
        <v>108</v>
      </c>
      <c r="D42" s="230">
        <v>762</v>
      </c>
      <c r="E42" s="230">
        <v>764</v>
      </c>
      <c r="F42" s="542">
        <f t="shared" si="20"/>
        <v>0.66147186147186143</v>
      </c>
      <c r="G42" s="1376">
        <f>G39/'Building Capability'!$D$9</f>
        <v>0.61707683982683981</v>
      </c>
      <c r="H42" s="228">
        <v>44</v>
      </c>
      <c r="I42" s="229">
        <v>3</v>
      </c>
      <c r="J42" s="226">
        <f t="shared" si="13"/>
        <v>132</v>
      </c>
      <c r="K42" s="226">
        <v>23</v>
      </c>
      <c r="L42" s="226">
        <f t="shared" si="9"/>
        <v>63</v>
      </c>
      <c r="M42" s="226">
        <f t="shared" si="10"/>
        <v>1155</v>
      </c>
      <c r="N42" s="226">
        <f t="shared" si="24"/>
        <v>159</v>
      </c>
      <c r="O42" s="536">
        <f t="shared" si="21"/>
        <v>0.79913419913419914</v>
      </c>
      <c r="P42" s="1264">
        <f>P39/'Building Capability'!$D$9</f>
        <v>0.14568722943722945</v>
      </c>
      <c r="Q42" s="440">
        <f>SUM(AE42:BG42)</f>
        <v>19</v>
      </c>
      <c r="R42" s="1232">
        <f>R39/'Building Capability'!$D$9</f>
        <v>4.4130844155844152E-2</v>
      </c>
      <c r="S42" s="896">
        <f t="shared" si="22"/>
        <v>942</v>
      </c>
      <c r="T42" s="1216">
        <f>T39/'Building Capability'!$D$9</f>
        <v>0.80689491341991337</v>
      </c>
      <c r="U42" s="230">
        <f t="shared" si="7"/>
        <v>213</v>
      </c>
      <c r="V42" s="1205">
        <f>V39/'Building Capability'!$D$9</f>
        <v>0.19227175324675322</v>
      </c>
      <c r="W42" s="762">
        <f t="shared" si="23"/>
        <v>0.81558441558441563</v>
      </c>
      <c r="X42" s="1340"/>
      <c r="Y42" s="198">
        <f t="shared" si="8"/>
        <v>0.81558441558441563</v>
      </c>
      <c r="Z42" s="1287"/>
      <c r="AA42" s="1300"/>
      <c r="AB42" s="415" t="s">
        <v>54</v>
      </c>
      <c r="AC42" s="816">
        <v>159</v>
      </c>
      <c r="AD42" s="906" t="s">
        <v>111</v>
      </c>
      <c r="AE42" s="907">
        <v>10</v>
      </c>
      <c r="AF42" s="906" t="s">
        <v>57</v>
      </c>
      <c r="AG42" s="907">
        <v>9</v>
      </c>
      <c r="AH42" s="597"/>
      <c r="AI42" s="724"/>
      <c r="AJ42" s="1056"/>
      <c r="AK42" s="1057"/>
      <c r="AL42" s="597"/>
      <c r="AM42" s="722"/>
      <c r="AN42" s="597"/>
      <c r="AO42" s="722"/>
      <c r="AP42" s="906"/>
      <c r="AQ42" s="907"/>
      <c r="AR42" s="597"/>
      <c r="AS42" s="598"/>
      <c r="AT42" s="597"/>
      <c r="AU42" s="598"/>
      <c r="AV42" s="597"/>
      <c r="AW42" s="598"/>
      <c r="AX42" s="597" t="s">
        <v>97</v>
      </c>
      <c r="AY42" s="232"/>
      <c r="AZ42" s="233"/>
      <c r="BA42" s="232"/>
      <c r="BB42" s="233"/>
      <c r="BC42" s="232"/>
      <c r="BD42" s="233"/>
      <c r="BE42" s="232"/>
      <c r="BF42" s="233"/>
      <c r="BG42" s="234"/>
    </row>
    <row r="43" spans="1:59" ht="12" customHeight="1">
      <c r="A43" s="246" t="s">
        <v>106</v>
      </c>
      <c r="B43" s="226" t="s">
        <v>115</v>
      </c>
      <c r="C43" s="227" t="s">
        <v>108</v>
      </c>
      <c r="D43" s="230">
        <v>789</v>
      </c>
      <c r="E43" s="230">
        <v>794</v>
      </c>
      <c r="F43" s="542">
        <f t="shared" si="20"/>
        <v>0.68744588744588742</v>
      </c>
      <c r="G43" s="1377"/>
      <c r="H43" s="228">
        <v>44</v>
      </c>
      <c r="I43" s="229">
        <v>3</v>
      </c>
      <c r="J43" s="226">
        <f t="shared" si="13"/>
        <v>132</v>
      </c>
      <c r="K43" s="226">
        <v>23</v>
      </c>
      <c r="L43" s="226">
        <f t="shared" si="9"/>
        <v>63</v>
      </c>
      <c r="M43" s="226">
        <f t="shared" si="10"/>
        <v>1155</v>
      </c>
      <c r="N43" s="226">
        <f t="shared" si="24"/>
        <v>104</v>
      </c>
      <c r="O43" s="536">
        <f t="shared" si="21"/>
        <v>0.77748917748917745</v>
      </c>
      <c r="P43" s="1265"/>
      <c r="Q43" s="440">
        <f t="shared" si="25"/>
        <v>28</v>
      </c>
      <c r="R43" s="1233"/>
      <c r="S43" s="896">
        <f t="shared" si="22"/>
        <v>926</v>
      </c>
      <c r="T43" s="1222"/>
      <c r="U43" s="230">
        <f t="shared" si="7"/>
        <v>229</v>
      </c>
      <c r="V43" s="1206"/>
      <c r="W43" s="762">
        <f t="shared" si="23"/>
        <v>0.80173160173160174</v>
      </c>
      <c r="X43" s="1340"/>
      <c r="Y43" s="198">
        <f t="shared" si="8"/>
        <v>0.80173160173160174</v>
      </c>
      <c r="Z43" s="1287"/>
      <c r="AA43" s="1301"/>
      <c r="AB43" s="415" t="s">
        <v>54</v>
      </c>
      <c r="AC43" s="816">
        <v>104</v>
      </c>
      <c r="AD43" s="906" t="s">
        <v>111</v>
      </c>
      <c r="AE43" s="907">
        <v>10</v>
      </c>
      <c r="AF43" s="906" t="s">
        <v>57</v>
      </c>
      <c r="AG43" s="907">
        <v>18</v>
      </c>
      <c r="AH43" s="597"/>
      <c r="AI43" s="724"/>
      <c r="AJ43" s="1056"/>
      <c r="AK43" s="1057"/>
      <c r="AL43" s="597"/>
      <c r="AM43" s="722"/>
      <c r="AN43" s="597"/>
      <c r="AO43" s="722"/>
      <c r="AP43" s="906"/>
      <c r="AQ43" s="907"/>
      <c r="AR43" s="597"/>
      <c r="AS43" s="598"/>
      <c r="AT43" s="597"/>
      <c r="AU43" s="598"/>
      <c r="AV43" s="597"/>
      <c r="AW43" s="598"/>
      <c r="AX43" s="597" t="s">
        <v>97</v>
      </c>
      <c r="AY43" s="232"/>
      <c r="AZ43" s="233"/>
      <c r="BA43" s="232"/>
      <c r="BB43" s="233"/>
      <c r="BC43" s="232"/>
      <c r="BD43" s="233"/>
      <c r="BE43" s="232"/>
      <c r="BF43" s="233"/>
      <c r="BG43" s="234"/>
    </row>
    <row r="44" spans="1:59" ht="14.85" customHeight="1">
      <c r="A44" s="246" t="s">
        <v>106</v>
      </c>
      <c r="B44" s="226" t="s">
        <v>116</v>
      </c>
      <c r="C44" s="227" t="s">
        <v>108</v>
      </c>
      <c r="D44" s="230">
        <v>824</v>
      </c>
      <c r="E44" s="230">
        <v>839</v>
      </c>
      <c r="F44" s="542">
        <f t="shared" si="20"/>
        <v>0.72640692640692639</v>
      </c>
      <c r="G44" s="1377"/>
      <c r="H44" s="228">
        <v>44</v>
      </c>
      <c r="I44" s="229">
        <v>3</v>
      </c>
      <c r="J44" s="226">
        <f t="shared" si="13"/>
        <v>132</v>
      </c>
      <c r="K44" s="226">
        <v>23</v>
      </c>
      <c r="L44" s="226">
        <f t="shared" si="9"/>
        <v>63</v>
      </c>
      <c r="M44" s="226">
        <f t="shared" si="10"/>
        <v>1155</v>
      </c>
      <c r="N44" s="226">
        <f t="shared" si="24"/>
        <v>187</v>
      </c>
      <c r="O44" s="536">
        <f t="shared" si="21"/>
        <v>0.88831168831168827</v>
      </c>
      <c r="P44" s="1265"/>
      <c r="Q44" s="440">
        <f>SUM(AE44:BG44)</f>
        <v>19</v>
      </c>
      <c r="R44" s="1233"/>
      <c r="S44" s="896">
        <f t="shared" si="22"/>
        <v>1045</v>
      </c>
      <c r="T44" s="1222"/>
      <c r="U44" s="230">
        <f t="shared" si="7"/>
        <v>110</v>
      </c>
      <c r="V44" s="1206"/>
      <c r="W44" s="762">
        <f t="shared" si="23"/>
        <v>0.90476190476190477</v>
      </c>
      <c r="X44" s="1340"/>
      <c r="Y44" s="256">
        <f t="shared" si="8"/>
        <v>0.90476190476190477</v>
      </c>
      <c r="Z44" s="1287"/>
      <c r="AA44" s="1302"/>
      <c r="AB44" s="415" t="s">
        <v>54</v>
      </c>
      <c r="AC44" s="816">
        <v>187</v>
      </c>
      <c r="AD44" s="906" t="s">
        <v>111</v>
      </c>
      <c r="AE44" s="907">
        <v>10</v>
      </c>
      <c r="AF44" s="906" t="s">
        <v>57</v>
      </c>
      <c r="AG44" s="907">
        <v>9</v>
      </c>
      <c r="AH44" s="597"/>
      <c r="AI44" s="724"/>
      <c r="AJ44" s="1056"/>
      <c r="AK44" s="1057"/>
      <c r="AL44" s="597"/>
      <c r="AM44" s="722"/>
      <c r="AN44" s="597"/>
      <c r="AO44" s="722"/>
      <c r="AP44" s="906"/>
      <c r="AQ44" s="907"/>
      <c r="AR44" s="597"/>
      <c r="AS44" s="598"/>
      <c r="AT44" s="597"/>
      <c r="AU44" s="598"/>
      <c r="AV44" s="597"/>
      <c r="AW44" s="598"/>
      <c r="AX44" s="597" t="s">
        <v>97</v>
      </c>
      <c r="AY44" s="232"/>
      <c r="AZ44" s="233"/>
      <c r="BA44" s="232"/>
      <c r="BB44" s="233"/>
      <c r="BC44" s="232"/>
      <c r="BD44" s="233"/>
      <c r="BE44" s="232"/>
      <c r="BF44" s="233"/>
      <c r="BG44" s="234"/>
    </row>
    <row r="45" spans="1:59" ht="13.35" customHeight="1">
      <c r="A45" s="826" t="s">
        <v>106</v>
      </c>
      <c r="B45" s="818" t="s">
        <v>117</v>
      </c>
      <c r="C45" s="938" t="s">
        <v>103</v>
      </c>
      <c r="D45" s="652">
        <v>289</v>
      </c>
      <c r="E45" s="652">
        <v>287</v>
      </c>
      <c r="F45" s="819">
        <f t="shared" si="20"/>
        <v>0.37272727272727274</v>
      </c>
      <c r="G45" s="1377"/>
      <c r="H45" s="823">
        <v>29</v>
      </c>
      <c r="I45" s="838">
        <v>3</v>
      </c>
      <c r="J45" s="823">
        <f t="shared" si="13"/>
        <v>87</v>
      </c>
      <c r="K45" s="823">
        <v>15</v>
      </c>
      <c r="L45" s="226">
        <f t="shared" si="9"/>
        <v>42</v>
      </c>
      <c r="M45" s="652">
        <f t="shared" si="10"/>
        <v>770</v>
      </c>
      <c r="N45" s="652">
        <f t="shared" ref="N45:N46" si="26">SUM(AC45)</f>
        <v>279</v>
      </c>
      <c r="O45" s="820">
        <f t="shared" si="21"/>
        <v>0.73506493506493509</v>
      </c>
      <c r="P45" s="1265"/>
      <c r="Q45" s="821">
        <f t="shared" ref="Q45:Q46" si="27">SUM(AE45:BG45)</f>
        <v>107.39999999999999</v>
      </c>
      <c r="R45" s="1233"/>
      <c r="S45" s="897">
        <f t="shared" si="22"/>
        <v>673.4</v>
      </c>
      <c r="T45" s="1222"/>
      <c r="U45" s="847">
        <f t="shared" ref="U45:U46" si="28">SUM(M45-S45)</f>
        <v>96.600000000000023</v>
      </c>
      <c r="V45" s="1206"/>
      <c r="W45" s="658">
        <f t="shared" si="23"/>
        <v>0.87454545454545451</v>
      </c>
      <c r="X45" s="1340"/>
      <c r="Y45" s="256">
        <f t="shared" si="8"/>
        <v>0.87454545454545451</v>
      </c>
      <c r="Z45" s="1287"/>
      <c r="AA45" s="791"/>
      <c r="AB45" s="671" t="s">
        <v>118</v>
      </c>
      <c r="AC45" s="893">
        <v>279</v>
      </c>
      <c r="AD45" s="824" t="s">
        <v>119</v>
      </c>
      <c r="AE45" s="925">
        <v>95.1</v>
      </c>
      <c r="AF45" s="824" t="s">
        <v>120</v>
      </c>
      <c r="AG45" s="825">
        <v>12.3</v>
      </c>
      <c r="AH45" s="597"/>
      <c r="AI45" s="598"/>
      <c r="AJ45" s="1056" t="s">
        <v>97</v>
      </c>
      <c r="AK45" s="1058" t="s">
        <v>97</v>
      </c>
      <c r="AL45" s="597" t="s">
        <v>97</v>
      </c>
      <c r="AM45" s="598" t="s">
        <v>97</v>
      </c>
      <c r="AN45" s="597" t="s">
        <v>97</v>
      </c>
      <c r="AO45" s="598" t="s">
        <v>97</v>
      </c>
      <c r="AP45" s="597"/>
      <c r="AQ45" s="598"/>
      <c r="AR45" s="597" t="s">
        <v>97</v>
      </c>
      <c r="AS45" s="598" t="s">
        <v>97</v>
      </c>
      <c r="AT45" s="597" t="s">
        <v>97</v>
      </c>
      <c r="AU45" s="598" t="s">
        <v>97</v>
      </c>
      <c r="AV45" s="597" t="s">
        <v>97</v>
      </c>
      <c r="AW45" s="598" t="s">
        <v>97</v>
      </c>
      <c r="AX45" s="597" t="s">
        <v>97</v>
      </c>
      <c r="AY45" s="598" t="s">
        <v>97</v>
      </c>
      <c r="AZ45" s="597" t="s">
        <v>97</v>
      </c>
      <c r="BA45" s="598" t="s">
        <v>97</v>
      </c>
      <c r="BB45" s="597" t="s">
        <v>97</v>
      </c>
      <c r="BC45" s="598" t="s">
        <v>97</v>
      </c>
      <c r="BD45" s="597" t="s">
        <v>97</v>
      </c>
      <c r="BE45" s="598" t="s">
        <v>97</v>
      </c>
      <c r="BF45" s="597" t="s">
        <v>97</v>
      </c>
      <c r="BG45" s="672" t="s">
        <v>97</v>
      </c>
    </row>
    <row r="46" spans="1:59" ht="13.35" customHeight="1">
      <c r="A46" s="827" t="s">
        <v>106</v>
      </c>
      <c r="B46" s="828" t="s">
        <v>121</v>
      </c>
      <c r="C46" s="939" t="s">
        <v>103</v>
      </c>
      <c r="D46" s="829">
        <v>287</v>
      </c>
      <c r="E46" s="829">
        <v>286</v>
      </c>
      <c r="F46" s="830">
        <f t="shared" si="20"/>
        <v>0.37142857142857144</v>
      </c>
      <c r="G46" s="1378"/>
      <c r="H46" s="831">
        <v>29</v>
      </c>
      <c r="I46" s="839">
        <v>3</v>
      </c>
      <c r="J46" s="831">
        <f t="shared" si="13"/>
        <v>87</v>
      </c>
      <c r="K46" s="831">
        <v>15</v>
      </c>
      <c r="L46" s="837">
        <f t="shared" si="9"/>
        <v>42</v>
      </c>
      <c r="M46" s="829">
        <f t="shared" si="10"/>
        <v>770</v>
      </c>
      <c r="N46" s="829">
        <f t="shared" si="26"/>
        <v>279</v>
      </c>
      <c r="O46" s="832">
        <f t="shared" si="21"/>
        <v>0.73376623376623373</v>
      </c>
      <c r="P46" s="1266"/>
      <c r="Q46" s="833">
        <f t="shared" si="27"/>
        <v>107.69999999999999</v>
      </c>
      <c r="R46" s="1234"/>
      <c r="S46" s="898">
        <f t="shared" si="22"/>
        <v>672.7</v>
      </c>
      <c r="T46" s="1217"/>
      <c r="U46" s="848">
        <f t="shared" si="28"/>
        <v>97.299999999999955</v>
      </c>
      <c r="V46" s="1207"/>
      <c r="W46" s="857">
        <f t="shared" si="23"/>
        <v>0.87363636363636366</v>
      </c>
      <c r="X46" s="1341"/>
      <c r="Y46" s="256">
        <f t="shared" si="8"/>
        <v>0.87363636363636366</v>
      </c>
      <c r="Z46" s="1288"/>
      <c r="AA46" s="791"/>
      <c r="AB46" s="673" t="s">
        <v>118</v>
      </c>
      <c r="AC46" s="894">
        <v>279</v>
      </c>
      <c r="AD46" s="1027" t="s">
        <v>119</v>
      </c>
      <c r="AE46" s="1028">
        <v>95.1</v>
      </c>
      <c r="AF46" s="1027" t="s">
        <v>120</v>
      </c>
      <c r="AG46" s="1029">
        <v>12.6</v>
      </c>
      <c r="AH46" s="601"/>
      <c r="AI46" s="602"/>
      <c r="AJ46" s="1059" t="s">
        <v>97</v>
      </c>
      <c r="AK46" s="1060" t="s">
        <v>97</v>
      </c>
      <c r="AL46" s="601" t="s">
        <v>97</v>
      </c>
      <c r="AM46" s="602" t="s">
        <v>97</v>
      </c>
      <c r="AN46" s="601" t="s">
        <v>97</v>
      </c>
      <c r="AO46" s="602" t="s">
        <v>97</v>
      </c>
      <c r="AP46" s="601" t="s">
        <v>97</v>
      </c>
      <c r="AQ46" s="602" t="s">
        <v>97</v>
      </c>
      <c r="AR46" s="601" t="s">
        <v>97</v>
      </c>
      <c r="AS46" s="602" t="s">
        <v>97</v>
      </c>
      <c r="AT46" s="601" t="s">
        <v>97</v>
      </c>
      <c r="AU46" s="602" t="s">
        <v>97</v>
      </c>
      <c r="AV46" s="601" t="s">
        <v>97</v>
      </c>
      <c r="AW46" s="602" t="s">
        <v>97</v>
      </c>
      <c r="AX46" s="601" t="s">
        <v>97</v>
      </c>
      <c r="AY46" s="602" t="s">
        <v>97</v>
      </c>
      <c r="AZ46" s="601" t="s">
        <v>97</v>
      </c>
      <c r="BA46" s="602" t="s">
        <v>97</v>
      </c>
      <c r="BB46" s="601" t="s">
        <v>97</v>
      </c>
      <c r="BC46" s="602" t="s">
        <v>97</v>
      </c>
      <c r="BD46" s="601" t="s">
        <v>97</v>
      </c>
      <c r="BE46" s="602" t="s">
        <v>97</v>
      </c>
      <c r="BF46" s="601" t="s">
        <v>97</v>
      </c>
      <c r="BG46" s="674" t="s">
        <v>97</v>
      </c>
    </row>
    <row r="47" spans="1:59" ht="13.15">
      <c r="A47" s="225" t="s">
        <v>122</v>
      </c>
      <c r="B47" s="266" t="s">
        <v>123</v>
      </c>
      <c r="C47" s="267" t="s">
        <v>38</v>
      </c>
      <c r="D47" s="279">
        <v>242</v>
      </c>
      <c r="E47" s="279">
        <v>242</v>
      </c>
      <c r="F47" s="551">
        <f t="shared" si="20"/>
        <v>0.31428571428571428</v>
      </c>
      <c r="G47" s="1241">
        <f>SUM(E47:E55)*54.5/1000</f>
        <v>122.7885</v>
      </c>
      <c r="H47" s="268">
        <v>24</v>
      </c>
      <c r="I47" s="269">
        <v>3.5</v>
      </c>
      <c r="J47" s="266">
        <f t="shared" ref="J47:J93" si="29">INT(H47*I47)</f>
        <v>84</v>
      </c>
      <c r="K47" s="266">
        <v>12</v>
      </c>
      <c r="L47" s="266">
        <f t="shared" si="9"/>
        <v>42</v>
      </c>
      <c r="M47" s="266">
        <f t="shared" si="10"/>
        <v>770</v>
      </c>
      <c r="N47" s="266">
        <f t="shared" ref="N47:N55" si="30">SUM(AC47)</f>
        <v>0</v>
      </c>
      <c r="O47" s="558">
        <f t="shared" si="21"/>
        <v>0.31428571428571428</v>
      </c>
      <c r="P47" s="1241">
        <f>SUM(N47:N55)*54.5/1000</f>
        <v>0</v>
      </c>
      <c r="Q47" s="560">
        <f t="shared" si="25"/>
        <v>0</v>
      </c>
      <c r="R47" s="1247">
        <f>SUM(Q47:Q55)*54.5/1000</f>
        <v>0</v>
      </c>
      <c r="S47" s="921">
        <f t="shared" si="22"/>
        <v>242</v>
      </c>
      <c r="T47" s="1214">
        <f>SUM(S47:S55)*54.5/1000</f>
        <v>122.7885</v>
      </c>
      <c r="U47" s="219">
        <f t="shared" si="7"/>
        <v>528</v>
      </c>
      <c r="V47" s="1218">
        <f>SUM(U47:U55)*54.5/1000</f>
        <v>274.95249999999999</v>
      </c>
      <c r="W47" s="220">
        <f t="shared" si="23"/>
        <v>0.31428571428571428</v>
      </c>
      <c r="X47" s="1325">
        <f>(G47+P47+R47)/'Building Capability'!$D$10</f>
        <v>0.30851381909547737</v>
      </c>
      <c r="Y47" s="245">
        <f t="shared" si="8"/>
        <v>0.31428571428571428</v>
      </c>
      <c r="Z47" s="1304">
        <f>(G47+P47+R47)/'Building Capability'!$F$10</f>
        <v>0.25422049689440995</v>
      </c>
      <c r="AB47" s="415"/>
      <c r="AC47" s="422"/>
      <c r="AD47" s="233"/>
      <c r="AE47" s="232"/>
      <c r="AF47" s="233"/>
      <c r="AG47" s="232"/>
      <c r="AH47" s="233"/>
      <c r="AI47" s="232"/>
      <c r="AJ47" s="233"/>
      <c r="AK47" s="232"/>
      <c r="AL47" s="233"/>
      <c r="AM47" s="232"/>
      <c r="AN47" s="233"/>
      <c r="AO47" s="232"/>
      <c r="AP47" s="233"/>
      <c r="AQ47" s="232"/>
      <c r="AR47" s="233"/>
      <c r="AS47" s="232"/>
      <c r="AT47" s="233"/>
      <c r="AU47" s="232"/>
      <c r="AV47" s="233"/>
      <c r="AW47" s="232"/>
      <c r="AX47" s="233"/>
      <c r="AY47" s="232"/>
      <c r="AZ47" s="233"/>
      <c r="BA47" s="232"/>
      <c r="BB47" s="233"/>
      <c r="BC47" s="232"/>
      <c r="BD47" s="233"/>
      <c r="BE47" s="232"/>
      <c r="BF47" s="233"/>
      <c r="BG47" s="234"/>
    </row>
    <row r="48" spans="1:59" ht="13.15">
      <c r="A48" s="246" t="s">
        <v>122</v>
      </c>
      <c r="B48" s="226" t="s">
        <v>124</v>
      </c>
      <c r="C48" s="227" t="s">
        <v>38</v>
      </c>
      <c r="D48" s="230">
        <v>329</v>
      </c>
      <c r="E48" s="230">
        <v>330</v>
      </c>
      <c r="F48" s="540">
        <f t="shared" si="20"/>
        <v>0.34591194968553457</v>
      </c>
      <c r="G48" s="1241"/>
      <c r="H48" s="228">
        <v>30</v>
      </c>
      <c r="I48" s="229">
        <v>3.5</v>
      </c>
      <c r="J48" s="226">
        <f t="shared" si="29"/>
        <v>105</v>
      </c>
      <c r="K48" s="226">
        <v>15</v>
      </c>
      <c r="L48" s="226">
        <f t="shared" si="9"/>
        <v>52</v>
      </c>
      <c r="M48" s="226">
        <f t="shared" si="10"/>
        <v>954</v>
      </c>
      <c r="N48" s="226">
        <f t="shared" si="30"/>
        <v>0</v>
      </c>
      <c r="O48" s="536">
        <f t="shared" si="21"/>
        <v>0.34591194968553457</v>
      </c>
      <c r="P48" s="1241"/>
      <c r="Q48" s="440">
        <f t="shared" si="25"/>
        <v>0</v>
      </c>
      <c r="R48" s="1247"/>
      <c r="S48" s="563">
        <f t="shared" si="22"/>
        <v>330</v>
      </c>
      <c r="T48" s="1220"/>
      <c r="U48" s="230">
        <f t="shared" si="7"/>
        <v>624</v>
      </c>
      <c r="V48" s="1221"/>
      <c r="W48" s="231">
        <f t="shared" si="23"/>
        <v>0.34591194968553457</v>
      </c>
      <c r="X48" s="1325"/>
      <c r="Y48" s="198">
        <f t="shared" si="8"/>
        <v>0.34591194968553457</v>
      </c>
      <c r="Z48" s="1305"/>
      <c r="AA48" s="247"/>
      <c r="AB48" s="418"/>
      <c r="AC48" s="422"/>
      <c r="AD48" s="233"/>
      <c r="AE48" s="232"/>
      <c r="AF48" s="233"/>
      <c r="AG48" s="232"/>
      <c r="AH48" s="233"/>
      <c r="AI48" s="232"/>
      <c r="AJ48" s="233"/>
      <c r="AK48" s="232"/>
      <c r="AL48" s="233"/>
      <c r="AM48" s="232"/>
      <c r="AN48" s="233"/>
      <c r="AO48" s="232"/>
      <c r="AP48" s="233"/>
      <c r="AQ48" s="232"/>
      <c r="AR48" s="233"/>
      <c r="AS48" s="232"/>
      <c r="AT48" s="233"/>
      <c r="AU48" s="232"/>
      <c r="AV48" s="233"/>
      <c r="AW48" s="232"/>
      <c r="AX48" s="233"/>
      <c r="AY48" s="232"/>
      <c r="AZ48" s="233"/>
      <c r="BA48" s="232"/>
      <c r="BB48" s="233"/>
      <c r="BC48" s="232"/>
      <c r="BD48" s="233"/>
      <c r="BE48" s="232"/>
      <c r="BF48" s="233"/>
      <c r="BG48" s="234"/>
    </row>
    <row r="49" spans="1:59" ht="13.15">
      <c r="A49" s="246" t="s">
        <v>122</v>
      </c>
      <c r="B49" s="226" t="s">
        <v>125</v>
      </c>
      <c r="C49" s="227" t="s">
        <v>38</v>
      </c>
      <c r="D49" s="230">
        <v>99</v>
      </c>
      <c r="E49" s="230">
        <v>100</v>
      </c>
      <c r="F49" s="540">
        <f t="shared" si="20"/>
        <v>0.25974025974025972</v>
      </c>
      <c r="G49" s="1241"/>
      <c r="H49" s="228">
        <v>12</v>
      </c>
      <c r="I49" s="229">
        <v>3.5</v>
      </c>
      <c r="J49" s="226">
        <f t="shared" si="29"/>
        <v>42</v>
      </c>
      <c r="K49" s="226">
        <v>6</v>
      </c>
      <c r="L49" s="226">
        <f t="shared" si="9"/>
        <v>21</v>
      </c>
      <c r="M49" s="226">
        <f t="shared" si="10"/>
        <v>385</v>
      </c>
      <c r="N49" s="226">
        <f t="shared" si="30"/>
        <v>0</v>
      </c>
      <c r="O49" s="536">
        <f t="shared" si="21"/>
        <v>0.25974025974025972</v>
      </c>
      <c r="P49" s="1241"/>
      <c r="Q49" s="440">
        <f t="shared" si="25"/>
        <v>0</v>
      </c>
      <c r="R49" s="1247"/>
      <c r="S49" s="563">
        <f t="shared" si="22"/>
        <v>100</v>
      </c>
      <c r="T49" s="1220"/>
      <c r="U49" s="230">
        <f t="shared" si="7"/>
        <v>285</v>
      </c>
      <c r="V49" s="1221"/>
      <c r="W49" s="231">
        <f t="shared" si="23"/>
        <v>0.25974025974025972</v>
      </c>
      <c r="X49" s="1325"/>
      <c r="Y49" s="198">
        <f t="shared" si="8"/>
        <v>0.25974025974025972</v>
      </c>
      <c r="Z49" s="1305"/>
      <c r="AB49" s="415"/>
      <c r="AC49" s="422"/>
      <c r="AD49" s="233"/>
      <c r="AE49" s="232"/>
      <c r="AF49" s="233"/>
      <c r="AG49" s="232"/>
      <c r="AH49" s="233"/>
      <c r="AI49" s="232"/>
      <c r="AJ49" s="233"/>
      <c r="AK49" s="232"/>
      <c r="AL49" s="233"/>
      <c r="AM49" s="232"/>
      <c r="AN49" s="233"/>
      <c r="AO49" s="232"/>
      <c r="AP49" s="233"/>
      <c r="AQ49" s="232"/>
      <c r="AR49" s="233"/>
      <c r="AS49" s="232"/>
      <c r="AT49" s="233"/>
      <c r="AU49" s="232"/>
      <c r="AV49" s="233"/>
      <c r="AW49" s="232"/>
      <c r="AX49" s="233"/>
      <c r="AY49" s="232"/>
      <c r="AZ49" s="233"/>
      <c r="BA49" s="232"/>
      <c r="BB49" s="233"/>
      <c r="BC49" s="232"/>
      <c r="BD49" s="233"/>
      <c r="BE49" s="232"/>
      <c r="BF49" s="233"/>
      <c r="BG49" s="234"/>
    </row>
    <row r="50" spans="1:59" ht="13.15">
      <c r="A50" s="246" t="s">
        <v>122</v>
      </c>
      <c r="B50" s="226" t="s">
        <v>126</v>
      </c>
      <c r="C50" s="227" t="s">
        <v>38</v>
      </c>
      <c r="D50" s="230">
        <v>527</v>
      </c>
      <c r="E50" s="230">
        <v>505</v>
      </c>
      <c r="F50" s="540">
        <f t="shared" si="20"/>
        <v>0.43722943722943725</v>
      </c>
      <c r="G50" s="1241"/>
      <c r="H50" s="228">
        <v>36</v>
      </c>
      <c r="I50" s="229">
        <v>3.5</v>
      </c>
      <c r="J50" s="226">
        <f t="shared" si="29"/>
        <v>126</v>
      </c>
      <c r="K50" s="226">
        <v>18</v>
      </c>
      <c r="L50" s="226">
        <f t="shared" si="9"/>
        <v>63</v>
      </c>
      <c r="M50" s="226">
        <f t="shared" si="10"/>
        <v>1155</v>
      </c>
      <c r="N50" s="226">
        <f t="shared" si="30"/>
        <v>0</v>
      </c>
      <c r="O50" s="536">
        <f t="shared" si="21"/>
        <v>0.43722943722943725</v>
      </c>
      <c r="P50" s="1241"/>
      <c r="Q50" s="440">
        <f t="shared" si="25"/>
        <v>0</v>
      </c>
      <c r="R50" s="1247"/>
      <c r="S50" s="563">
        <f t="shared" si="22"/>
        <v>505</v>
      </c>
      <c r="T50" s="1220"/>
      <c r="U50" s="230">
        <f t="shared" si="7"/>
        <v>650</v>
      </c>
      <c r="V50" s="1221"/>
      <c r="W50" s="231">
        <f t="shared" si="23"/>
        <v>0.43722943722943725</v>
      </c>
      <c r="X50" s="1325"/>
      <c r="Y50" s="198">
        <f t="shared" si="8"/>
        <v>0.43722943722943725</v>
      </c>
      <c r="Z50" s="1305"/>
      <c r="AB50" s="415"/>
      <c r="AC50" s="422"/>
      <c r="AD50" s="528"/>
      <c r="AE50" s="529"/>
      <c r="AF50" s="528"/>
      <c r="AG50" s="529"/>
      <c r="AH50" s="233"/>
      <c r="AI50" s="232"/>
      <c r="AJ50" s="233"/>
      <c r="AK50" s="232"/>
      <c r="AL50" s="233"/>
      <c r="AM50" s="232"/>
      <c r="AN50" s="233"/>
      <c r="AO50" s="232"/>
      <c r="AP50" s="233"/>
      <c r="AQ50" s="232"/>
      <c r="AR50" s="233"/>
      <c r="AS50" s="232"/>
      <c r="AT50" s="233"/>
      <c r="AU50" s="232"/>
      <c r="AV50" s="233"/>
      <c r="AW50" s="232"/>
      <c r="AX50" s="233"/>
      <c r="AY50" s="232"/>
      <c r="AZ50" s="233"/>
      <c r="BA50" s="232"/>
      <c r="BB50" s="233"/>
      <c r="BC50" s="232"/>
      <c r="BD50" s="233"/>
      <c r="BE50" s="232"/>
      <c r="BF50" s="233"/>
      <c r="BG50" s="234"/>
    </row>
    <row r="51" spans="1:59" ht="13.15">
      <c r="A51" s="246" t="s">
        <v>122</v>
      </c>
      <c r="B51" s="226" t="s">
        <v>127</v>
      </c>
      <c r="C51" s="227" t="s">
        <v>38</v>
      </c>
      <c r="D51" s="230">
        <v>250</v>
      </c>
      <c r="E51" s="230">
        <v>251</v>
      </c>
      <c r="F51" s="540">
        <f t="shared" si="20"/>
        <v>0.21731601731601732</v>
      </c>
      <c r="G51" s="1242"/>
      <c r="H51" s="228">
        <v>36</v>
      </c>
      <c r="I51" s="229">
        <v>3.5</v>
      </c>
      <c r="J51" s="226">
        <f t="shared" si="29"/>
        <v>126</v>
      </c>
      <c r="K51" s="226">
        <v>18</v>
      </c>
      <c r="L51" s="226">
        <f t="shared" si="9"/>
        <v>63</v>
      </c>
      <c r="M51" s="226">
        <f t="shared" si="10"/>
        <v>1155</v>
      </c>
      <c r="N51" s="226">
        <f t="shared" si="30"/>
        <v>0</v>
      </c>
      <c r="O51" s="536">
        <f t="shared" si="21"/>
        <v>0.21731601731601732</v>
      </c>
      <c r="P51" s="1242"/>
      <c r="Q51" s="440">
        <f t="shared" si="25"/>
        <v>0</v>
      </c>
      <c r="R51" s="1248"/>
      <c r="S51" s="563">
        <f t="shared" si="22"/>
        <v>251</v>
      </c>
      <c r="T51" s="1215"/>
      <c r="U51" s="230">
        <f t="shared" si="7"/>
        <v>904</v>
      </c>
      <c r="V51" s="1219"/>
      <c r="W51" s="231">
        <f t="shared" si="23"/>
        <v>0.21731601731601732</v>
      </c>
      <c r="X51" s="1325"/>
      <c r="Y51" s="198">
        <f t="shared" si="8"/>
        <v>0.21731601731601732</v>
      </c>
      <c r="Z51" s="1305"/>
      <c r="AB51" s="415"/>
      <c r="AC51" s="422"/>
      <c r="AD51" s="233"/>
      <c r="AE51" s="232"/>
      <c r="AF51" s="233"/>
      <c r="AG51" s="232"/>
      <c r="AH51" s="233"/>
      <c r="AI51" s="232"/>
      <c r="AJ51" s="233"/>
      <c r="AK51" s="232"/>
      <c r="AL51" s="233"/>
      <c r="AM51" s="232"/>
      <c r="AN51" s="233"/>
      <c r="AO51" s="232"/>
      <c r="AP51" s="233"/>
      <c r="AQ51" s="232"/>
      <c r="AR51" s="233"/>
      <c r="AS51" s="232"/>
      <c r="AT51" s="233"/>
      <c r="AU51" s="232"/>
      <c r="AV51" s="233"/>
      <c r="AW51" s="232"/>
      <c r="AX51" s="233"/>
      <c r="AY51" s="232"/>
      <c r="AZ51" s="233"/>
      <c r="BA51" s="232"/>
      <c r="BB51" s="233"/>
      <c r="BC51" s="232"/>
      <c r="BD51" s="233"/>
      <c r="BE51" s="232"/>
      <c r="BF51" s="233"/>
      <c r="BG51" s="234"/>
    </row>
    <row r="52" spans="1:59" ht="13.15">
      <c r="A52" s="246" t="s">
        <v>122</v>
      </c>
      <c r="B52" s="226" t="s">
        <v>128</v>
      </c>
      <c r="C52" s="227" t="s">
        <v>38</v>
      </c>
      <c r="D52" s="230">
        <v>450</v>
      </c>
      <c r="E52" s="230">
        <v>429</v>
      </c>
      <c r="F52" s="533">
        <f t="shared" si="20"/>
        <v>0.44968553459119498</v>
      </c>
      <c r="G52" s="1258">
        <f>G47/'Building Capability'!$D$10</f>
        <v>0.30851381909547737</v>
      </c>
      <c r="H52" s="228">
        <v>30</v>
      </c>
      <c r="I52" s="229">
        <v>3.5</v>
      </c>
      <c r="J52" s="226">
        <f t="shared" si="29"/>
        <v>105</v>
      </c>
      <c r="K52" s="226">
        <v>15</v>
      </c>
      <c r="L52" s="226">
        <f t="shared" si="9"/>
        <v>52</v>
      </c>
      <c r="M52" s="226">
        <f t="shared" si="10"/>
        <v>954</v>
      </c>
      <c r="N52" s="226">
        <f t="shared" si="30"/>
        <v>0</v>
      </c>
      <c r="O52" s="536">
        <f t="shared" si="21"/>
        <v>0.44968553459119498</v>
      </c>
      <c r="P52" s="1238">
        <f>P47/'Building Capability'!$D$10</f>
        <v>0</v>
      </c>
      <c r="Q52" s="440">
        <f t="shared" si="25"/>
        <v>0</v>
      </c>
      <c r="R52" s="1223">
        <f>R47/'Building Capability'!$D$10</f>
        <v>0</v>
      </c>
      <c r="S52" s="563">
        <f t="shared" si="22"/>
        <v>429</v>
      </c>
      <c r="T52" s="1216">
        <f>T47/'Building Capability'!$D$10</f>
        <v>0.30851381909547737</v>
      </c>
      <c r="U52" s="230">
        <f t="shared" si="7"/>
        <v>525</v>
      </c>
      <c r="V52" s="1205">
        <f>V47/'Building Capability'!$D$10</f>
        <v>0.69083542713567836</v>
      </c>
      <c r="W52" s="231">
        <f t="shared" si="23"/>
        <v>0.44968553459119498</v>
      </c>
      <c r="X52" s="1325"/>
      <c r="Y52" s="198">
        <f t="shared" si="8"/>
        <v>0.44968553459119498</v>
      </c>
      <c r="Z52" s="1305"/>
      <c r="AB52" s="415"/>
      <c r="AC52" s="422"/>
      <c r="AD52" s="233"/>
      <c r="AE52" s="232"/>
      <c r="AF52" s="233"/>
      <c r="AG52" s="232"/>
      <c r="AH52" s="233"/>
      <c r="AI52" s="232"/>
      <c r="AJ52" s="233"/>
      <c r="AK52" s="232"/>
      <c r="AL52" s="233"/>
      <c r="AM52" s="232"/>
      <c r="AN52" s="233"/>
      <c r="AO52" s="232"/>
      <c r="AP52" s="233"/>
      <c r="AQ52" s="232"/>
      <c r="AR52" s="233"/>
      <c r="AS52" s="232"/>
      <c r="AT52" s="233"/>
      <c r="AU52" s="232"/>
      <c r="AV52" s="233"/>
      <c r="AW52" s="232"/>
      <c r="AX52" s="233"/>
      <c r="AY52" s="232"/>
      <c r="AZ52" s="233"/>
      <c r="BA52" s="232"/>
      <c r="BB52" s="233"/>
      <c r="BC52" s="232"/>
      <c r="BD52" s="233"/>
      <c r="BE52" s="232"/>
      <c r="BF52" s="233"/>
      <c r="BG52" s="234"/>
    </row>
    <row r="53" spans="1:59" ht="13.15">
      <c r="A53" s="246" t="s">
        <v>122</v>
      </c>
      <c r="B53" s="226" t="s">
        <v>129</v>
      </c>
      <c r="C53" s="227" t="s">
        <v>38</v>
      </c>
      <c r="D53" s="230">
        <v>160</v>
      </c>
      <c r="E53" s="230">
        <v>154</v>
      </c>
      <c r="F53" s="533">
        <f t="shared" si="20"/>
        <v>0.2</v>
      </c>
      <c r="G53" s="1259"/>
      <c r="H53" s="228">
        <v>24</v>
      </c>
      <c r="I53" s="229">
        <v>3.5</v>
      </c>
      <c r="J53" s="226">
        <f t="shared" si="29"/>
        <v>84</v>
      </c>
      <c r="K53" s="226">
        <v>12</v>
      </c>
      <c r="L53" s="226">
        <f t="shared" si="9"/>
        <v>42</v>
      </c>
      <c r="M53" s="226">
        <f t="shared" si="10"/>
        <v>770</v>
      </c>
      <c r="N53" s="226">
        <f t="shared" si="30"/>
        <v>0</v>
      </c>
      <c r="O53" s="536">
        <f t="shared" si="21"/>
        <v>0.2</v>
      </c>
      <c r="P53" s="1239"/>
      <c r="Q53" s="440">
        <f t="shared" si="25"/>
        <v>0</v>
      </c>
      <c r="R53" s="1224"/>
      <c r="S53" s="563">
        <f t="shared" si="22"/>
        <v>154</v>
      </c>
      <c r="T53" s="1222"/>
      <c r="U53" s="230">
        <f t="shared" si="7"/>
        <v>616</v>
      </c>
      <c r="V53" s="1206"/>
      <c r="W53" s="231">
        <f t="shared" si="23"/>
        <v>0.2</v>
      </c>
      <c r="X53" s="1325"/>
      <c r="Y53" s="198">
        <f t="shared" si="8"/>
        <v>0.2</v>
      </c>
      <c r="Z53" s="1305"/>
      <c r="AB53" s="415"/>
      <c r="AC53" s="422"/>
      <c r="AD53" s="233"/>
      <c r="AE53" s="232"/>
      <c r="AF53" s="233"/>
      <c r="AG53" s="232"/>
      <c r="AH53" s="233"/>
      <c r="AI53" s="232"/>
      <c r="AJ53" s="233"/>
      <c r="AK53" s="232"/>
      <c r="AL53" s="233"/>
      <c r="AM53" s="232"/>
      <c r="AN53" s="233"/>
      <c r="AO53" s="232"/>
      <c r="AP53" s="233"/>
      <c r="AQ53" s="232"/>
      <c r="AR53" s="233"/>
      <c r="AS53" s="232"/>
      <c r="AT53" s="233"/>
      <c r="AU53" s="232"/>
      <c r="AV53" s="233"/>
      <c r="AW53" s="232"/>
      <c r="AX53" s="233"/>
      <c r="AY53" s="232"/>
      <c r="AZ53" s="233"/>
      <c r="BA53" s="232"/>
      <c r="BB53" s="233"/>
      <c r="BC53" s="232"/>
      <c r="BD53" s="233"/>
      <c r="BE53" s="232"/>
      <c r="BF53" s="233"/>
      <c r="BG53" s="234"/>
    </row>
    <row r="54" spans="1:59" ht="13.15">
      <c r="A54" s="246" t="s">
        <v>122</v>
      </c>
      <c r="B54" s="226" t="s">
        <v>130</v>
      </c>
      <c r="C54" s="227" t="s">
        <v>38</v>
      </c>
      <c r="D54" s="230">
        <v>145</v>
      </c>
      <c r="E54" s="230">
        <v>139</v>
      </c>
      <c r="F54" s="540">
        <f t="shared" si="20"/>
        <v>0.18051948051948052</v>
      </c>
      <c r="G54" s="1259"/>
      <c r="H54" s="228">
        <v>24</v>
      </c>
      <c r="I54" s="229">
        <v>3.5</v>
      </c>
      <c r="J54" s="226">
        <f t="shared" si="29"/>
        <v>84</v>
      </c>
      <c r="K54" s="226">
        <v>12</v>
      </c>
      <c r="L54" s="226">
        <f t="shared" si="9"/>
        <v>42</v>
      </c>
      <c r="M54" s="226">
        <f t="shared" si="10"/>
        <v>770</v>
      </c>
      <c r="N54" s="226">
        <f t="shared" si="30"/>
        <v>0</v>
      </c>
      <c r="O54" s="536">
        <f t="shared" si="21"/>
        <v>0.18051948051948052</v>
      </c>
      <c r="P54" s="1239"/>
      <c r="Q54" s="440">
        <f t="shared" si="25"/>
        <v>0</v>
      </c>
      <c r="R54" s="1224"/>
      <c r="S54" s="563">
        <f t="shared" si="22"/>
        <v>139</v>
      </c>
      <c r="T54" s="1222"/>
      <c r="U54" s="230">
        <f t="shared" si="7"/>
        <v>631</v>
      </c>
      <c r="V54" s="1206"/>
      <c r="W54" s="231">
        <f t="shared" si="23"/>
        <v>0.18051948051948052</v>
      </c>
      <c r="X54" s="1325"/>
      <c r="Y54" s="198">
        <f t="shared" si="8"/>
        <v>0.18051948051948052</v>
      </c>
      <c r="Z54" s="1305"/>
      <c r="AB54" s="415"/>
      <c r="AC54" s="422"/>
      <c r="AD54" s="233"/>
      <c r="AE54" s="232"/>
      <c r="AF54" s="233"/>
      <c r="AG54" s="232"/>
      <c r="AH54" s="233"/>
      <c r="AI54" s="232"/>
      <c r="AJ54" s="233"/>
      <c r="AK54" s="232"/>
      <c r="AL54" s="233"/>
      <c r="AM54" s="232"/>
      <c r="AN54" s="233"/>
      <c r="AO54" s="232"/>
      <c r="AP54" s="233"/>
      <c r="AQ54" s="232"/>
      <c r="AR54" s="233"/>
      <c r="AS54" s="232"/>
      <c r="AT54" s="233"/>
      <c r="AU54" s="232"/>
      <c r="AV54" s="233"/>
      <c r="AW54" s="232"/>
      <c r="AX54" s="233"/>
      <c r="AY54" s="232"/>
      <c r="AZ54" s="233"/>
      <c r="BA54" s="232"/>
      <c r="BB54" s="233"/>
      <c r="BC54" s="232"/>
      <c r="BD54" s="233"/>
      <c r="BE54" s="232"/>
      <c r="BF54" s="233"/>
      <c r="BG54" s="234"/>
    </row>
    <row r="55" spans="1:59" ht="13.15">
      <c r="A55" s="257" t="s">
        <v>122</v>
      </c>
      <c r="B55" s="211" t="s">
        <v>131</v>
      </c>
      <c r="C55" s="261" t="s">
        <v>38</v>
      </c>
      <c r="D55" s="210">
        <v>102</v>
      </c>
      <c r="E55" s="210">
        <v>103</v>
      </c>
      <c r="F55" s="534">
        <f t="shared" si="20"/>
        <v>0.26753246753246751</v>
      </c>
      <c r="G55" s="1259"/>
      <c r="H55" s="238">
        <v>12</v>
      </c>
      <c r="I55" s="239">
        <v>3.5</v>
      </c>
      <c r="J55" s="211">
        <f t="shared" si="29"/>
        <v>42</v>
      </c>
      <c r="K55" s="211">
        <v>6</v>
      </c>
      <c r="L55" s="211">
        <f t="shared" si="9"/>
        <v>21</v>
      </c>
      <c r="M55" s="211">
        <f t="shared" si="10"/>
        <v>385</v>
      </c>
      <c r="N55" s="211">
        <f t="shared" si="30"/>
        <v>0</v>
      </c>
      <c r="O55" s="559">
        <f t="shared" si="21"/>
        <v>0.26753246753246751</v>
      </c>
      <c r="P55" s="1239"/>
      <c r="Q55" s="561">
        <f t="shared" si="25"/>
        <v>0</v>
      </c>
      <c r="R55" s="1224"/>
      <c r="S55" s="922">
        <f t="shared" si="22"/>
        <v>103</v>
      </c>
      <c r="T55" s="1217"/>
      <c r="U55" s="254">
        <f t="shared" si="7"/>
        <v>282</v>
      </c>
      <c r="V55" s="1206"/>
      <c r="W55" s="240">
        <f t="shared" si="23"/>
        <v>0.26753246753246751</v>
      </c>
      <c r="X55" s="1325"/>
      <c r="Y55" s="198">
        <f t="shared" si="8"/>
        <v>0.26753246753246751</v>
      </c>
      <c r="Z55" s="1305"/>
      <c r="AB55" s="415"/>
      <c r="AC55" s="422"/>
      <c r="AD55" s="233"/>
      <c r="AE55" s="232"/>
      <c r="AF55" s="233"/>
      <c r="AG55" s="232"/>
      <c r="AH55" s="233"/>
      <c r="AI55" s="232"/>
      <c r="AJ55" s="233"/>
      <c r="AK55" s="232"/>
      <c r="AL55" s="233"/>
      <c r="AM55" s="232"/>
      <c r="AN55" s="233"/>
      <c r="AO55" s="232"/>
      <c r="AP55" s="233"/>
      <c r="AQ55" s="232"/>
      <c r="AR55" s="233"/>
      <c r="AS55" s="232"/>
      <c r="AT55" s="233"/>
      <c r="AU55" s="232"/>
      <c r="AV55" s="233"/>
      <c r="AW55" s="232"/>
      <c r="AX55" s="233"/>
      <c r="AY55" s="232"/>
      <c r="AZ55" s="233"/>
      <c r="BA55" s="232"/>
      <c r="BB55" s="233"/>
      <c r="BC55" s="232"/>
      <c r="BD55" s="233"/>
      <c r="BE55" s="232"/>
      <c r="BF55" s="233"/>
      <c r="BG55" s="234"/>
    </row>
    <row r="56" spans="1:59" ht="13.15">
      <c r="A56" s="244" t="s">
        <v>132</v>
      </c>
      <c r="B56" s="1012" t="s">
        <v>133</v>
      </c>
      <c r="C56" s="1014" t="s">
        <v>108</v>
      </c>
      <c r="D56" s="219">
        <v>894</v>
      </c>
      <c r="E56" s="219">
        <v>896</v>
      </c>
      <c r="F56" s="547">
        <f t="shared" si="20"/>
        <v>0.77575757575757576</v>
      </c>
      <c r="G56" s="1253">
        <f>SUM(E56:E63)*54.5/1000</f>
        <v>333.976</v>
      </c>
      <c r="H56" s="217">
        <v>44</v>
      </c>
      <c r="I56" s="218">
        <v>3</v>
      </c>
      <c r="J56" s="215">
        <f t="shared" si="29"/>
        <v>132</v>
      </c>
      <c r="K56" s="1012">
        <f>((H56-2)/2)+2</f>
        <v>23</v>
      </c>
      <c r="L56" s="215">
        <f t="shared" si="9"/>
        <v>63</v>
      </c>
      <c r="M56" s="215">
        <f t="shared" si="10"/>
        <v>1155</v>
      </c>
      <c r="N56" s="215">
        <f t="shared" ref="N56:N71" si="31">SUM(AC56)</f>
        <v>66</v>
      </c>
      <c r="O56" s="538">
        <f t="shared" si="21"/>
        <v>0.83290043290043292</v>
      </c>
      <c r="P56" s="1253">
        <f>SUM(N56:N63)*54.5/1000</f>
        <v>55.917000000000002</v>
      </c>
      <c r="Q56" s="555">
        <f t="shared" ref="Q56:Q118" si="32">SUM(AE56:BG56)</f>
        <v>33</v>
      </c>
      <c r="R56" s="1253">
        <f>SUM(Q56:Q63)*54.5/1000</f>
        <v>6.1040000000000001</v>
      </c>
      <c r="S56" s="219">
        <f t="shared" si="22"/>
        <v>995</v>
      </c>
      <c r="T56" s="1210">
        <f>SUM(S56:S63)*54.5/1000</f>
        <v>395.99700000000001</v>
      </c>
      <c r="U56" s="219">
        <f t="shared" si="7"/>
        <v>160</v>
      </c>
      <c r="V56" s="1210">
        <f>(SUM(U56:U63)*54.5/1000)-20</f>
        <v>72.759</v>
      </c>
      <c r="W56" s="761">
        <f t="shared" si="23"/>
        <v>0.8614718614718615</v>
      </c>
      <c r="X56" s="1342">
        <f>(G56+P56+R56)/'Building Capability'!$F$11</f>
        <v>0.86086304347826093</v>
      </c>
      <c r="Y56" s="905">
        <f t="shared" si="8"/>
        <v>0.8614718614718615</v>
      </c>
      <c r="Z56" s="1310">
        <f>(G56+P56+R56)/'Building Capability'!$F$11</f>
        <v>0.86086304347826093</v>
      </c>
      <c r="AA56" s="1289" t="e">
        <f>((G56+P56)+SUM('Inverter Loading'!#REF!:'Inverter Loading'!#REF!))/'Building Capability'!$G$11</f>
        <v>#REF!</v>
      </c>
      <c r="AB56" s="419" t="s">
        <v>54</v>
      </c>
      <c r="AC56" s="424">
        <v>66</v>
      </c>
      <c r="AD56" s="222" t="s">
        <v>134</v>
      </c>
      <c r="AE56" s="221">
        <v>7</v>
      </c>
      <c r="AF56" s="222" t="s">
        <v>135</v>
      </c>
      <c r="AG56" s="221">
        <v>17</v>
      </c>
      <c r="AH56" s="708" t="s">
        <v>136</v>
      </c>
      <c r="AI56" s="221">
        <v>9</v>
      </c>
      <c r="AJ56" s="708"/>
      <c r="AK56" s="221"/>
      <c r="AL56" s="222"/>
      <c r="AM56" s="221"/>
      <c r="AN56" s="222"/>
      <c r="AO56" s="221"/>
      <c r="AP56" s="222"/>
      <c r="AQ56" s="221"/>
      <c r="AR56" s="222"/>
      <c r="AS56" s="221"/>
      <c r="AT56" s="222"/>
      <c r="AU56" s="221"/>
      <c r="AV56" s="222"/>
      <c r="AW56" s="221"/>
      <c r="AX56" s="222"/>
      <c r="AY56" s="221"/>
      <c r="AZ56" s="222"/>
      <c r="BA56" s="221"/>
      <c r="BB56" s="222"/>
      <c r="BC56" s="221"/>
      <c r="BD56" s="222"/>
      <c r="BE56" s="221"/>
      <c r="BF56" s="222"/>
      <c r="BG56" s="223"/>
    </row>
    <row r="57" spans="1:59" ht="13.15">
      <c r="A57" s="246" t="s">
        <v>132</v>
      </c>
      <c r="B57" s="1011" t="s">
        <v>137</v>
      </c>
      <c r="C57" s="1013" t="s">
        <v>108</v>
      </c>
      <c r="D57" s="230">
        <v>821</v>
      </c>
      <c r="E57" s="230">
        <v>822</v>
      </c>
      <c r="F57" s="542">
        <f t="shared" si="20"/>
        <v>0.7116883116883117</v>
      </c>
      <c r="G57" s="1254"/>
      <c r="H57" s="228">
        <v>44</v>
      </c>
      <c r="I57" s="229">
        <v>3</v>
      </c>
      <c r="J57" s="226">
        <f t="shared" si="29"/>
        <v>132</v>
      </c>
      <c r="K57" s="1011">
        <f>((H57-2)/2)+2</f>
        <v>23</v>
      </c>
      <c r="L57" s="226">
        <f t="shared" si="9"/>
        <v>63</v>
      </c>
      <c r="M57" s="226">
        <f t="shared" si="10"/>
        <v>1155</v>
      </c>
      <c r="N57" s="226">
        <f t="shared" si="31"/>
        <v>98</v>
      </c>
      <c r="O57" s="536">
        <f t="shared" si="21"/>
        <v>0.79653679653679654</v>
      </c>
      <c r="P57" s="1254"/>
      <c r="Q57" s="440">
        <f t="shared" si="32"/>
        <v>24</v>
      </c>
      <c r="R57" s="1254"/>
      <c r="S57" s="230">
        <f t="shared" si="22"/>
        <v>944</v>
      </c>
      <c r="T57" s="1212"/>
      <c r="U57" s="230">
        <f t="shared" si="7"/>
        <v>211</v>
      </c>
      <c r="V57" s="1212"/>
      <c r="W57" s="762">
        <f t="shared" si="23"/>
        <v>0.81731601731601733</v>
      </c>
      <c r="X57" s="1340"/>
      <c r="Y57" s="198">
        <f t="shared" si="8"/>
        <v>0.81731601731601733</v>
      </c>
      <c r="Z57" s="1311"/>
      <c r="AA57" s="1290"/>
      <c r="AB57" s="418" t="s">
        <v>54</v>
      </c>
      <c r="AC57" s="422">
        <v>98</v>
      </c>
      <c r="AD57" s="233" t="s">
        <v>134</v>
      </c>
      <c r="AE57" s="232">
        <v>7</v>
      </c>
      <c r="AF57" s="233" t="s">
        <v>135</v>
      </c>
      <c r="AG57" s="232">
        <v>17</v>
      </c>
      <c r="AH57" s="233"/>
      <c r="AI57" s="232"/>
      <c r="AJ57" s="233"/>
      <c r="AK57" s="232"/>
      <c r="AL57" s="233"/>
      <c r="AM57" s="232"/>
      <c r="AN57" s="233"/>
      <c r="AO57" s="232"/>
      <c r="AP57" s="233"/>
      <c r="AQ57" s="232"/>
      <c r="AR57" s="233"/>
      <c r="AS57" s="232"/>
      <c r="AT57" s="233"/>
      <c r="AU57" s="232"/>
      <c r="AV57" s="233"/>
      <c r="AW57" s="232"/>
      <c r="AX57" s="233"/>
      <c r="AY57" s="232"/>
      <c r="AZ57" s="233"/>
      <c r="BA57" s="232"/>
      <c r="BB57" s="233"/>
      <c r="BC57" s="232"/>
      <c r="BD57" s="233"/>
      <c r="BE57" s="232"/>
      <c r="BF57" s="233"/>
      <c r="BG57" s="234"/>
    </row>
    <row r="58" spans="1:59" ht="13.15">
      <c r="A58" s="246" t="s">
        <v>132</v>
      </c>
      <c r="B58" s="1011" t="s">
        <v>138</v>
      </c>
      <c r="C58" s="267" t="s">
        <v>108</v>
      </c>
      <c r="D58" s="230">
        <v>946</v>
      </c>
      <c r="E58" s="230">
        <v>945</v>
      </c>
      <c r="F58" s="1074">
        <f t="shared" si="20"/>
        <v>0.81818181818181823</v>
      </c>
      <c r="G58" s="1255"/>
      <c r="H58" s="228">
        <v>44</v>
      </c>
      <c r="I58" s="229">
        <v>3</v>
      </c>
      <c r="J58" s="226">
        <f t="shared" si="29"/>
        <v>132</v>
      </c>
      <c r="K58" s="1011">
        <f t="shared" ref="K58:K61" si="33">((H58-2)/2)+2</f>
        <v>23</v>
      </c>
      <c r="L58" s="226">
        <f t="shared" si="9"/>
        <v>63</v>
      </c>
      <c r="M58" s="226">
        <f t="shared" si="10"/>
        <v>1155</v>
      </c>
      <c r="N58" s="226">
        <f t="shared" si="31"/>
        <v>85</v>
      </c>
      <c r="O58" s="536">
        <f t="shared" si="21"/>
        <v>0.89177489177489178</v>
      </c>
      <c r="P58" s="1254"/>
      <c r="Q58" s="440">
        <f t="shared" si="32"/>
        <v>16</v>
      </c>
      <c r="R58" s="1254"/>
      <c r="S58" s="210">
        <f t="shared" si="22"/>
        <v>1046</v>
      </c>
      <c r="T58" s="1211"/>
      <c r="U58" s="210">
        <f t="shared" si="7"/>
        <v>109</v>
      </c>
      <c r="V58" s="1211"/>
      <c r="W58" s="762">
        <f t="shared" si="23"/>
        <v>0.90562770562770567</v>
      </c>
      <c r="X58" s="1340"/>
      <c r="Y58" s="198">
        <f t="shared" si="8"/>
        <v>0.90562770562770567</v>
      </c>
      <c r="Z58" s="1311"/>
      <c r="AA58" s="1290"/>
      <c r="AB58" s="418" t="s">
        <v>54</v>
      </c>
      <c r="AC58" s="422">
        <v>85</v>
      </c>
      <c r="AD58" s="233" t="s">
        <v>134</v>
      </c>
      <c r="AE58" s="232">
        <v>7</v>
      </c>
      <c r="AF58" s="233" t="s">
        <v>136</v>
      </c>
      <c r="AG58" s="232">
        <v>9</v>
      </c>
      <c r="AH58" s="233"/>
      <c r="AI58" s="232"/>
      <c r="AJ58" s="233"/>
      <c r="AK58" s="232"/>
      <c r="AL58" s="233"/>
      <c r="AM58" s="232"/>
      <c r="AN58" s="233"/>
      <c r="AO58" s="232"/>
      <c r="AP58" s="233"/>
      <c r="AQ58" s="232"/>
      <c r="AR58" s="233"/>
      <c r="AS58" s="232"/>
      <c r="AT58" s="233"/>
      <c r="AU58" s="232"/>
      <c r="AV58" s="233"/>
      <c r="AW58" s="232"/>
      <c r="AX58" s="233"/>
      <c r="AY58" s="232"/>
      <c r="AZ58" s="233"/>
      <c r="BA58" s="232"/>
      <c r="BB58" s="233"/>
      <c r="BC58" s="232"/>
      <c r="BD58" s="233"/>
      <c r="BE58" s="232"/>
      <c r="BF58" s="233"/>
      <c r="BG58" s="234"/>
    </row>
    <row r="59" spans="1:59" ht="13.15">
      <c r="A59" s="246" t="s">
        <v>132</v>
      </c>
      <c r="B59" s="1011" t="s">
        <v>139</v>
      </c>
      <c r="C59" s="227" t="s">
        <v>108</v>
      </c>
      <c r="D59" s="991">
        <v>859</v>
      </c>
      <c r="E59" s="991">
        <v>860</v>
      </c>
      <c r="F59" s="1063">
        <f t="shared" si="20"/>
        <v>0.74458874458874458</v>
      </c>
      <c r="G59" s="1243">
        <f>G56/'Building Capability'!$F$11</f>
        <v>0.72603478260869569</v>
      </c>
      <c r="H59" s="228">
        <v>44</v>
      </c>
      <c r="I59" s="229">
        <v>3</v>
      </c>
      <c r="J59" s="226">
        <f t="shared" si="29"/>
        <v>132</v>
      </c>
      <c r="K59" s="1011">
        <f t="shared" si="33"/>
        <v>23</v>
      </c>
      <c r="L59" s="226">
        <f t="shared" si="9"/>
        <v>63</v>
      </c>
      <c r="M59" s="226">
        <f t="shared" si="10"/>
        <v>1155</v>
      </c>
      <c r="N59" s="226">
        <f t="shared" si="31"/>
        <v>66</v>
      </c>
      <c r="O59" s="536">
        <f t="shared" si="21"/>
        <v>0.80173160173160174</v>
      </c>
      <c r="P59" s="1238">
        <f>P56/'Building Capability'!$F$11</f>
        <v>0.12155869565217392</v>
      </c>
      <c r="Q59" s="440">
        <f t="shared" si="32"/>
        <v>7</v>
      </c>
      <c r="R59" s="1223">
        <f>R56/'Building Capability'!$F$11</f>
        <v>1.3269565217391305E-2</v>
      </c>
      <c r="S59" s="607">
        <f t="shared" si="22"/>
        <v>933</v>
      </c>
      <c r="T59" s="1232">
        <f>T56/'Building Capability'!$F$11</f>
        <v>0.86086304347826093</v>
      </c>
      <c r="U59" s="607">
        <f t="shared" si="7"/>
        <v>222</v>
      </c>
      <c r="V59" s="1232">
        <f>V56/'Building Capability'!$F$11</f>
        <v>0.15817173913043478</v>
      </c>
      <c r="W59" s="762">
        <f t="shared" si="23"/>
        <v>0.80779220779220784</v>
      </c>
      <c r="X59" s="1340"/>
      <c r="Y59" s="198">
        <f t="shared" si="8"/>
        <v>0.80779220779220784</v>
      </c>
      <c r="Z59" s="1311"/>
      <c r="AA59" s="1290"/>
      <c r="AB59" s="418" t="s">
        <v>54</v>
      </c>
      <c r="AC59" s="422">
        <v>66</v>
      </c>
      <c r="AD59" s="233" t="s">
        <v>134</v>
      </c>
      <c r="AE59" s="232">
        <v>7</v>
      </c>
      <c r="AF59" s="233"/>
      <c r="AG59" s="232"/>
      <c r="AH59" s="233"/>
      <c r="AI59" s="232"/>
      <c r="AJ59" s="233"/>
      <c r="AK59" s="232"/>
      <c r="AL59" s="233"/>
      <c r="AM59" s="232"/>
      <c r="AN59" s="233"/>
      <c r="AO59" s="232"/>
      <c r="AP59" s="233"/>
      <c r="AQ59" s="232"/>
      <c r="AR59" s="233"/>
      <c r="AS59" s="232"/>
      <c r="AT59" s="233"/>
      <c r="AU59" s="232"/>
      <c r="AV59" s="233"/>
      <c r="AW59" s="232"/>
      <c r="AX59" s="233"/>
      <c r="AY59" s="232"/>
      <c r="AZ59" s="233"/>
      <c r="BA59" s="232"/>
      <c r="BB59" s="233"/>
      <c r="BC59" s="232"/>
      <c r="BD59" s="233"/>
      <c r="BE59" s="232"/>
      <c r="BF59" s="233"/>
      <c r="BG59" s="234"/>
    </row>
    <row r="60" spans="1:59" ht="13.15">
      <c r="A60" s="246" t="s">
        <v>132</v>
      </c>
      <c r="B60" s="1011" t="s">
        <v>140</v>
      </c>
      <c r="C60" s="227" t="s">
        <v>108</v>
      </c>
      <c r="D60" s="230">
        <v>914</v>
      </c>
      <c r="E60" s="230">
        <v>917</v>
      </c>
      <c r="F60" s="1075">
        <f t="shared" si="20"/>
        <v>0.79393939393939394</v>
      </c>
      <c r="G60" s="1244"/>
      <c r="H60" s="228">
        <v>44</v>
      </c>
      <c r="I60" s="229">
        <v>3</v>
      </c>
      <c r="J60" s="226">
        <f t="shared" si="29"/>
        <v>132</v>
      </c>
      <c r="K60" s="1011">
        <f t="shared" si="33"/>
        <v>23</v>
      </c>
      <c r="L60" s="226">
        <f t="shared" si="9"/>
        <v>63</v>
      </c>
      <c r="M60" s="226">
        <f t="shared" si="10"/>
        <v>1155</v>
      </c>
      <c r="N60" s="226">
        <f t="shared" si="31"/>
        <v>79</v>
      </c>
      <c r="O60" s="536">
        <f t="shared" si="21"/>
        <v>0.86233766233766229</v>
      </c>
      <c r="P60" s="1239"/>
      <c r="Q60" s="440">
        <f t="shared" si="32"/>
        <v>7</v>
      </c>
      <c r="R60" s="1239"/>
      <c r="S60" s="279">
        <f t="shared" si="22"/>
        <v>1003</v>
      </c>
      <c r="T60" s="1213"/>
      <c r="U60" s="279">
        <f t="shared" si="7"/>
        <v>152</v>
      </c>
      <c r="V60" s="1206"/>
      <c r="W60" s="762">
        <f t="shared" si="23"/>
        <v>0.86839826839826839</v>
      </c>
      <c r="X60" s="1340"/>
      <c r="Y60" s="198">
        <f t="shared" si="8"/>
        <v>0.86839826839826839</v>
      </c>
      <c r="Z60" s="1311"/>
      <c r="AA60" s="1290"/>
      <c r="AB60" s="418" t="s">
        <v>54</v>
      </c>
      <c r="AC60" s="422">
        <v>79</v>
      </c>
      <c r="AD60" s="233" t="s">
        <v>134</v>
      </c>
      <c r="AE60" s="232">
        <v>7</v>
      </c>
      <c r="AF60" s="233"/>
      <c r="AG60" s="232"/>
      <c r="AH60" s="233"/>
      <c r="AI60" s="232"/>
      <c r="AJ60" s="233"/>
      <c r="AK60" s="232"/>
      <c r="AL60" s="233"/>
      <c r="AM60" s="232"/>
      <c r="AN60" s="233"/>
      <c r="AO60" s="232"/>
      <c r="AP60" s="233"/>
      <c r="AQ60" s="232"/>
      <c r="AR60" s="233"/>
      <c r="AS60" s="232"/>
      <c r="AT60" s="233"/>
      <c r="AU60" s="232"/>
      <c r="AV60" s="233"/>
      <c r="AW60" s="232"/>
      <c r="AX60" s="233"/>
      <c r="AY60" s="232"/>
      <c r="AZ60" s="233"/>
      <c r="BA60" s="232"/>
      <c r="BB60" s="233"/>
      <c r="BC60" s="232"/>
      <c r="BD60" s="233"/>
      <c r="BE60" s="232"/>
      <c r="BF60" s="233"/>
      <c r="BG60" s="234"/>
    </row>
    <row r="61" spans="1:59" ht="13.15">
      <c r="A61" s="246" t="s">
        <v>132</v>
      </c>
      <c r="B61" s="1011" t="s">
        <v>141</v>
      </c>
      <c r="C61" s="227" t="s">
        <v>108</v>
      </c>
      <c r="D61" s="230">
        <v>894</v>
      </c>
      <c r="E61" s="230">
        <v>892</v>
      </c>
      <c r="F61" s="542">
        <f t="shared" si="20"/>
        <v>0.77229437229437226</v>
      </c>
      <c r="G61" s="1244"/>
      <c r="H61" s="228">
        <v>44</v>
      </c>
      <c r="I61" s="229">
        <v>3</v>
      </c>
      <c r="J61" s="226">
        <f t="shared" si="29"/>
        <v>132</v>
      </c>
      <c r="K61" s="1011">
        <f t="shared" si="33"/>
        <v>23</v>
      </c>
      <c r="L61" s="226">
        <f t="shared" si="9"/>
        <v>63</v>
      </c>
      <c r="M61" s="226">
        <f t="shared" si="10"/>
        <v>1155</v>
      </c>
      <c r="N61" s="226">
        <f t="shared" si="31"/>
        <v>69</v>
      </c>
      <c r="O61" s="536">
        <f t="shared" si="21"/>
        <v>0.83203463203463202</v>
      </c>
      <c r="P61" s="1239"/>
      <c r="Q61" s="440">
        <f t="shared" si="32"/>
        <v>7</v>
      </c>
      <c r="R61" s="1239"/>
      <c r="S61" s="230">
        <f t="shared" si="22"/>
        <v>968</v>
      </c>
      <c r="T61" s="1213"/>
      <c r="U61" s="230">
        <f t="shared" si="7"/>
        <v>187</v>
      </c>
      <c r="V61" s="1206"/>
      <c r="W61" s="762">
        <f t="shared" si="23"/>
        <v>0.83809523809523812</v>
      </c>
      <c r="X61" s="1340"/>
      <c r="Y61" s="198">
        <f t="shared" si="8"/>
        <v>0.83809523809523812</v>
      </c>
      <c r="Z61" s="1311"/>
      <c r="AA61" s="1290"/>
      <c r="AB61" s="418" t="s">
        <v>54</v>
      </c>
      <c r="AC61" s="422">
        <v>69</v>
      </c>
      <c r="AD61" s="233" t="s">
        <v>134</v>
      </c>
      <c r="AE61" s="232">
        <v>7</v>
      </c>
      <c r="AF61" s="233"/>
      <c r="AG61" s="232"/>
      <c r="AH61" s="233"/>
      <c r="AI61" s="232"/>
      <c r="AJ61" s="233"/>
      <c r="AK61" s="232"/>
      <c r="AL61" s="233"/>
      <c r="AM61" s="232"/>
      <c r="AN61" s="233"/>
      <c r="AO61" s="232"/>
      <c r="AP61" s="233"/>
      <c r="AQ61" s="232"/>
      <c r="AR61" s="233"/>
      <c r="AS61" s="232"/>
      <c r="AT61" s="233"/>
      <c r="AU61" s="232"/>
      <c r="AV61" s="233"/>
      <c r="AW61" s="232"/>
      <c r="AX61" s="233"/>
      <c r="AY61" s="232"/>
      <c r="AZ61" s="233"/>
      <c r="BA61" s="232"/>
      <c r="BB61" s="233"/>
      <c r="BC61" s="232"/>
      <c r="BD61" s="233"/>
      <c r="BE61" s="232"/>
      <c r="BF61" s="233"/>
      <c r="BG61" s="234"/>
    </row>
    <row r="62" spans="1:59" ht="13.15">
      <c r="A62" s="246" t="s">
        <v>132</v>
      </c>
      <c r="B62" s="226" t="s">
        <v>142</v>
      </c>
      <c r="C62" s="227" t="s">
        <v>103</v>
      </c>
      <c r="D62" s="230">
        <v>397</v>
      </c>
      <c r="E62" s="230">
        <v>398</v>
      </c>
      <c r="F62" s="542">
        <f t="shared" si="20"/>
        <v>0.42566844919786095</v>
      </c>
      <c r="G62" s="1244"/>
      <c r="H62" s="228">
        <v>35</v>
      </c>
      <c r="I62" s="229">
        <v>3</v>
      </c>
      <c r="J62" s="226">
        <f>INT(H62*I62)</f>
        <v>105</v>
      </c>
      <c r="K62" s="226">
        <v>18</v>
      </c>
      <c r="L62" s="226">
        <f>INT((H62-K62)*I62)</f>
        <v>51</v>
      </c>
      <c r="M62" s="226">
        <f t="shared" si="10"/>
        <v>935</v>
      </c>
      <c r="N62" s="226">
        <f t="shared" si="31"/>
        <v>282</v>
      </c>
      <c r="O62" s="536">
        <f t="shared" si="21"/>
        <v>0.72727272727272729</v>
      </c>
      <c r="P62" s="1239"/>
      <c r="Q62" s="440">
        <f t="shared" si="32"/>
        <v>9</v>
      </c>
      <c r="R62" s="1239"/>
      <c r="S62" s="230">
        <f t="shared" si="22"/>
        <v>689</v>
      </c>
      <c r="T62" s="1213"/>
      <c r="U62" s="230">
        <v>249</v>
      </c>
      <c r="V62" s="1206"/>
      <c r="W62" s="762">
        <f t="shared" si="23"/>
        <v>0.73689839572192517</v>
      </c>
      <c r="X62" s="1340"/>
      <c r="Y62" s="198">
        <f t="shared" si="8"/>
        <v>0.73689839572192517</v>
      </c>
      <c r="Z62" s="1311"/>
      <c r="AA62" s="791"/>
      <c r="AB62" s="418" t="s">
        <v>54</v>
      </c>
      <c r="AC62" s="422">
        <v>282</v>
      </c>
      <c r="AD62" s="457" t="s">
        <v>143</v>
      </c>
      <c r="AE62" s="458">
        <v>9</v>
      </c>
      <c r="AF62" s="233"/>
      <c r="AG62" s="232"/>
      <c r="AH62" s="233"/>
      <c r="AI62" s="232"/>
      <c r="AJ62" s="233"/>
      <c r="AK62" s="232"/>
      <c r="AL62" s="233"/>
      <c r="AM62" s="232"/>
      <c r="AN62" s="233"/>
      <c r="AO62" s="232"/>
      <c r="AP62" s="233"/>
      <c r="AQ62" s="232"/>
      <c r="AR62" s="233"/>
      <c r="AS62" s="232"/>
      <c r="AT62" s="233"/>
      <c r="AU62" s="232"/>
      <c r="AV62" s="233"/>
      <c r="AW62" s="232"/>
      <c r="AX62" s="233"/>
      <c r="AY62" s="232"/>
      <c r="AZ62" s="233"/>
      <c r="BA62" s="232"/>
      <c r="BB62" s="233"/>
      <c r="BC62" s="232"/>
      <c r="BD62" s="233"/>
      <c r="BE62" s="232"/>
      <c r="BF62" s="233"/>
      <c r="BG62" s="234"/>
    </row>
    <row r="63" spans="1:59" ht="13.15">
      <c r="A63" s="249" t="s">
        <v>132</v>
      </c>
      <c r="B63" s="253" t="s">
        <v>144</v>
      </c>
      <c r="C63" s="250" t="s">
        <v>103</v>
      </c>
      <c r="D63" s="254">
        <v>397</v>
      </c>
      <c r="E63" s="254">
        <v>398</v>
      </c>
      <c r="F63" s="548">
        <f t="shared" si="20"/>
        <v>0.42566844919786095</v>
      </c>
      <c r="G63" s="1245"/>
      <c r="H63" s="1006">
        <v>35</v>
      </c>
      <c r="I63" s="1007">
        <v>3</v>
      </c>
      <c r="J63" s="1008">
        <f>INT(H63*I63)</f>
        <v>105</v>
      </c>
      <c r="K63" s="1008">
        <v>18</v>
      </c>
      <c r="L63" s="1008">
        <f>INT((H63-K63)*I63)</f>
        <v>51</v>
      </c>
      <c r="M63" s="1008">
        <f t="shared" si="10"/>
        <v>935</v>
      </c>
      <c r="N63" s="1008">
        <f t="shared" si="31"/>
        <v>281</v>
      </c>
      <c r="O63" s="856">
        <f t="shared" si="21"/>
        <v>0.72620320855614973</v>
      </c>
      <c r="P63" s="1246"/>
      <c r="Q63" s="1009">
        <f t="shared" si="32"/>
        <v>9</v>
      </c>
      <c r="R63" s="1246"/>
      <c r="S63" s="1010">
        <f t="shared" si="22"/>
        <v>688</v>
      </c>
      <c r="T63" s="1319"/>
      <c r="U63" s="1010">
        <v>412</v>
      </c>
      <c r="V63" s="1361"/>
      <c r="W63" s="763">
        <f t="shared" si="23"/>
        <v>0.7358288770053476</v>
      </c>
      <c r="X63" s="1340"/>
      <c r="Y63" s="782">
        <f t="shared" si="8"/>
        <v>0.7358288770053476</v>
      </c>
      <c r="Z63" s="1312"/>
      <c r="AA63" s="766"/>
      <c r="AB63" s="420" t="s">
        <v>54</v>
      </c>
      <c r="AC63" s="423">
        <v>281</v>
      </c>
      <c r="AD63" s="480" t="s">
        <v>143</v>
      </c>
      <c r="AE63" s="481">
        <v>9</v>
      </c>
      <c r="AF63" s="233"/>
      <c r="AG63" s="232"/>
      <c r="AH63" s="242"/>
      <c r="AI63" s="241"/>
      <c r="AJ63" s="242"/>
      <c r="AK63" s="241"/>
      <c r="AL63" s="242"/>
      <c r="AM63" s="241"/>
      <c r="AN63" s="242"/>
      <c r="AO63" s="241"/>
      <c r="AP63" s="242"/>
      <c r="AQ63" s="241"/>
      <c r="AR63" s="242"/>
      <c r="AS63" s="241"/>
      <c r="AT63" s="242"/>
      <c r="AU63" s="241"/>
      <c r="AV63" s="242"/>
      <c r="AW63" s="241"/>
      <c r="AX63" s="242"/>
      <c r="AY63" s="241"/>
      <c r="AZ63" s="242"/>
      <c r="BA63" s="241"/>
      <c r="BB63" s="242"/>
      <c r="BC63" s="241"/>
      <c r="BD63" s="242"/>
      <c r="BE63" s="241"/>
      <c r="BF63" s="242"/>
      <c r="BG63" s="243"/>
    </row>
    <row r="64" spans="1:59" ht="13.15">
      <c r="A64" s="244" t="s">
        <v>145</v>
      </c>
      <c r="B64" s="215" t="s">
        <v>146</v>
      </c>
      <c r="C64" s="216" t="s">
        <v>38</v>
      </c>
      <c r="D64" s="219">
        <v>1093</v>
      </c>
      <c r="E64" s="219">
        <v>1106</v>
      </c>
      <c r="F64" s="532">
        <f t="shared" si="20"/>
        <v>0.82598954443614636</v>
      </c>
      <c r="G64" s="1241">
        <f>SUM(E64:E71)*54.5/1000</f>
        <v>389.18450000000001</v>
      </c>
      <c r="H64" s="268">
        <v>42</v>
      </c>
      <c r="I64" s="269">
        <v>3.5</v>
      </c>
      <c r="J64" s="266">
        <f t="shared" si="29"/>
        <v>147</v>
      </c>
      <c r="K64" s="266">
        <v>21</v>
      </c>
      <c r="L64" s="266">
        <f t="shared" si="9"/>
        <v>73</v>
      </c>
      <c r="M64" s="266">
        <f t="shared" si="10"/>
        <v>1339</v>
      </c>
      <c r="N64" s="266">
        <f t="shared" si="31"/>
        <v>77</v>
      </c>
      <c r="O64" s="558">
        <f t="shared" si="21"/>
        <v>0.88349514563106801</v>
      </c>
      <c r="P64" s="1241">
        <f>(SUM(N64:N71)*54.5/1000)+SUM('Inverter Loading'!Q28:Q29)</f>
        <v>40.439</v>
      </c>
      <c r="Q64" s="560">
        <f t="shared" si="32"/>
        <v>113</v>
      </c>
      <c r="R64" s="1247">
        <f>SUM(Q64:Q71)*54.5/1000</f>
        <v>23.326000000000001</v>
      </c>
      <c r="S64" s="279">
        <f t="shared" si="22"/>
        <v>1296</v>
      </c>
      <c r="T64" s="1212">
        <f>SUM(S64:S71)*54.5/1000</f>
        <v>452.9495</v>
      </c>
      <c r="U64" s="279">
        <f t="shared" si="7"/>
        <v>43</v>
      </c>
      <c r="V64" s="1212">
        <f>SUM(U64:U71)*54.5/1000</f>
        <v>26.868500000000001</v>
      </c>
      <c r="W64" s="761">
        <f t="shared" si="23"/>
        <v>0.96788648244958919</v>
      </c>
      <c r="X64" s="1339">
        <f>(G64+P64+R64)/'Building Capability'!$D$12</f>
        <v>0.94364479166666682</v>
      </c>
      <c r="Y64" s="198">
        <f t="shared" si="8"/>
        <v>0.96788648244958919</v>
      </c>
      <c r="Z64" s="1287">
        <f>(G64+P64+R64)/'Building Capability'!$F$12</f>
        <v>0.94168295218295228</v>
      </c>
      <c r="AA64" s="1291" t="e">
        <f>(G64+P64)/'Building Capability'!$G$12</f>
        <v>#DIV/0!</v>
      </c>
      <c r="AB64" s="417" t="s">
        <v>54</v>
      </c>
      <c r="AC64" s="424">
        <v>77</v>
      </c>
      <c r="AD64" s="521" t="s">
        <v>60</v>
      </c>
      <c r="AE64" s="522">
        <v>56</v>
      </c>
      <c r="AF64" s="222" t="s">
        <v>110</v>
      </c>
      <c r="AG64" s="221">
        <v>12</v>
      </c>
      <c r="AH64" s="222"/>
      <c r="AI64" s="221"/>
      <c r="AJ64" s="732" t="s">
        <v>56</v>
      </c>
      <c r="AK64" s="458">
        <v>36</v>
      </c>
      <c r="AL64" s="222" t="s">
        <v>57</v>
      </c>
      <c r="AM64" s="221">
        <v>9</v>
      </c>
      <c r="AN64" s="222"/>
      <c r="AO64" s="221"/>
      <c r="AP64" s="222"/>
      <c r="AQ64" s="221"/>
      <c r="AR64" s="222"/>
      <c r="AS64" s="221"/>
      <c r="AT64" s="222"/>
      <c r="AU64" s="221"/>
      <c r="AV64" s="222"/>
      <c r="AW64" s="221"/>
      <c r="AX64" s="222"/>
      <c r="AY64" s="221"/>
      <c r="AZ64" s="222"/>
      <c r="BA64" s="221"/>
      <c r="BB64" s="222"/>
      <c r="BC64" s="221"/>
      <c r="BD64" s="222"/>
      <c r="BE64" s="221"/>
      <c r="BF64" s="222"/>
      <c r="BG64" s="223"/>
    </row>
    <row r="65" spans="1:59" ht="13.15">
      <c r="A65" s="246" t="s">
        <v>145</v>
      </c>
      <c r="B65" s="226" t="s">
        <v>147</v>
      </c>
      <c r="C65" s="227" t="s">
        <v>38</v>
      </c>
      <c r="D65" s="492">
        <v>1071</v>
      </c>
      <c r="E65" s="492">
        <v>1042</v>
      </c>
      <c r="F65" s="540">
        <f t="shared" si="20"/>
        <v>0.77819268110530249</v>
      </c>
      <c r="G65" s="1241"/>
      <c r="H65" s="228">
        <v>42</v>
      </c>
      <c r="I65" s="229">
        <v>3.5</v>
      </c>
      <c r="J65" s="226">
        <f t="shared" si="29"/>
        <v>147</v>
      </c>
      <c r="K65" s="226">
        <v>21</v>
      </c>
      <c r="L65" s="226">
        <f t="shared" si="9"/>
        <v>73</v>
      </c>
      <c r="M65" s="226">
        <f t="shared" si="10"/>
        <v>1339</v>
      </c>
      <c r="N65" s="226">
        <f t="shared" si="31"/>
        <v>114</v>
      </c>
      <c r="O65" s="536">
        <f t="shared" si="21"/>
        <v>0.86333084391336823</v>
      </c>
      <c r="P65" s="1241"/>
      <c r="Q65" s="440">
        <f t="shared" si="32"/>
        <v>80</v>
      </c>
      <c r="R65" s="1247"/>
      <c r="S65" s="230">
        <f t="shared" si="22"/>
        <v>1236</v>
      </c>
      <c r="T65" s="1212"/>
      <c r="U65" s="230">
        <f t="shared" si="7"/>
        <v>103</v>
      </c>
      <c r="V65" s="1212"/>
      <c r="W65" s="762">
        <f t="shared" si="23"/>
        <v>0.92307692307692313</v>
      </c>
      <c r="X65" s="1340"/>
      <c r="Y65" s="198">
        <f t="shared" si="8"/>
        <v>0.92307692307692313</v>
      </c>
      <c r="Z65" s="1287"/>
      <c r="AA65" s="1292"/>
      <c r="AB65" s="415" t="s">
        <v>54</v>
      </c>
      <c r="AC65" s="422">
        <v>114</v>
      </c>
      <c r="AD65" s="523" t="s">
        <v>60</v>
      </c>
      <c r="AE65" s="524">
        <v>68</v>
      </c>
      <c r="AF65" s="233" t="s">
        <v>110</v>
      </c>
      <c r="AG65" s="232">
        <v>12</v>
      </c>
      <c r="AH65" s="233"/>
      <c r="AI65" s="232"/>
      <c r="AJ65" s="732"/>
      <c r="AK65" s="232"/>
      <c r="AL65" s="233"/>
      <c r="AM65" s="232"/>
      <c r="AN65" s="233"/>
      <c r="AO65" s="232"/>
      <c r="AP65" s="233"/>
      <c r="AQ65" s="232"/>
      <c r="AR65" s="233"/>
      <c r="AS65" s="232"/>
      <c r="AT65" s="233"/>
      <c r="AU65" s="232"/>
      <c r="AV65" s="233"/>
      <c r="AW65" s="232"/>
      <c r="AX65" s="233"/>
      <c r="AY65" s="232"/>
      <c r="AZ65" s="233"/>
      <c r="BA65" s="232"/>
      <c r="BB65" s="233"/>
      <c r="BC65" s="232"/>
      <c r="BD65" s="233"/>
      <c r="BE65" s="232"/>
      <c r="BF65" s="233"/>
      <c r="BG65" s="234"/>
    </row>
    <row r="66" spans="1:59" ht="13.15">
      <c r="A66" s="246" t="s">
        <v>145</v>
      </c>
      <c r="B66" s="226" t="s">
        <v>148</v>
      </c>
      <c r="C66" s="227" t="s">
        <v>38</v>
      </c>
      <c r="D66" s="492">
        <v>1053</v>
      </c>
      <c r="E66" s="492">
        <v>1084</v>
      </c>
      <c r="F66" s="540">
        <f t="shared" si="20"/>
        <v>0.80955937266616873</v>
      </c>
      <c r="G66" s="1242"/>
      <c r="H66" s="228">
        <v>42</v>
      </c>
      <c r="I66" s="229">
        <v>3.5</v>
      </c>
      <c r="J66" s="226">
        <f t="shared" si="29"/>
        <v>147</v>
      </c>
      <c r="K66" s="226">
        <v>21</v>
      </c>
      <c r="L66" s="226">
        <f t="shared" si="9"/>
        <v>73</v>
      </c>
      <c r="M66" s="226">
        <f t="shared" si="10"/>
        <v>1339</v>
      </c>
      <c r="N66" s="226">
        <f t="shared" si="31"/>
        <v>123</v>
      </c>
      <c r="O66" s="536">
        <f t="shared" si="21"/>
        <v>0.90141896938013444</v>
      </c>
      <c r="P66" s="1242"/>
      <c r="Q66" s="440">
        <f t="shared" si="32"/>
        <v>112</v>
      </c>
      <c r="R66" s="1248"/>
      <c r="S66" s="230">
        <f t="shared" si="22"/>
        <v>1319</v>
      </c>
      <c r="T66" s="1211"/>
      <c r="U66" s="230">
        <f t="shared" si="7"/>
        <v>20</v>
      </c>
      <c r="V66" s="1211"/>
      <c r="W66" s="762">
        <f t="shared" si="23"/>
        <v>0.98506348020911128</v>
      </c>
      <c r="X66" s="1340"/>
      <c r="Y66" s="198">
        <f t="shared" si="8"/>
        <v>0.98506348020911128</v>
      </c>
      <c r="Z66" s="1287"/>
      <c r="AA66" s="1292"/>
      <c r="AB66" s="415" t="s">
        <v>54</v>
      </c>
      <c r="AC66" s="422">
        <v>123</v>
      </c>
      <c r="AD66" s="523" t="s">
        <v>60</v>
      </c>
      <c r="AE66" s="524">
        <v>103</v>
      </c>
      <c r="AF66" s="233"/>
      <c r="AG66" s="232"/>
      <c r="AH66" s="732"/>
      <c r="AI66" s="232"/>
      <c r="AJ66" s="732"/>
      <c r="AK66" s="232"/>
      <c r="AL66" s="233" t="s">
        <v>57</v>
      </c>
      <c r="AM66" s="232">
        <v>9</v>
      </c>
      <c r="AN66" s="233"/>
      <c r="AO66" s="232"/>
      <c r="AP66" s="233"/>
      <c r="AQ66" s="232"/>
      <c r="AR66" s="233"/>
      <c r="AS66" s="232"/>
      <c r="AT66" s="233"/>
      <c r="AU66" s="232"/>
      <c r="AV66" s="233"/>
      <c r="AW66" s="232"/>
      <c r="AX66" s="233"/>
      <c r="AY66" s="232"/>
      <c r="AZ66" s="233"/>
      <c r="BA66" s="232"/>
      <c r="BB66" s="233"/>
      <c r="BC66" s="232"/>
      <c r="BD66" s="233"/>
      <c r="BE66" s="232"/>
      <c r="BF66" s="233"/>
      <c r="BG66" s="234"/>
    </row>
    <row r="67" spans="1:59" ht="13.15">
      <c r="A67" s="246" t="s">
        <v>145</v>
      </c>
      <c r="B67" s="226" t="s">
        <v>149</v>
      </c>
      <c r="C67" s="227" t="s">
        <v>38</v>
      </c>
      <c r="D67" s="230">
        <v>1155</v>
      </c>
      <c r="E67" s="230">
        <v>1149</v>
      </c>
      <c r="F67" s="533">
        <f t="shared" si="20"/>
        <v>0.85810306198655717</v>
      </c>
      <c r="G67" s="1235">
        <f>G64/'Building Capability'!$D$12</f>
        <v>0.81080104166666667</v>
      </c>
      <c r="H67" s="228">
        <v>42</v>
      </c>
      <c r="I67" s="229">
        <v>3.5</v>
      </c>
      <c r="J67" s="226">
        <f t="shared" si="29"/>
        <v>147</v>
      </c>
      <c r="K67" s="226">
        <v>21</v>
      </c>
      <c r="L67" s="226">
        <f t="shared" si="9"/>
        <v>73</v>
      </c>
      <c r="M67" s="226">
        <f t="shared" si="10"/>
        <v>1339</v>
      </c>
      <c r="N67" s="226">
        <f t="shared" si="31"/>
        <v>130</v>
      </c>
      <c r="O67" s="536">
        <f t="shared" si="21"/>
        <v>0.95519044062733383</v>
      </c>
      <c r="P67" s="1238">
        <f>P64/'Building Capability'!$D$12</f>
        <v>8.4247916666666672E-2</v>
      </c>
      <c r="Q67" s="440">
        <f t="shared" si="32"/>
        <v>48</v>
      </c>
      <c r="R67" s="1238">
        <f>R64/'Building Capability'!$D$12</f>
        <v>4.8595833333333331E-2</v>
      </c>
      <c r="S67" s="230">
        <f t="shared" si="22"/>
        <v>1327</v>
      </c>
      <c r="T67" s="1208">
        <f>T64/'Building Capability'!$D$12</f>
        <v>0.9436447916666667</v>
      </c>
      <c r="U67" s="230">
        <f t="shared" si="7"/>
        <v>12</v>
      </c>
      <c r="V67" s="1205">
        <f>V64/'Building Capability'!$D$12</f>
        <v>5.597604166666667E-2</v>
      </c>
      <c r="W67" s="762">
        <f t="shared" si="23"/>
        <v>0.99103808812546679</v>
      </c>
      <c r="X67" s="1340"/>
      <c r="Y67" s="198">
        <f t="shared" si="8"/>
        <v>0.99103808812546679</v>
      </c>
      <c r="Z67" s="1287"/>
      <c r="AA67" s="1292"/>
      <c r="AB67" s="415" t="s">
        <v>54</v>
      </c>
      <c r="AC67" s="422">
        <v>130</v>
      </c>
      <c r="AD67" s="523" t="s">
        <v>60</v>
      </c>
      <c r="AE67" s="524">
        <v>12</v>
      </c>
      <c r="AF67" s="233"/>
      <c r="AG67" s="232"/>
      <c r="AH67" s="1065" t="s">
        <v>56</v>
      </c>
      <c r="AI67" s="458">
        <v>36</v>
      </c>
      <c r="AJ67" s="732"/>
      <c r="AK67" s="232"/>
      <c r="AL67" s="233"/>
      <c r="AM67" s="232"/>
      <c r="AN67" s="233"/>
      <c r="AO67" s="232"/>
      <c r="AP67" s="233"/>
      <c r="AQ67" s="232"/>
      <c r="AR67" s="233"/>
      <c r="AS67" s="232"/>
      <c r="AT67" s="233"/>
      <c r="AU67" s="232"/>
      <c r="AV67" s="233"/>
      <c r="AW67" s="232"/>
      <c r="AX67" s="233"/>
      <c r="AY67" s="232"/>
      <c r="AZ67" s="233"/>
      <c r="BA67" s="232"/>
      <c r="BB67" s="233"/>
      <c r="BC67" s="232"/>
      <c r="BD67" s="233"/>
      <c r="BE67" s="232"/>
      <c r="BF67" s="233"/>
      <c r="BG67" s="234"/>
    </row>
    <row r="68" spans="1:59" ht="13.5" customHeight="1">
      <c r="A68" s="246" t="s">
        <v>145</v>
      </c>
      <c r="B68" s="226" t="s">
        <v>150</v>
      </c>
      <c r="C68" s="227" t="s">
        <v>38</v>
      </c>
      <c r="D68" s="492">
        <v>1077</v>
      </c>
      <c r="E68" s="492">
        <v>1078</v>
      </c>
      <c r="F68" s="540">
        <f t="shared" ref="F68:F99" si="34">E68/M68</f>
        <v>0.80507841672890212</v>
      </c>
      <c r="G68" s="1332"/>
      <c r="H68" s="228">
        <v>42</v>
      </c>
      <c r="I68" s="229">
        <v>3.5</v>
      </c>
      <c r="J68" s="226">
        <f t="shared" si="29"/>
        <v>147</v>
      </c>
      <c r="K68" s="226">
        <v>21</v>
      </c>
      <c r="L68" s="226">
        <f t="shared" si="9"/>
        <v>73</v>
      </c>
      <c r="M68" s="226">
        <f t="shared" si="10"/>
        <v>1339</v>
      </c>
      <c r="N68" s="226">
        <f t="shared" si="31"/>
        <v>61</v>
      </c>
      <c r="O68" s="536">
        <f t="shared" ref="O68:O92" si="35">(E68+N68)/M68</f>
        <v>0.85063480209111275</v>
      </c>
      <c r="P68" s="1239"/>
      <c r="Q68" s="440">
        <f t="shared" si="32"/>
        <v>37</v>
      </c>
      <c r="R68" s="1239"/>
      <c r="S68" s="230">
        <f t="shared" ref="S68:S99" si="36">SUM(E68+N68+Q68)</f>
        <v>1176</v>
      </c>
      <c r="T68" s="1213"/>
      <c r="U68" s="230">
        <f t="shared" si="7"/>
        <v>163</v>
      </c>
      <c r="V68" s="1206"/>
      <c r="W68" s="762">
        <f t="shared" si="23"/>
        <v>0.87826736370425695</v>
      </c>
      <c r="X68" s="1340"/>
      <c r="Y68" s="198">
        <f t="shared" si="8"/>
        <v>0.87826736370425695</v>
      </c>
      <c r="Z68" s="1287"/>
      <c r="AA68" s="1292"/>
      <c r="AB68" s="415" t="s">
        <v>54</v>
      </c>
      <c r="AC68" s="422">
        <v>61</v>
      </c>
      <c r="AD68" s="523" t="s">
        <v>60</v>
      </c>
      <c r="AE68" s="524">
        <v>37</v>
      </c>
      <c r="AF68" s="233"/>
      <c r="AG68" s="458"/>
      <c r="AH68" s="765"/>
      <c r="AI68" s="489"/>
      <c r="AJ68" s="732"/>
      <c r="AK68" s="458"/>
      <c r="AL68" s="233"/>
      <c r="AM68" s="232"/>
      <c r="AN68" s="233"/>
      <c r="AO68" s="232"/>
      <c r="AP68" s="233"/>
      <c r="AQ68" s="232"/>
      <c r="AR68" s="233"/>
      <c r="AS68" s="232"/>
      <c r="AT68" s="233"/>
      <c r="AU68" s="232"/>
      <c r="AV68" s="233"/>
      <c r="AW68" s="232"/>
      <c r="AX68" s="233"/>
      <c r="AY68" s="232"/>
      <c r="AZ68" s="233"/>
      <c r="BA68" s="232"/>
      <c r="BB68" s="233"/>
      <c r="BC68" s="232"/>
      <c r="BD68" s="233"/>
      <c r="BE68" s="232"/>
      <c r="BF68" s="233"/>
      <c r="BG68" s="234"/>
    </row>
    <row r="69" spans="1:59" ht="13.15">
      <c r="A69" s="246" t="s">
        <v>145</v>
      </c>
      <c r="B69" s="226" t="s">
        <v>151</v>
      </c>
      <c r="C69" s="227" t="s">
        <v>38</v>
      </c>
      <c r="D69" s="492">
        <v>1095</v>
      </c>
      <c r="E69" s="492">
        <v>1088</v>
      </c>
      <c r="F69" s="540">
        <f t="shared" si="34"/>
        <v>0.81254667662434654</v>
      </c>
      <c r="G69" s="1332"/>
      <c r="H69" s="228">
        <v>42</v>
      </c>
      <c r="I69" s="229">
        <v>3.5</v>
      </c>
      <c r="J69" s="226">
        <f t="shared" si="29"/>
        <v>147</v>
      </c>
      <c r="K69" s="226">
        <v>21</v>
      </c>
      <c r="L69" s="226">
        <f t="shared" si="9"/>
        <v>73</v>
      </c>
      <c r="M69" s="226">
        <f t="shared" si="10"/>
        <v>1339</v>
      </c>
      <c r="N69" s="226">
        <f t="shared" si="31"/>
        <v>61</v>
      </c>
      <c r="O69" s="536">
        <f t="shared" si="35"/>
        <v>0.85810306198655717</v>
      </c>
      <c r="P69" s="1239"/>
      <c r="Q69" s="440">
        <f t="shared" si="32"/>
        <v>38</v>
      </c>
      <c r="R69" s="1239"/>
      <c r="S69" s="230">
        <f t="shared" si="36"/>
        <v>1187</v>
      </c>
      <c r="T69" s="1213"/>
      <c r="U69" s="230">
        <f t="shared" si="7"/>
        <v>152</v>
      </c>
      <c r="V69" s="1206"/>
      <c r="W69" s="762">
        <f t="shared" si="23"/>
        <v>0.88648244958924571</v>
      </c>
      <c r="X69" s="1340"/>
      <c r="Y69" s="198">
        <f t="shared" si="8"/>
        <v>0.88648244958924571</v>
      </c>
      <c r="Z69" s="1287"/>
      <c r="AA69" s="1293"/>
      <c r="AB69" s="415" t="s">
        <v>54</v>
      </c>
      <c r="AC69" s="422">
        <v>61</v>
      </c>
      <c r="AD69" s="523" t="s">
        <v>60</v>
      </c>
      <c r="AE69" s="524">
        <v>38</v>
      </c>
      <c r="AF69" s="233"/>
      <c r="AG69" s="232"/>
      <c r="AH69" s="233"/>
      <c r="AI69" s="232"/>
      <c r="AJ69" s="233" t="s">
        <v>152</v>
      </c>
      <c r="AK69" s="232"/>
      <c r="AL69" s="233"/>
      <c r="AM69" s="232"/>
      <c r="AN69" s="233"/>
      <c r="AO69" s="232"/>
      <c r="AP69" s="233"/>
      <c r="AQ69" s="232"/>
      <c r="AR69" s="233"/>
      <c r="AS69" s="232"/>
      <c r="AT69" s="233"/>
      <c r="AU69" s="232"/>
      <c r="AV69" s="233"/>
      <c r="AW69" s="232"/>
      <c r="AX69" s="233"/>
      <c r="AY69" s="232"/>
      <c r="AZ69" s="233"/>
      <c r="BA69" s="232"/>
      <c r="BB69" s="233"/>
      <c r="BC69" s="232"/>
      <c r="BD69" s="233"/>
      <c r="BE69" s="232"/>
      <c r="BF69" s="233"/>
      <c r="BG69" s="234"/>
    </row>
    <row r="70" spans="1:59" ht="13.15">
      <c r="A70" s="246" t="s">
        <v>145</v>
      </c>
      <c r="B70" s="266" t="s">
        <v>153</v>
      </c>
      <c r="C70" s="267" t="s">
        <v>103</v>
      </c>
      <c r="D70" s="1030">
        <v>261</v>
      </c>
      <c r="E70" s="279">
        <v>303</v>
      </c>
      <c r="F70" s="540">
        <f t="shared" si="34"/>
        <v>0.78701298701298705</v>
      </c>
      <c r="G70" s="1332"/>
      <c r="H70" s="228">
        <v>16</v>
      </c>
      <c r="I70" s="229">
        <v>3</v>
      </c>
      <c r="J70" s="226">
        <f>INT(H70*I70)</f>
        <v>48</v>
      </c>
      <c r="K70" s="226">
        <v>9</v>
      </c>
      <c r="L70" s="264">
        <f>INT((H70-K70)*I70)</f>
        <v>21</v>
      </c>
      <c r="M70" s="226">
        <f t="shared" si="10"/>
        <v>385</v>
      </c>
      <c r="N70" s="226">
        <f t="shared" si="31"/>
        <v>85</v>
      </c>
      <c r="O70" s="536">
        <f t="shared" si="35"/>
        <v>1.0077922077922077</v>
      </c>
      <c r="P70" s="1239"/>
      <c r="Q70" s="560">
        <f t="shared" si="32"/>
        <v>0</v>
      </c>
      <c r="R70" s="1239"/>
      <c r="S70" s="230">
        <f t="shared" si="36"/>
        <v>388</v>
      </c>
      <c r="T70" s="1213"/>
      <c r="U70" s="230">
        <f t="shared" si="7"/>
        <v>-3</v>
      </c>
      <c r="V70" s="1206"/>
      <c r="W70" s="762">
        <f t="shared" si="23"/>
        <v>1.0077922077922077</v>
      </c>
      <c r="X70" s="1340"/>
      <c r="Y70" s="198">
        <f t="shared" si="8"/>
        <v>1.0077922077922077</v>
      </c>
      <c r="Z70" s="1287"/>
      <c r="AA70" s="789"/>
      <c r="AB70" s="415" t="s">
        <v>54</v>
      </c>
      <c r="AC70" s="422">
        <v>85</v>
      </c>
      <c r="AD70" s="523"/>
      <c r="AE70" s="524"/>
      <c r="AF70" s="233"/>
      <c r="AG70" s="232"/>
      <c r="AH70" s="233"/>
      <c r="AI70" s="232"/>
      <c r="AJ70" s="233"/>
      <c r="AK70" s="232"/>
      <c r="AL70" s="233"/>
      <c r="AM70" s="232"/>
      <c r="AN70" s="233"/>
      <c r="AO70" s="232"/>
      <c r="AP70" s="233"/>
      <c r="AQ70" s="232"/>
      <c r="AR70" s="233"/>
      <c r="AS70" s="232"/>
      <c r="AT70" s="233"/>
      <c r="AU70" s="232"/>
      <c r="AV70" s="233"/>
      <c r="AW70" s="232"/>
      <c r="AX70" s="233"/>
      <c r="AY70" s="232"/>
      <c r="AZ70" s="233"/>
      <c r="BA70" s="232"/>
      <c r="BB70" s="233"/>
      <c r="BC70" s="232"/>
      <c r="BD70" s="233"/>
      <c r="BE70" s="232"/>
      <c r="BF70" s="233"/>
      <c r="BG70" s="234"/>
    </row>
    <row r="71" spans="1:59" ht="13.15">
      <c r="A71" s="249" t="s">
        <v>145</v>
      </c>
      <c r="B71" s="730" t="s">
        <v>154</v>
      </c>
      <c r="C71" s="733" t="s">
        <v>103</v>
      </c>
      <c r="D71" s="1031">
        <v>266</v>
      </c>
      <c r="E71" s="731">
        <v>291</v>
      </c>
      <c r="F71" s="726">
        <f t="shared" si="34"/>
        <v>0.75584415584415587</v>
      </c>
      <c r="G71" s="1236"/>
      <c r="H71" s="734">
        <v>16</v>
      </c>
      <c r="I71" s="735">
        <v>3</v>
      </c>
      <c r="J71" s="730">
        <f>INT(H71*I71)</f>
        <v>48</v>
      </c>
      <c r="K71" s="730">
        <v>9</v>
      </c>
      <c r="L71" s="736">
        <f>INT((H70-K70)*I70)</f>
        <v>21</v>
      </c>
      <c r="M71" s="226">
        <f t="shared" si="10"/>
        <v>385</v>
      </c>
      <c r="N71" s="226">
        <f t="shared" si="31"/>
        <v>91</v>
      </c>
      <c r="O71" s="728">
        <f t="shared" si="35"/>
        <v>0.99220779220779221</v>
      </c>
      <c r="P71" s="1240"/>
      <c r="Q71" s="729">
        <f t="shared" si="32"/>
        <v>0</v>
      </c>
      <c r="R71" s="1240"/>
      <c r="S71" s="731">
        <f t="shared" si="36"/>
        <v>382</v>
      </c>
      <c r="T71" s="1209"/>
      <c r="U71" s="731">
        <f t="shared" si="7"/>
        <v>3</v>
      </c>
      <c r="V71" s="1207"/>
      <c r="W71" s="841">
        <f t="shared" si="23"/>
        <v>0.99220779220779221</v>
      </c>
      <c r="X71" s="1341"/>
      <c r="Y71" s="256">
        <f t="shared" si="8"/>
        <v>0.99220779220779221</v>
      </c>
      <c r="Z71" s="1288"/>
      <c r="AA71" s="790"/>
      <c r="AB71" s="415" t="s">
        <v>54</v>
      </c>
      <c r="AC71" s="423">
        <v>91</v>
      </c>
      <c r="AD71" s="525"/>
      <c r="AE71" s="526"/>
      <c r="AF71" s="242"/>
      <c r="AG71" s="241"/>
      <c r="AH71" s="242"/>
      <c r="AI71" s="241"/>
      <c r="AJ71" s="242"/>
      <c r="AK71" s="241"/>
      <c r="AL71" s="242"/>
      <c r="AM71" s="241"/>
      <c r="AN71" s="242"/>
      <c r="AO71" s="241"/>
      <c r="AP71" s="242"/>
      <c r="AQ71" s="241"/>
      <c r="AR71" s="242"/>
      <c r="AS71" s="241"/>
      <c r="AT71" s="242"/>
      <c r="AU71" s="241"/>
      <c r="AV71" s="242"/>
      <c r="AW71" s="241"/>
      <c r="AX71" s="242"/>
      <c r="AY71" s="241"/>
      <c r="AZ71" s="242"/>
      <c r="BA71" s="241"/>
      <c r="BB71" s="242"/>
      <c r="BC71" s="241"/>
      <c r="BD71" s="242"/>
      <c r="BE71" s="241"/>
      <c r="BF71" s="242"/>
      <c r="BG71" s="243"/>
    </row>
    <row r="72" spans="1:59" ht="13.15">
      <c r="A72" s="244" t="s">
        <v>155</v>
      </c>
      <c r="B72" s="215" t="s">
        <v>156</v>
      </c>
      <c r="C72" s="216" t="s">
        <v>108</v>
      </c>
      <c r="D72" s="1064">
        <v>867</v>
      </c>
      <c r="E72" s="1064">
        <v>865</v>
      </c>
      <c r="F72" s="549">
        <f t="shared" si="34"/>
        <v>0.74891774891774887</v>
      </c>
      <c r="G72" s="1256">
        <f>SUM(E72:E79)*54.5/1000</f>
        <v>278.22250000000003</v>
      </c>
      <c r="H72" s="217">
        <v>44</v>
      </c>
      <c r="I72" s="218">
        <v>3</v>
      </c>
      <c r="J72" s="215">
        <f t="shared" si="29"/>
        <v>132</v>
      </c>
      <c r="K72" s="215">
        <f>((H72-2)/2)+2</f>
        <v>23</v>
      </c>
      <c r="L72" s="263">
        <f t="shared" si="9"/>
        <v>63</v>
      </c>
      <c r="M72" s="263">
        <f t="shared" si="10"/>
        <v>1155</v>
      </c>
      <c r="N72" s="215">
        <f t="shared" ref="N72:N118" si="37">SUM(AC72)</f>
        <v>161</v>
      </c>
      <c r="O72" s="538">
        <f t="shared" si="35"/>
        <v>0.88831168831168827</v>
      </c>
      <c r="P72" s="1256">
        <f>SUM(N72:N79)*54.5/1000</f>
        <v>105.5665</v>
      </c>
      <c r="Q72" s="555">
        <f t="shared" si="32"/>
        <v>0</v>
      </c>
      <c r="R72" s="1261">
        <f>SUM(Q72:Q79)*54.5/1000</f>
        <v>7.194</v>
      </c>
      <c r="S72" s="279">
        <f t="shared" si="36"/>
        <v>1026</v>
      </c>
      <c r="T72" s="1210">
        <f>SUM(S72:S79)*54.5/1000</f>
        <v>390.983</v>
      </c>
      <c r="U72" s="219">
        <f t="shared" si="7"/>
        <v>129</v>
      </c>
      <c r="V72" s="1210">
        <f>SUM(U72:U79)*54.5/1000</f>
        <v>73.629499999999993</v>
      </c>
      <c r="W72" s="220">
        <f t="shared" si="23"/>
        <v>0.88831168831168827</v>
      </c>
      <c r="X72" s="1325">
        <f>(G72+P72+R72)/'Building Capability'!$D$13</f>
        <v>0.84082365591397867</v>
      </c>
      <c r="Y72" s="245">
        <f t="shared" si="8"/>
        <v>0.88831168831168827</v>
      </c>
      <c r="Z72" s="1313">
        <f>(G72+P72+R72)/'Building Capability'!$F$13</f>
        <v>0.83543376068376085</v>
      </c>
      <c r="AA72" s="1307" t="e">
        <f>(G72+P72)/'Building Capability'!$G$13</f>
        <v>#DIV/0!</v>
      </c>
      <c r="AB72" s="417" t="s">
        <v>54</v>
      </c>
      <c r="AC72" s="424">
        <v>161</v>
      </c>
      <c r="AD72" s="478"/>
      <c r="AE72" s="479"/>
      <c r="AF72" s="222"/>
      <c r="AG72" s="221"/>
      <c r="AH72" s="222"/>
      <c r="AI72" s="221"/>
      <c r="AJ72" s="599"/>
      <c r="AK72" s="723"/>
      <c r="AL72" s="599"/>
      <c r="AM72" s="723"/>
      <c r="AN72" s="599"/>
      <c r="AO72" s="723"/>
      <c r="AP72" s="1019"/>
      <c r="AQ72" s="1004"/>
      <c r="AR72" s="599" t="s">
        <v>97</v>
      </c>
      <c r="AS72" s="1004" t="s">
        <v>97</v>
      </c>
      <c r="AT72" s="599" t="s">
        <v>97</v>
      </c>
      <c r="AU72" s="1004" t="s">
        <v>97</v>
      </c>
      <c r="AV72" s="599" t="s">
        <v>97</v>
      </c>
      <c r="AW72" s="600" t="s">
        <v>97</v>
      </c>
      <c r="AX72" s="599" t="s">
        <v>97</v>
      </c>
      <c r="AY72" s="600" t="s">
        <v>97</v>
      </c>
      <c r="AZ72" s="222"/>
      <c r="BA72" s="221"/>
      <c r="BB72" s="222"/>
      <c r="BC72" s="221"/>
      <c r="BD72" s="222"/>
      <c r="BE72" s="221"/>
      <c r="BF72" s="222"/>
      <c r="BG72" s="223"/>
    </row>
    <row r="73" spans="1:59" ht="13.15">
      <c r="A73" s="246" t="s">
        <v>155</v>
      </c>
      <c r="B73" s="226" t="s">
        <v>157</v>
      </c>
      <c r="C73" s="227" t="s">
        <v>108</v>
      </c>
      <c r="D73" s="806">
        <v>715</v>
      </c>
      <c r="E73" s="806">
        <v>726</v>
      </c>
      <c r="F73" s="550">
        <f t="shared" si="34"/>
        <v>0.62857142857142856</v>
      </c>
      <c r="G73" s="1241"/>
      <c r="H73" s="228">
        <v>44</v>
      </c>
      <c r="I73" s="229">
        <v>3</v>
      </c>
      <c r="J73" s="226">
        <f t="shared" si="29"/>
        <v>132</v>
      </c>
      <c r="K73" s="226">
        <f t="shared" ref="K73:K77" si="38">((H73-2)/2)+2</f>
        <v>23</v>
      </c>
      <c r="L73" s="264">
        <f t="shared" si="9"/>
        <v>63</v>
      </c>
      <c r="M73" s="265">
        <f t="shared" si="10"/>
        <v>1155</v>
      </c>
      <c r="N73" s="266">
        <f t="shared" si="37"/>
        <v>214</v>
      </c>
      <c r="O73" s="558">
        <f t="shared" si="35"/>
        <v>0.81385281385281383</v>
      </c>
      <c r="P73" s="1241"/>
      <c r="Q73" s="440">
        <f t="shared" si="32"/>
        <v>18</v>
      </c>
      <c r="R73" s="1247"/>
      <c r="S73" s="230">
        <f t="shared" si="36"/>
        <v>958</v>
      </c>
      <c r="T73" s="1212"/>
      <c r="U73" s="230">
        <f t="shared" si="7"/>
        <v>197</v>
      </c>
      <c r="V73" s="1212"/>
      <c r="W73" s="231">
        <f t="shared" si="23"/>
        <v>0.82943722943722942</v>
      </c>
      <c r="X73" s="1325"/>
      <c r="Y73" s="198">
        <f t="shared" si="8"/>
        <v>0.82943722943722942</v>
      </c>
      <c r="Z73" s="1314"/>
      <c r="AA73" s="1308"/>
      <c r="AB73" s="415" t="s">
        <v>54</v>
      </c>
      <c r="AC73" s="422">
        <v>214</v>
      </c>
      <c r="AD73" s="824"/>
      <c r="AE73" s="825"/>
      <c r="AF73" s="597" t="s">
        <v>143</v>
      </c>
      <c r="AG73" s="724">
        <v>18</v>
      </c>
      <c r="AH73" s="528"/>
      <c r="AI73" s="529"/>
      <c r="AJ73" s="597"/>
      <c r="AK73" s="724"/>
      <c r="AL73" s="597"/>
      <c r="AM73" s="724"/>
      <c r="AN73" s="597"/>
      <c r="AO73" s="724"/>
      <c r="AP73" s="906"/>
      <c r="AQ73" s="907"/>
      <c r="AR73" s="906" t="s">
        <v>97</v>
      </c>
      <c r="AS73" s="907" t="s">
        <v>97</v>
      </c>
      <c r="AT73" s="906" t="s">
        <v>97</v>
      </c>
      <c r="AU73" s="907" t="s">
        <v>97</v>
      </c>
      <c r="AV73" s="597"/>
      <c r="AW73" s="598"/>
      <c r="AX73" s="597" t="s">
        <v>97</v>
      </c>
      <c r="AY73" s="598" t="s">
        <v>97</v>
      </c>
      <c r="AZ73" s="233"/>
      <c r="BA73" s="232"/>
      <c r="BB73" s="233"/>
      <c r="BC73" s="232"/>
      <c r="BD73" s="233"/>
      <c r="BE73" s="232"/>
      <c r="BF73" s="233"/>
      <c r="BG73" s="234"/>
    </row>
    <row r="74" spans="1:59" ht="12.75" customHeight="1">
      <c r="A74" s="246" t="s">
        <v>155</v>
      </c>
      <c r="B74" s="226" t="s">
        <v>158</v>
      </c>
      <c r="C74" s="227" t="s">
        <v>108</v>
      </c>
      <c r="D74" s="806">
        <v>786</v>
      </c>
      <c r="E74" s="806">
        <v>789</v>
      </c>
      <c r="F74" s="550">
        <f t="shared" si="34"/>
        <v>0.68311688311688312</v>
      </c>
      <c r="G74" s="1242"/>
      <c r="H74" s="228">
        <v>44</v>
      </c>
      <c r="I74" s="229">
        <v>3</v>
      </c>
      <c r="J74" s="226">
        <f t="shared" si="29"/>
        <v>132</v>
      </c>
      <c r="K74" s="226">
        <f t="shared" si="38"/>
        <v>23</v>
      </c>
      <c r="L74" s="264">
        <f t="shared" si="9"/>
        <v>63</v>
      </c>
      <c r="M74" s="265">
        <f t="shared" si="10"/>
        <v>1155</v>
      </c>
      <c r="N74" s="266">
        <f t="shared" si="37"/>
        <v>103</v>
      </c>
      <c r="O74" s="558">
        <f t="shared" si="35"/>
        <v>0.77229437229437226</v>
      </c>
      <c r="P74" s="1242"/>
      <c r="Q74" s="440">
        <f t="shared" si="32"/>
        <v>18</v>
      </c>
      <c r="R74" s="1248"/>
      <c r="S74" s="230">
        <f t="shared" si="36"/>
        <v>910</v>
      </c>
      <c r="T74" s="1211"/>
      <c r="U74" s="230">
        <f t="shared" si="7"/>
        <v>245</v>
      </c>
      <c r="V74" s="1211"/>
      <c r="W74" s="231">
        <f t="shared" si="23"/>
        <v>0.78787878787878785</v>
      </c>
      <c r="X74" s="1325"/>
      <c r="Y74" s="198">
        <f t="shared" si="8"/>
        <v>0.78787878787878785</v>
      </c>
      <c r="Z74" s="1314"/>
      <c r="AA74" s="1308"/>
      <c r="AB74" s="415" t="s">
        <v>54</v>
      </c>
      <c r="AC74" s="422">
        <v>103</v>
      </c>
      <c r="AD74" s="1141" t="s">
        <v>119</v>
      </c>
      <c r="AE74" s="1142"/>
      <c r="AF74" s="457" t="s">
        <v>143</v>
      </c>
      <c r="AG74" s="724">
        <v>18</v>
      </c>
      <c r="AH74" s="528"/>
      <c r="AI74" s="529"/>
      <c r="AJ74" s="597"/>
      <c r="AK74" s="724"/>
      <c r="AL74" s="597"/>
      <c r="AM74" s="724"/>
      <c r="AN74" s="597"/>
      <c r="AO74" s="724"/>
      <c r="AP74" s="906"/>
      <c r="AQ74" s="907"/>
      <c r="AR74" s="906"/>
      <c r="AS74" s="907"/>
      <c r="AT74" s="906"/>
      <c r="AU74" s="907"/>
      <c r="AV74" s="906"/>
      <c r="AW74" s="989"/>
      <c r="AX74" s="597"/>
      <c r="AY74" s="598"/>
      <c r="AZ74" s="233"/>
      <c r="BA74" s="232"/>
      <c r="BB74" s="233"/>
      <c r="BC74" s="232"/>
      <c r="BD74" s="233"/>
      <c r="BE74" s="232"/>
      <c r="BF74" s="233"/>
      <c r="BG74" s="234"/>
    </row>
    <row r="75" spans="1:59" ht="12.75" customHeight="1">
      <c r="A75" s="246" t="s">
        <v>155</v>
      </c>
      <c r="B75" s="226" t="s">
        <v>159</v>
      </c>
      <c r="C75" s="227" t="s">
        <v>108</v>
      </c>
      <c r="D75" s="1032">
        <v>597</v>
      </c>
      <c r="E75" s="1032">
        <v>597</v>
      </c>
      <c r="F75" s="550">
        <f t="shared" si="34"/>
        <v>0.67840909090909096</v>
      </c>
      <c r="G75" s="1373">
        <f>G72/'Building Capability'!$D$13</f>
        <v>0.59832795698924734</v>
      </c>
      <c r="H75" s="228">
        <v>34</v>
      </c>
      <c r="I75" s="229">
        <v>3</v>
      </c>
      <c r="J75" s="226">
        <f t="shared" si="29"/>
        <v>102</v>
      </c>
      <c r="K75" s="226">
        <f t="shared" si="38"/>
        <v>18</v>
      </c>
      <c r="L75" s="264">
        <f t="shared" si="9"/>
        <v>48</v>
      </c>
      <c r="M75" s="265">
        <f t="shared" si="10"/>
        <v>880</v>
      </c>
      <c r="N75" s="266">
        <f t="shared" si="37"/>
        <v>198</v>
      </c>
      <c r="O75" s="558">
        <f t="shared" si="35"/>
        <v>0.90340909090909094</v>
      </c>
      <c r="P75" s="1264">
        <f>P72/'Building Capability'!$D$13</f>
        <v>0.2270247311827957</v>
      </c>
      <c r="Q75" s="440">
        <f t="shared" si="32"/>
        <v>0</v>
      </c>
      <c r="R75" s="1264">
        <f>R72/'Building Capability'!$D$13</f>
        <v>1.5470967741935484E-2</v>
      </c>
      <c r="S75" s="230">
        <f t="shared" si="36"/>
        <v>795</v>
      </c>
      <c r="T75" s="1208">
        <f>T72/'Building Capability'!$D$13</f>
        <v>0.84082365591397845</v>
      </c>
      <c r="U75" s="230">
        <f t="shared" si="7"/>
        <v>85</v>
      </c>
      <c r="V75" s="1205">
        <f>V72/'Building Capability'!$D$13</f>
        <v>0.15834301075268817</v>
      </c>
      <c r="W75" s="231">
        <f t="shared" si="23"/>
        <v>0.90340909090909094</v>
      </c>
      <c r="X75" s="1325"/>
      <c r="Y75" s="198">
        <f t="shared" si="8"/>
        <v>0.90340909090909094</v>
      </c>
      <c r="Z75" s="1314"/>
      <c r="AA75" s="1308"/>
      <c r="AB75" s="415" t="s">
        <v>54</v>
      </c>
      <c r="AC75" s="422">
        <v>198</v>
      </c>
      <c r="AD75" s="1061"/>
      <c r="AE75" s="458"/>
      <c r="AF75" s="457"/>
      <c r="AG75" s="458"/>
      <c r="AH75" s="528"/>
      <c r="AI75" s="529"/>
      <c r="AJ75" s="597"/>
      <c r="AK75" s="724"/>
      <c r="AL75" s="597"/>
      <c r="AM75" s="724"/>
      <c r="AN75" s="597"/>
      <c r="AO75" s="724"/>
      <c r="AP75" s="906" t="s">
        <v>97</v>
      </c>
      <c r="AQ75" s="907" t="s">
        <v>97</v>
      </c>
      <c r="AR75" s="906"/>
      <c r="AS75" s="907"/>
      <c r="AT75" s="906"/>
      <c r="AU75" s="907"/>
      <c r="AV75" s="906"/>
      <c r="AW75" s="989"/>
      <c r="AX75" s="597" t="s">
        <v>97</v>
      </c>
      <c r="AY75" s="598" t="s">
        <v>97</v>
      </c>
      <c r="AZ75" s="233"/>
      <c r="BA75" s="232"/>
      <c r="BB75" s="233"/>
      <c r="BC75" s="232"/>
      <c r="BD75" s="233"/>
      <c r="BE75" s="232"/>
      <c r="BF75" s="233"/>
      <c r="BG75" s="234"/>
    </row>
    <row r="76" spans="1:59" ht="13.5" customHeight="1">
      <c r="A76" s="246" t="s">
        <v>155</v>
      </c>
      <c r="B76" s="226" t="s">
        <v>160</v>
      </c>
      <c r="C76" s="227" t="s">
        <v>108</v>
      </c>
      <c r="D76" s="1032">
        <v>538</v>
      </c>
      <c r="E76" s="1032">
        <v>540</v>
      </c>
      <c r="F76" s="550">
        <f t="shared" si="34"/>
        <v>0.46753246753246752</v>
      </c>
      <c r="G76" s="1374"/>
      <c r="H76" s="228">
        <v>44</v>
      </c>
      <c r="I76" s="229">
        <v>3</v>
      </c>
      <c r="J76" s="226">
        <f t="shared" si="29"/>
        <v>132</v>
      </c>
      <c r="K76" s="226">
        <f t="shared" si="38"/>
        <v>23</v>
      </c>
      <c r="L76" s="264">
        <f t="shared" si="9"/>
        <v>63</v>
      </c>
      <c r="M76" s="265">
        <f t="shared" si="10"/>
        <v>1155</v>
      </c>
      <c r="N76" s="266">
        <f t="shared" si="37"/>
        <v>158</v>
      </c>
      <c r="O76" s="558">
        <f t="shared" si="35"/>
        <v>0.60432900432900438</v>
      </c>
      <c r="P76" s="1265"/>
      <c r="Q76" s="440">
        <f t="shared" si="32"/>
        <v>48</v>
      </c>
      <c r="R76" s="1265"/>
      <c r="S76" s="230">
        <f t="shared" si="36"/>
        <v>746</v>
      </c>
      <c r="T76" s="1213"/>
      <c r="U76" s="230">
        <f t="shared" ref="U76:U118" si="39">SUM(M76-S76)</f>
        <v>409</v>
      </c>
      <c r="V76" s="1206"/>
      <c r="W76" s="231">
        <f t="shared" ref="W76:W107" si="40">S76/M76</f>
        <v>0.64588744588744584</v>
      </c>
      <c r="X76" s="1325"/>
      <c r="Y76" s="198">
        <f t="shared" si="8"/>
        <v>0.64588744588744584</v>
      </c>
      <c r="Z76" s="1314"/>
      <c r="AA76" s="1308"/>
      <c r="AB76" s="415" t="s">
        <v>54</v>
      </c>
      <c r="AC76" s="422">
        <v>158</v>
      </c>
      <c r="AD76" s="1141" t="s">
        <v>119</v>
      </c>
      <c r="AE76" s="1142"/>
      <c r="AF76" s="487" t="s">
        <v>161</v>
      </c>
      <c r="AG76" s="489">
        <v>48</v>
      </c>
      <c r="AH76" s="528"/>
      <c r="AI76" s="529"/>
      <c r="AJ76" s="597"/>
      <c r="AK76" s="724"/>
      <c r="AL76" s="597"/>
      <c r="AM76" s="724"/>
      <c r="AN76" s="824"/>
      <c r="AO76" s="925"/>
      <c r="AP76" s="906" t="s">
        <v>97</v>
      </c>
      <c r="AQ76" s="907" t="s">
        <v>97</v>
      </c>
      <c r="AR76" s="906"/>
      <c r="AS76" s="907"/>
      <c r="AT76" s="906"/>
      <c r="AU76" s="907"/>
      <c r="AV76" s="906"/>
      <c r="AW76" s="989"/>
      <c r="AX76" s="597" t="s">
        <v>97</v>
      </c>
      <c r="AY76" s="598" t="s">
        <v>97</v>
      </c>
      <c r="AZ76" s="233"/>
      <c r="BA76" s="232"/>
      <c r="BB76" s="233"/>
      <c r="BC76" s="232"/>
      <c r="BD76" s="233"/>
      <c r="BE76" s="232"/>
      <c r="BF76" s="233"/>
      <c r="BG76" s="234"/>
    </row>
    <row r="77" spans="1:59" ht="12" customHeight="1">
      <c r="A77" s="246" t="s">
        <v>155</v>
      </c>
      <c r="B77" s="226" t="s">
        <v>162</v>
      </c>
      <c r="C77" s="227" t="s">
        <v>108</v>
      </c>
      <c r="D77" s="806">
        <v>628</v>
      </c>
      <c r="E77" s="806">
        <v>629</v>
      </c>
      <c r="F77" s="550">
        <f t="shared" si="34"/>
        <v>0.54458874458874462</v>
      </c>
      <c r="G77" s="1374"/>
      <c r="H77" s="228">
        <v>44</v>
      </c>
      <c r="I77" s="229">
        <v>3</v>
      </c>
      <c r="J77" s="226">
        <f t="shared" si="29"/>
        <v>132</v>
      </c>
      <c r="K77" s="226">
        <f t="shared" si="38"/>
        <v>23</v>
      </c>
      <c r="L77" s="264">
        <f t="shared" ref="L77:L118" si="41">INT((H77-K77)*I77)</f>
        <v>63</v>
      </c>
      <c r="M77" s="264">
        <f t="shared" ref="M77:M118" si="42">INT((L77*1000)/54.5)</f>
        <v>1155</v>
      </c>
      <c r="N77" s="226">
        <f t="shared" si="37"/>
        <v>228</v>
      </c>
      <c r="O77" s="536">
        <f t="shared" si="35"/>
        <v>0.74199134199134198</v>
      </c>
      <c r="P77" s="1265"/>
      <c r="Q77" s="440">
        <f t="shared" si="32"/>
        <v>48</v>
      </c>
      <c r="R77" s="1265"/>
      <c r="S77" s="230">
        <f t="shared" si="36"/>
        <v>905</v>
      </c>
      <c r="T77" s="1213"/>
      <c r="U77" s="230">
        <f t="shared" si="39"/>
        <v>250</v>
      </c>
      <c r="V77" s="1206"/>
      <c r="W77" s="231">
        <f t="shared" si="40"/>
        <v>0.78354978354978355</v>
      </c>
      <c r="X77" s="1325"/>
      <c r="Y77" s="256">
        <f t="shared" si="8"/>
        <v>0.78354978354978355</v>
      </c>
      <c r="Z77" s="1314"/>
      <c r="AA77" s="1309"/>
      <c r="AB77" s="415" t="s">
        <v>54</v>
      </c>
      <c r="AC77" s="422">
        <v>228</v>
      </c>
      <c r="AD77" s="523" t="s">
        <v>161</v>
      </c>
      <c r="AE77" s="524">
        <v>48</v>
      </c>
      <c r="AF77" s="1061"/>
      <c r="AG77" s="458"/>
      <c r="AH77" s="528"/>
      <c r="AI77" s="529"/>
      <c r="AJ77" s="597"/>
      <c r="AK77" s="724"/>
      <c r="AL77" s="597"/>
      <c r="AM77" s="724"/>
      <c r="AN77" s="597"/>
      <c r="AO77" s="724"/>
      <c r="AP77" s="906"/>
      <c r="AQ77" s="907"/>
      <c r="AR77" s="906"/>
      <c r="AS77" s="907"/>
      <c r="AT77" s="906"/>
      <c r="AU77" s="907"/>
      <c r="AV77" s="597"/>
      <c r="AW77" s="598"/>
      <c r="AX77" s="597"/>
      <c r="AY77" s="598"/>
      <c r="AZ77" s="233"/>
      <c r="BA77" s="232"/>
      <c r="BB77" s="233"/>
      <c r="BC77" s="232"/>
      <c r="BD77" s="233"/>
      <c r="BE77" s="232"/>
      <c r="BF77" s="233"/>
      <c r="BG77" s="234"/>
    </row>
    <row r="78" spans="1:59" ht="13.35" customHeight="1">
      <c r="A78" s="817" t="s">
        <v>155</v>
      </c>
      <c r="B78" s="818" t="s">
        <v>163</v>
      </c>
      <c r="C78" s="936" t="s">
        <v>103</v>
      </c>
      <c r="D78" s="652">
        <v>485</v>
      </c>
      <c r="E78" s="652">
        <v>483</v>
      </c>
      <c r="F78" s="660">
        <f t="shared" si="34"/>
        <v>0.51657754010695189</v>
      </c>
      <c r="G78" s="1374"/>
      <c r="H78" s="823">
        <v>36</v>
      </c>
      <c r="I78" s="838">
        <v>3</v>
      </c>
      <c r="J78" s="823">
        <f t="shared" si="29"/>
        <v>108</v>
      </c>
      <c r="K78" s="823">
        <f>((H78-2)/2)+2</f>
        <v>19</v>
      </c>
      <c r="L78" s="264">
        <f t="shared" si="41"/>
        <v>51</v>
      </c>
      <c r="M78" s="264">
        <f t="shared" si="42"/>
        <v>935</v>
      </c>
      <c r="N78" s="652">
        <f t="shared" ref="N78:N79" si="43">SUM(AC78)</f>
        <v>418</v>
      </c>
      <c r="O78" s="840">
        <f t="shared" si="35"/>
        <v>0.96363636363636362</v>
      </c>
      <c r="P78" s="1265"/>
      <c r="Q78" s="834">
        <f>SUM(AE78:BG78)</f>
        <v>0</v>
      </c>
      <c r="R78" s="1265"/>
      <c r="S78" s="230">
        <f t="shared" si="36"/>
        <v>901</v>
      </c>
      <c r="T78" s="1213"/>
      <c r="U78" s="230">
        <f t="shared" ref="U78:U79" si="44">SUM(M78-S78)</f>
        <v>34</v>
      </c>
      <c r="V78" s="1206"/>
      <c r="W78" s="835">
        <f t="shared" si="40"/>
        <v>0.96363636363636362</v>
      </c>
      <c r="X78" s="1325"/>
      <c r="Y78" s="256">
        <f t="shared" ref="Y78:Y79" si="45">W78</f>
        <v>0.96363636363636362</v>
      </c>
      <c r="Z78" s="1314"/>
      <c r="AA78" s="822"/>
      <c r="AB78" s="671" t="s">
        <v>118</v>
      </c>
      <c r="AC78" s="893">
        <v>418</v>
      </c>
      <c r="AD78" s="906"/>
      <c r="AE78" s="907"/>
      <c r="AF78" s="597"/>
      <c r="AG78" s="722"/>
      <c r="AH78" s="597"/>
      <c r="AI78" s="598"/>
      <c r="AJ78" s="597" t="s">
        <v>97</v>
      </c>
      <c r="AK78" s="598" t="s">
        <v>97</v>
      </c>
      <c r="AL78" s="1037"/>
      <c r="AM78" s="724"/>
      <c r="AN78" s="597"/>
      <c r="AO78" s="722"/>
      <c r="AP78" s="597"/>
      <c r="AQ78" s="598"/>
      <c r="AR78" s="597" t="s">
        <v>97</v>
      </c>
      <c r="AS78" s="598"/>
      <c r="AT78" s="597" t="s">
        <v>97</v>
      </c>
      <c r="AU78" s="598"/>
      <c r="AV78" s="597" t="s">
        <v>97</v>
      </c>
      <c r="AW78" s="598" t="s">
        <v>97</v>
      </c>
      <c r="AX78" s="597" t="s">
        <v>97</v>
      </c>
      <c r="AY78" s="598" t="s">
        <v>97</v>
      </c>
      <c r="AZ78" s="597" t="s">
        <v>97</v>
      </c>
      <c r="BA78" s="598" t="s">
        <v>97</v>
      </c>
      <c r="BB78" s="597" t="s">
        <v>97</v>
      </c>
      <c r="BC78" s="598" t="s">
        <v>97</v>
      </c>
      <c r="BD78" s="597" t="s">
        <v>97</v>
      </c>
      <c r="BE78" s="598" t="s">
        <v>97</v>
      </c>
      <c r="BF78" s="597" t="s">
        <v>97</v>
      </c>
      <c r="BG78" s="672" t="s">
        <v>97</v>
      </c>
    </row>
    <row r="79" spans="1:59" ht="13.35" customHeight="1">
      <c r="A79" s="648" t="s">
        <v>155</v>
      </c>
      <c r="B79" s="650" t="s">
        <v>164</v>
      </c>
      <c r="C79" s="937" t="s">
        <v>103</v>
      </c>
      <c r="D79" s="618">
        <v>476</v>
      </c>
      <c r="E79" s="618">
        <v>476</v>
      </c>
      <c r="F79" s="781">
        <f t="shared" si="34"/>
        <v>0.50909090909090904</v>
      </c>
      <c r="G79" s="1375"/>
      <c r="H79" s="823">
        <v>36</v>
      </c>
      <c r="I79" s="838">
        <v>3</v>
      </c>
      <c r="J79" s="823">
        <f t="shared" ref="J79" si="46">INT(H79*I79)</f>
        <v>108</v>
      </c>
      <c r="K79" s="823">
        <f>((H79-2)/2)+2</f>
        <v>19</v>
      </c>
      <c r="L79" s="264">
        <f t="shared" si="41"/>
        <v>51</v>
      </c>
      <c r="M79" s="618">
        <f t="shared" si="42"/>
        <v>935</v>
      </c>
      <c r="N79" s="618">
        <f t="shared" si="43"/>
        <v>457</v>
      </c>
      <c r="O79" s="728">
        <f t="shared" si="35"/>
        <v>0.99786096256684487</v>
      </c>
      <c r="P79" s="1266"/>
      <c r="Q79" s="624">
        <f>SUM(AE79:BG79)</f>
        <v>0</v>
      </c>
      <c r="R79" s="1266"/>
      <c r="S79" s="254">
        <f t="shared" si="36"/>
        <v>933</v>
      </c>
      <c r="T79" s="1209"/>
      <c r="U79" s="254">
        <f t="shared" si="44"/>
        <v>2</v>
      </c>
      <c r="V79" s="1207"/>
      <c r="W79" s="836">
        <f t="shared" si="40"/>
        <v>0.99786096256684487</v>
      </c>
      <c r="X79" s="1333"/>
      <c r="Y79" s="782">
        <f t="shared" si="45"/>
        <v>0.99786096256684487</v>
      </c>
      <c r="Z79" s="1315"/>
      <c r="AA79" s="822"/>
      <c r="AB79" s="673" t="s">
        <v>118</v>
      </c>
      <c r="AC79" s="894">
        <v>457</v>
      </c>
      <c r="AD79" s="908"/>
      <c r="AE79" s="909"/>
      <c r="AF79" s="601"/>
      <c r="AG79" s="1049"/>
      <c r="AH79" s="601"/>
      <c r="AI79" s="602"/>
      <c r="AJ79" s="601" t="s">
        <v>97</v>
      </c>
      <c r="AK79" s="602" t="s">
        <v>97</v>
      </c>
      <c r="AL79" s="1038"/>
      <c r="AM79" s="764"/>
      <c r="AN79" s="1050"/>
      <c r="AO79" s="1049"/>
      <c r="AP79" s="601"/>
      <c r="AQ79" s="602"/>
      <c r="AR79" s="601" t="s">
        <v>97</v>
      </c>
      <c r="AS79" s="602" t="s">
        <v>97</v>
      </c>
      <c r="AT79" s="601" t="s">
        <v>97</v>
      </c>
      <c r="AU79" s="602"/>
      <c r="AV79" s="601" t="s">
        <v>97</v>
      </c>
      <c r="AW79" s="602" t="s">
        <v>97</v>
      </c>
      <c r="AX79" s="601" t="s">
        <v>97</v>
      </c>
      <c r="AY79" s="602" t="s">
        <v>97</v>
      </c>
      <c r="AZ79" s="601" t="s">
        <v>97</v>
      </c>
      <c r="BA79" s="602" t="s">
        <v>97</v>
      </c>
      <c r="BB79" s="601" t="s">
        <v>97</v>
      </c>
      <c r="BC79" s="602" t="s">
        <v>97</v>
      </c>
      <c r="BD79" s="601" t="s">
        <v>97</v>
      </c>
      <c r="BE79" s="602" t="s">
        <v>97</v>
      </c>
      <c r="BF79" s="601" t="s">
        <v>97</v>
      </c>
      <c r="BG79" s="674" t="s">
        <v>97</v>
      </c>
    </row>
    <row r="80" spans="1:59" ht="13.15">
      <c r="A80" s="244" t="s">
        <v>165</v>
      </c>
      <c r="B80" s="215" t="s">
        <v>166</v>
      </c>
      <c r="C80" s="216" t="s">
        <v>38</v>
      </c>
      <c r="D80" s="802">
        <v>424</v>
      </c>
      <c r="E80" s="802">
        <v>422</v>
      </c>
      <c r="F80" s="539">
        <f t="shared" si="34"/>
        <v>0.36536796536796534</v>
      </c>
      <c r="G80" s="1249">
        <f>SUM(E80:E84)*54.5/1000</f>
        <v>106.384</v>
      </c>
      <c r="H80" s="217">
        <v>36</v>
      </c>
      <c r="I80" s="218">
        <v>3.5</v>
      </c>
      <c r="J80" s="215">
        <f t="shared" si="29"/>
        <v>126</v>
      </c>
      <c r="K80" s="215">
        <v>18</v>
      </c>
      <c r="L80" s="215">
        <f t="shared" si="41"/>
        <v>63</v>
      </c>
      <c r="M80" s="215">
        <f t="shared" si="42"/>
        <v>1155</v>
      </c>
      <c r="N80" s="215">
        <f t="shared" si="37"/>
        <v>0</v>
      </c>
      <c r="O80" s="538">
        <f t="shared" si="35"/>
        <v>0.36536796536796534</v>
      </c>
      <c r="P80" s="1210">
        <f>SUM(N80:N84)*54.5/1000</f>
        <v>0</v>
      </c>
      <c r="Q80" s="555">
        <f t="shared" si="32"/>
        <v>50.15</v>
      </c>
      <c r="R80" s="1261">
        <f>SUM(Q80:Q84)*54.5/1000</f>
        <v>12.06085</v>
      </c>
      <c r="S80" s="279">
        <f t="shared" si="36"/>
        <v>472.15</v>
      </c>
      <c r="T80" s="1210">
        <f>SUM(S80:S84)*54.5/1000</f>
        <v>118.44485</v>
      </c>
      <c r="U80" s="279">
        <f t="shared" si="39"/>
        <v>682.85</v>
      </c>
      <c r="V80" s="1210">
        <f>SUM(U80:U84)*54.5/1000</f>
        <v>196.29264999999998</v>
      </c>
      <c r="W80" s="220">
        <f t="shared" si="40"/>
        <v>0.40878787878787876</v>
      </c>
      <c r="X80" s="1324">
        <f>(G80+P80+R80)/'Building Capability'!$D$14</f>
        <v>0.37601539682539681</v>
      </c>
      <c r="Y80" s="245">
        <f t="shared" ref="Y80:Y93" si="47">W80</f>
        <v>0.40878787878787876</v>
      </c>
      <c r="Z80" s="1294">
        <f>(G80+P80+R80)/'Building Capability'!$F$14</f>
        <v>0.37601539682539681</v>
      </c>
      <c r="AB80" s="417"/>
      <c r="AC80" s="424"/>
      <c r="AD80" s="521" t="s">
        <v>167</v>
      </c>
      <c r="AE80" s="522">
        <v>41</v>
      </c>
      <c r="AF80" s="222" t="s">
        <v>168</v>
      </c>
      <c r="AG80" s="221">
        <v>9.15</v>
      </c>
      <c r="AH80" s="222"/>
      <c r="AI80" s="221"/>
      <c r="AJ80" s="222"/>
      <c r="AK80" s="221"/>
      <c r="AL80" s="222"/>
      <c r="AM80" s="221"/>
      <c r="AN80" s="222"/>
      <c r="AO80" s="221"/>
      <c r="AP80" s="222"/>
      <c r="AQ80" s="221"/>
      <c r="AR80" s="233"/>
      <c r="AS80" s="221"/>
      <c r="AT80" s="222"/>
      <c r="AU80" s="221"/>
      <c r="AV80" s="222"/>
      <c r="AW80" s="221"/>
      <c r="AX80" s="222"/>
      <c r="AY80" s="221"/>
      <c r="AZ80" s="222"/>
      <c r="BA80" s="221"/>
      <c r="BB80" s="222"/>
      <c r="BC80" s="221"/>
      <c r="BD80" s="222"/>
      <c r="BE80" s="221"/>
      <c r="BF80" s="222"/>
      <c r="BG80" s="223"/>
    </row>
    <row r="81" spans="1:59" ht="13.15">
      <c r="A81" s="246" t="s">
        <v>165</v>
      </c>
      <c r="B81" s="226" t="s">
        <v>169</v>
      </c>
      <c r="C81" s="227" t="s">
        <v>38</v>
      </c>
      <c r="D81" s="492">
        <v>521</v>
      </c>
      <c r="E81" s="492">
        <v>523</v>
      </c>
      <c r="F81" s="540">
        <f t="shared" si="34"/>
        <v>0.45281385281385284</v>
      </c>
      <c r="G81" s="1250"/>
      <c r="H81" s="228">
        <v>36</v>
      </c>
      <c r="I81" s="229">
        <v>3.5</v>
      </c>
      <c r="J81" s="226">
        <f t="shared" si="29"/>
        <v>126</v>
      </c>
      <c r="K81" s="226">
        <v>18</v>
      </c>
      <c r="L81" s="226">
        <f t="shared" si="41"/>
        <v>63</v>
      </c>
      <c r="M81" s="226">
        <f t="shared" si="42"/>
        <v>1155</v>
      </c>
      <c r="N81" s="226">
        <f t="shared" si="37"/>
        <v>0</v>
      </c>
      <c r="O81" s="536">
        <f t="shared" si="35"/>
        <v>0.45281385281385284</v>
      </c>
      <c r="P81" s="1212"/>
      <c r="Q81" s="440">
        <f t="shared" si="32"/>
        <v>97</v>
      </c>
      <c r="R81" s="1247"/>
      <c r="S81" s="230">
        <f t="shared" si="36"/>
        <v>620</v>
      </c>
      <c r="T81" s="1212"/>
      <c r="U81" s="230">
        <f t="shared" si="39"/>
        <v>535</v>
      </c>
      <c r="V81" s="1212"/>
      <c r="W81" s="231">
        <f t="shared" si="40"/>
        <v>0.53679653679653683</v>
      </c>
      <c r="X81" s="1325"/>
      <c r="Y81" s="198">
        <f t="shared" si="47"/>
        <v>0.53679653679653683</v>
      </c>
      <c r="Z81" s="1295"/>
      <c r="AB81" s="415"/>
      <c r="AC81" s="422"/>
      <c r="AD81" s="523" t="s">
        <v>167</v>
      </c>
      <c r="AE81" s="524">
        <v>32</v>
      </c>
      <c r="AF81" s="487" t="s">
        <v>170</v>
      </c>
      <c r="AG81" s="489">
        <v>65</v>
      </c>
      <c r="AH81" s="233"/>
      <c r="AI81" s="529"/>
      <c r="AJ81" s="233"/>
      <c r="AK81" s="232"/>
      <c r="AL81" s="233"/>
      <c r="AM81" s="232"/>
      <c r="AN81" s="233"/>
      <c r="AO81" s="232"/>
      <c r="AP81" s="233"/>
      <c r="AQ81" s="232"/>
      <c r="AR81" s="233"/>
      <c r="AS81" s="232"/>
      <c r="AT81" s="233"/>
      <c r="AU81" s="232"/>
      <c r="AV81" s="233"/>
      <c r="AW81" s="232"/>
      <c r="AX81" s="233"/>
      <c r="AY81" s="232"/>
      <c r="AZ81" s="233"/>
      <c r="BA81" s="232"/>
      <c r="BB81" s="233"/>
      <c r="BC81" s="232"/>
      <c r="BD81" s="233"/>
      <c r="BE81" s="232"/>
      <c r="BF81" s="233"/>
      <c r="BG81" s="234"/>
    </row>
    <row r="82" spans="1:59" ht="13.15">
      <c r="A82" s="246" t="s">
        <v>165</v>
      </c>
      <c r="B82" s="226" t="s">
        <v>171</v>
      </c>
      <c r="C82" s="227" t="s">
        <v>38</v>
      </c>
      <c r="D82" s="230">
        <v>539</v>
      </c>
      <c r="E82" s="230">
        <v>532</v>
      </c>
      <c r="F82" s="540">
        <f t="shared" si="34"/>
        <v>0.46060606060606063</v>
      </c>
      <c r="G82" s="1250"/>
      <c r="H82" s="228">
        <v>36</v>
      </c>
      <c r="I82" s="229">
        <v>3.5</v>
      </c>
      <c r="J82" s="226">
        <f t="shared" si="29"/>
        <v>126</v>
      </c>
      <c r="K82" s="226">
        <v>18</v>
      </c>
      <c r="L82" s="226">
        <f t="shared" si="41"/>
        <v>63</v>
      </c>
      <c r="M82" s="226">
        <f t="shared" si="42"/>
        <v>1155</v>
      </c>
      <c r="N82" s="226">
        <f t="shared" si="37"/>
        <v>0</v>
      </c>
      <c r="O82" s="536">
        <f t="shared" si="35"/>
        <v>0.46060606060606063</v>
      </c>
      <c r="P82" s="1211"/>
      <c r="Q82" s="440">
        <f t="shared" si="32"/>
        <v>74.150000000000006</v>
      </c>
      <c r="R82" s="1248"/>
      <c r="S82" s="230">
        <f t="shared" si="36"/>
        <v>606.15</v>
      </c>
      <c r="T82" s="1211"/>
      <c r="U82" s="230">
        <f t="shared" si="39"/>
        <v>548.85</v>
      </c>
      <c r="V82" s="1211"/>
      <c r="W82" s="231">
        <f t="shared" si="40"/>
        <v>0.52480519480519483</v>
      </c>
      <c r="X82" s="1325"/>
      <c r="Y82" s="198">
        <f t="shared" si="47"/>
        <v>0.52480519480519483</v>
      </c>
      <c r="Z82" s="1295"/>
      <c r="AB82" s="415"/>
      <c r="AC82" s="422"/>
      <c r="AD82" s="487" t="s">
        <v>170</v>
      </c>
      <c r="AE82" s="489">
        <v>65</v>
      </c>
      <c r="AF82" s="233" t="s">
        <v>168</v>
      </c>
      <c r="AG82" s="232">
        <v>9.15</v>
      </c>
      <c r="AH82" s="233"/>
      <c r="AI82" s="232"/>
      <c r="AJ82" s="233"/>
      <c r="AK82" s="232"/>
      <c r="AL82" s="233"/>
      <c r="AM82" s="232"/>
      <c r="AN82" s="233"/>
      <c r="AO82" s="232"/>
      <c r="AP82" s="233"/>
      <c r="AQ82" s="232"/>
      <c r="AR82" s="233"/>
      <c r="AS82" s="232"/>
      <c r="AT82" s="233"/>
      <c r="AU82" s="232"/>
      <c r="AV82" s="233"/>
      <c r="AW82" s="232"/>
      <c r="AX82" s="233"/>
      <c r="AY82" s="232"/>
      <c r="AZ82" s="233"/>
      <c r="BA82" s="232"/>
      <c r="BB82" s="233"/>
      <c r="BC82" s="232"/>
      <c r="BD82" s="233"/>
      <c r="BE82" s="232"/>
      <c r="BF82" s="233"/>
      <c r="BG82" s="234"/>
    </row>
    <row r="83" spans="1:59" ht="13.15">
      <c r="A83" s="246" t="s">
        <v>165</v>
      </c>
      <c r="B83" s="226" t="s">
        <v>172</v>
      </c>
      <c r="C83" s="227" t="s">
        <v>38</v>
      </c>
      <c r="D83" s="492">
        <v>258</v>
      </c>
      <c r="E83" s="492">
        <v>263</v>
      </c>
      <c r="F83" s="540">
        <f t="shared" si="34"/>
        <v>0.22770562770562772</v>
      </c>
      <c r="G83" s="1235">
        <f>G80/'Building Capability'!$D$14</f>
        <v>0.33772698412698415</v>
      </c>
      <c r="H83" s="228">
        <v>36</v>
      </c>
      <c r="I83" s="229">
        <v>3.5</v>
      </c>
      <c r="J83" s="226">
        <f t="shared" si="29"/>
        <v>126</v>
      </c>
      <c r="K83" s="226">
        <v>18</v>
      </c>
      <c r="L83" s="226">
        <f t="shared" si="41"/>
        <v>63</v>
      </c>
      <c r="M83" s="226">
        <f t="shared" si="42"/>
        <v>1155</v>
      </c>
      <c r="N83" s="226">
        <f t="shared" si="37"/>
        <v>0</v>
      </c>
      <c r="O83" s="536">
        <f t="shared" si="35"/>
        <v>0.22770562770562772</v>
      </c>
      <c r="P83" s="1208">
        <f>P80/'Building Capability'!$D$14</f>
        <v>0</v>
      </c>
      <c r="Q83" s="440">
        <f t="shared" si="32"/>
        <v>0</v>
      </c>
      <c r="R83" s="1223">
        <f>R80/'Building Capability'!$D$14</f>
        <v>3.8288412698412697E-2</v>
      </c>
      <c r="S83" s="230">
        <f t="shared" si="36"/>
        <v>263</v>
      </c>
      <c r="T83" s="1208">
        <f>T80/'Building Capability'!$D$14</f>
        <v>0.37601539682539681</v>
      </c>
      <c r="U83" s="230">
        <f t="shared" si="39"/>
        <v>892</v>
      </c>
      <c r="V83" s="1205">
        <f>V80/'Building Capability'!$D$14</f>
        <v>0.62315126984126978</v>
      </c>
      <c r="W83" s="231">
        <f t="shared" si="40"/>
        <v>0.22770562770562772</v>
      </c>
      <c r="X83" s="1325"/>
      <c r="Y83" s="198">
        <f t="shared" si="47"/>
        <v>0.22770562770562772</v>
      </c>
      <c r="Z83" s="1295"/>
      <c r="AB83" s="415"/>
      <c r="AC83" s="422"/>
      <c r="AD83" s="528"/>
      <c r="AE83" s="529"/>
      <c r="AF83" s="233"/>
      <c r="AG83" s="529"/>
      <c r="AH83" s="233"/>
      <c r="AI83" s="232"/>
      <c r="AJ83" s="233"/>
      <c r="AK83" s="232"/>
      <c r="AL83" s="233"/>
      <c r="AM83" s="232"/>
      <c r="AN83" s="233"/>
      <c r="AO83" s="232"/>
      <c r="AP83" s="233"/>
      <c r="AQ83" s="232"/>
      <c r="AR83" s="233"/>
      <c r="AS83" s="232"/>
      <c r="AT83" s="233"/>
      <c r="AU83" s="232"/>
      <c r="AV83" s="233"/>
      <c r="AW83" s="232"/>
      <c r="AX83" s="233"/>
      <c r="AY83" s="232"/>
      <c r="AZ83" s="233"/>
      <c r="BA83" s="232"/>
      <c r="BB83" s="233"/>
      <c r="BC83" s="232"/>
      <c r="BD83" s="233"/>
      <c r="BE83" s="232"/>
      <c r="BF83" s="233"/>
      <c r="BG83" s="234"/>
    </row>
    <row r="84" spans="1:59" ht="13.15">
      <c r="A84" s="249" t="s">
        <v>165</v>
      </c>
      <c r="B84" s="253" t="s">
        <v>173</v>
      </c>
      <c r="C84" s="250" t="s">
        <v>38</v>
      </c>
      <c r="D84" s="805">
        <v>213</v>
      </c>
      <c r="E84" s="805">
        <v>212</v>
      </c>
      <c r="F84" s="546">
        <f t="shared" si="34"/>
        <v>0.18354978354978355</v>
      </c>
      <c r="G84" s="1236"/>
      <c r="H84" s="251">
        <v>36</v>
      </c>
      <c r="I84" s="252">
        <v>3.5</v>
      </c>
      <c r="J84" s="253">
        <f t="shared" si="29"/>
        <v>126</v>
      </c>
      <c r="K84" s="253">
        <v>18</v>
      </c>
      <c r="L84" s="253">
        <f t="shared" si="41"/>
        <v>63</v>
      </c>
      <c r="M84" s="253">
        <f t="shared" si="42"/>
        <v>1155</v>
      </c>
      <c r="N84" s="253">
        <f t="shared" si="37"/>
        <v>0</v>
      </c>
      <c r="O84" s="537">
        <f t="shared" si="35"/>
        <v>0.18354978354978355</v>
      </c>
      <c r="P84" s="1209"/>
      <c r="Q84" s="556">
        <f t="shared" si="32"/>
        <v>0</v>
      </c>
      <c r="R84" s="1224"/>
      <c r="S84" s="254">
        <f t="shared" si="36"/>
        <v>212</v>
      </c>
      <c r="T84" s="1209"/>
      <c r="U84" s="254">
        <f t="shared" si="39"/>
        <v>943</v>
      </c>
      <c r="V84" s="1206"/>
      <c r="W84" s="255">
        <f t="shared" si="40"/>
        <v>0.18354978354978355</v>
      </c>
      <c r="X84" s="1333"/>
      <c r="Y84" s="256">
        <f t="shared" si="47"/>
        <v>0.18354978354978355</v>
      </c>
      <c r="Z84" s="1296"/>
      <c r="AB84" s="416"/>
      <c r="AC84" s="423"/>
      <c r="AD84" s="785"/>
      <c r="AE84" s="783"/>
      <c r="AF84" s="242"/>
      <c r="AG84" s="241"/>
      <c r="AH84" s="242"/>
      <c r="AI84" s="241"/>
      <c r="AJ84" s="242"/>
      <c r="AK84" s="241"/>
      <c r="AL84" s="242"/>
      <c r="AM84" s="241"/>
      <c r="AN84" s="242"/>
      <c r="AO84" s="241"/>
      <c r="AP84" s="242"/>
      <c r="AQ84" s="241"/>
      <c r="AR84" s="242"/>
      <c r="AS84" s="241"/>
      <c r="AT84" s="242"/>
      <c r="AU84" s="241"/>
      <c r="AV84" s="242"/>
      <c r="AW84" s="241"/>
      <c r="AX84" s="242"/>
      <c r="AY84" s="241"/>
      <c r="AZ84" s="242"/>
      <c r="BA84" s="241"/>
      <c r="BB84" s="242"/>
      <c r="BC84" s="241"/>
      <c r="BD84" s="242"/>
      <c r="BE84" s="241"/>
      <c r="BF84" s="242"/>
      <c r="BG84" s="243"/>
    </row>
    <row r="85" spans="1:59" ht="13.15">
      <c r="A85" s="244" t="s">
        <v>174</v>
      </c>
      <c r="B85" s="215" t="s">
        <v>175</v>
      </c>
      <c r="C85" s="216" t="s">
        <v>38</v>
      </c>
      <c r="D85" s="219">
        <v>360</v>
      </c>
      <c r="E85" s="219">
        <v>364</v>
      </c>
      <c r="F85" s="532">
        <f t="shared" si="34"/>
        <v>0.31515151515151513</v>
      </c>
      <c r="G85" s="1210">
        <f>SUM(E85:E88)*54.5/1000</f>
        <v>92.867999999999995</v>
      </c>
      <c r="H85" s="217">
        <v>36</v>
      </c>
      <c r="I85" s="218">
        <v>3.5</v>
      </c>
      <c r="J85" s="215">
        <f t="shared" si="29"/>
        <v>126</v>
      </c>
      <c r="K85" s="215">
        <v>18</v>
      </c>
      <c r="L85" s="215">
        <f t="shared" si="41"/>
        <v>63</v>
      </c>
      <c r="M85" s="215">
        <f t="shared" si="42"/>
        <v>1155</v>
      </c>
      <c r="N85" s="215">
        <f t="shared" si="37"/>
        <v>0</v>
      </c>
      <c r="O85" s="538">
        <f t="shared" si="35"/>
        <v>0.31515151515151513</v>
      </c>
      <c r="P85" s="1210">
        <f>SUM(N85:N88)*54.5/1000</f>
        <v>0</v>
      </c>
      <c r="Q85" s="776">
        <f t="shared" si="32"/>
        <v>5</v>
      </c>
      <c r="R85" s="1320">
        <f>SUM(Q85:Q88)*54.5/1000</f>
        <v>19.292999999999999</v>
      </c>
      <c r="S85" s="279">
        <f t="shared" si="36"/>
        <v>369</v>
      </c>
      <c r="T85" s="1210">
        <f>SUM(S85:S88)*54.5/1000</f>
        <v>112.161</v>
      </c>
      <c r="U85" s="219">
        <f t="shared" si="39"/>
        <v>786</v>
      </c>
      <c r="V85" s="1210">
        <f>SUM(U85:U88)*54.5/1000</f>
        <v>139.62899999999999</v>
      </c>
      <c r="W85" s="220">
        <f t="shared" si="40"/>
        <v>0.31948051948051948</v>
      </c>
      <c r="X85" s="1324">
        <f>(G85+P85+R85)/'Building Capability'!$D$15</f>
        <v>0.44508333333333333</v>
      </c>
      <c r="Y85" s="245">
        <f t="shared" si="47"/>
        <v>0.31948051948051948</v>
      </c>
      <c r="Z85" s="1294">
        <f>(G85+P85+R85)/'Building Capability'!$F$15</f>
        <v>0.37386999999999998</v>
      </c>
      <c r="AB85" s="417"/>
      <c r="AC85" s="424"/>
      <c r="AD85" s="222" t="s">
        <v>41</v>
      </c>
      <c r="AE85" s="221">
        <v>5</v>
      </c>
      <c r="AF85" s="222"/>
      <c r="AG85" s="221"/>
      <c r="AH85" s="530"/>
      <c r="AI85" s="531"/>
      <c r="AJ85" s="222"/>
      <c r="AK85" s="221"/>
      <c r="AL85" s="222"/>
      <c r="AM85" s="221"/>
      <c r="AN85" s="222"/>
      <c r="AO85" s="221"/>
      <c r="AP85" s="222"/>
      <c r="AQ85" s="221"/>
      <c r="AR85" s="233"/>
      <c r="AS85" s="221"/>
      <c r="AT85" s="222"/>
      <c r="AU85" s="221"/>
      <c r="AV85" s="222"/>
      <c r="AW85" s="221"/>
      <c r="AX85" s="222"/>
      <c r="AY85" s="221"/>
      <c r="AZ85" s="222"/>
      <c r="BA85" s="221"/>
      <c r="BB85" s="222"/>
      <c r="BC85" s="221"/>
      <c r="BD85" s="222"/>
      <c r="BE85" s="221"/>
      <c r="BF85" s="222"/>
      <c r="BG85" s="223"/>
    </row>
    <row r="86" spans="1:59" ht="13.15">
      <c r="A86" s="246" t="s">
        <v>174</v>
      </c>
      <c r="B86" s="226" t="s">
        <v>176</v>
      </c>
      <c r="C86" s="227" t="s">
        <v>38</v>
      </c>
      <c r="D86" s="230">
        <v>523</v>
      </c>
      <c r="E86" s="230">
        <v>520</v>
      </c>
      <c r="F86" s="534">
        <f t="shared" si="34"/>
        <v>0.45021645021645024</v>
      </c>
      <c r="G86" s="1211"/>
      <c r="H86" s="228">
        <v>36</v>
      </c>
      <c r="I86" s="229">
        <v>3.5</v>
      </c>
      <c r="J86" s="226">
        <f t="shared" si="29"/>
        <v>126</v>
      </c>
      <c r="K86" s="226">
        <v>18</v>
      </c>
      <c r="L86" s="226">
        <f t="shared" si="41"/>
        <v>63</v>
      </c>
      <c r="M86" s="226">
        <f t="shared" si="42"/>
        <v>1155</v>
      </c>
      <c r="N86" s="226">
        <f t="shared" si="37"/>
        <v>0</v>
      </c>
      <c r="O86" s="536">
        <f t="shared" si="35"/>
        <v>0.45021645021645024</v>
      </c>
      <c r="P86" s="1211"/>
      <c r="Q86" s="777">
        <f t="shared" si="32"/>
        <v>177</v>
      </c>
      <c r="R86" s="1321"/>
      <c r="S86" s="230">
        <f t="shared" si="36"/>
        <v>697</v>
      </c>
      <c r="T86" s="1211"/>
      <c r="U86" s="230">
        <f t="shared" si="39"/>
        <v>458</v>
      </c>
      <c r="V86" s="1211"/>
      <c r="W86" s="231">
        <f t="shared" si="40"/>
        <v>0.60346320346320348</v>
      </c>
      <c r="X86" s="1325"/>
      <c r="Y86" s="198">
        <f t="shared" si="47"/>
        <v>0.60346320346320348</v>
      </c>
      <c r="Z86" s="1295"/>
      <c r="AB86" s="415"/>
      <c r="AC86" s="422"/>
      <c r="AD86" s="487" t="s">
        <v>177</v>
      </c>
      <c r="AE86" s="489">
        <v>107</v>
      </c>
      <c r="AF86" s="487" t="s">
        <v>178</v>
      </c>
      <c r="AG86" s="489">
        <v>65</v>
      </c>
      <c r="AH86" s="528" t="s">
        <v>41</v>
      </c>
      <c r="AI86" s="529">
        <v>5</v>
      </c>
      <c r="AJ86" s="233"/>
      <c r="AK86" s="232"/>
      <c r="AL86" s="233"/>
      <c r="AM86" s="232"/>
      <c r="AN86" s="233"/>
      <c r="AO86" s="232"/>
      <c r="AP86" s="233"/>
      <c r="AQ86" s="232"/>
      <c r="AR86" s="233"/>
      <c r="AS86" s="232"/>
      <c r="AT86" s="233"/>
      <c r="AU86" s="232"/>
      <c r="AV86" s="233"/>
      <c r="AW86" s="232"/>
      <c r="AX86" s="233"/>
      <c r="AY86" s="232"/>
      <c r="AZ86" s="233"/>
      <c r="BA86" s="232"/>
      <c r="BB86" s="233"/>
      <c r="BC86" s="232"/>
      <c r="BD86" s="233"/>
      <c r="BE86" s="232"/>
      <c r="BF86" s="233"/>
      <c r="BG86" s="234"/>
    </row>
    <row r="87" spans="1:59" ht="13.15">
      <c r="A87" s="246" t="s">
        <v>174</v>
      </c>
      <c r="B87" s="226" t="s">
        <v>179</v>
      </c>
      <c r="C87" s="227" t="s">
        <v>38</v>
      </c>
      <c r="D87" s="991">
        <v>473</v>
      </c>
      <c r="E87" s="991">
        <v>472</v>
      </c>
      <c r="F87" s="608">
        <f t="shared" si="34"/>
        <v>0.40865800865800866</v>
      </c>
      <c r="G87" s="1316">
        <f>G85/'Building Capability'!$D$15</f>
        <v>0.36852380952380953</v>
      </c>
      <c r="H87" s="228">
        <v>36</v>
      </c>
      <c r="I87" s="229">
        <v>3.5</v>
      </c>
      <c r="J87" s="226">
        <f t="shared" si="29"/>
        <v>126</v>
      </c>
      <c r="K87" s="226">
        <v>18</v>
      </c>
      <c r="L87" s="226">
        <f t="shared" si="41"/>
        <v>63</v>
      </c>
      <c r="M87" s="226">
        <f t="shared" si="42"/>
        <v>1155</v>
      </c>
      <c r="N87" s="226">
        <f t="shared" si="37"/>
        <v>0</v>
      </c>
      <c r="O87" s="536">
        <f t="shared" si="35"/>
        <v>0.40865800865800866</v>
      </c>
      <c r="P87" s="1208">
        <f>P85/'Building Capability'!$D$15</f>
        <v>0</v>
      </c>
      <c r="Q87" s="778">
        <f t="shared" si="32"/>
        <v>172</v>
      </c>
      <c r="R87" s="1205">
        <f>R85/'Building Capability'!$D$15</f>
        <v>7.6559523809523813E-2</v>
      </c>
      <c r="S87" s="230">
        <f t="shared" si="36"/>
        <v>644</v>
      </c>
      <c r="T87" s="1208">
        <f>T85/'Building Capability'!$D$15</f>
        <v>0.44508333333333333</v>
      </c>
      <c r="U87" s="230">
        <f t="shared" si="39"/>
        <v>511</v>
      </c>
      <c r="V87" s="1205">
        <f>V85/'Building Capability'!$D$15</f>
        <v>0.55408333333333326</v>
      </c>
      <c r="W87" s="231">
        <f t="shared" si="40"/>
        <v>0.55757575757575761</v>
      </c>
      <c r="X87" s="1325"/>
      <c r="Y87" s="198">
        <f t="shared" si="47"/>
        <v>0.55757575757575761</v>
      </c>
      <c r="Z87" s="1295"/>
      <c r="AB87" s="415"/>
      <c r="AC87" s="422"/>
      <c r="AD87" s="487" t="s">
        <v>177</v>
      </c>
      <c r="AE87" s="489">
        <v>107</v>
      </c>
      <c r="AF87" s="487" t="s">
        <v>180</v>
      </c>
      <c r="AG87" s="489">
        <v>65</v>
      </c>
      <c r="AH87" s="528"/>
      <c r="AI87" s="529"/>
      <c r="AJ87" s="233"/>
      <c r="AK87" s="232"/>
      <c r="AL87" s="233"/>
      <c r="AM87" s="232"/>
      <c r="AN87" s="233"/>
      <c r="AO87" s="232"/>
      <c r="AP87" s="233"/>
      <c r="AQ87" s="232"/>
      <c r="AR87" s="233"/>
      <c r="AS87" s="232"/>
      <c r="AT87" s="233"/>
      <c r="AU87" s="232"/>
      <c r="AV87" s="233"/>
      <c r="AW87" s="232"/>
      <c r="AX87" s="233"/>
      <c r="AY87" s="232"/>
      <c r="AZ87" s="233"/>
      <c r="BA87" s="232"/>
      <c r="BB87" s="233"/>
      <c r="BC87" s="232"/>
      <c r="BD87" s="233"/>
      <c r="BE87" s="232"/>
      <c r="BF87" s="233"/>
      <c r="BG87" s="234"/>
    </row>
    <row r="88" spans="1:59" ht="13.15">
      <c r="A88" s="249" t="s">
        <v>174</v>
      </c>
      <c r="B88" s="253" t="s">
        <v>181</v>
      </c>
      <c r="C88" s="250" t="s">
        <v>38</v>
      </c>
      <c r="D88" s="254">
        <v>344</v>
      </c>
      <c r="E88" s="254">
        <v>348</v>
      </c>
      <c r="F88" s="990">
        <f t="shared" si="34"/>
        <v>0.30129870129870129</v>
      </c>
      <c r="G88" s="1317"/>
      <c r="H88" s="251">
        <v>36</v>
      </c>
      <c r="I88" s="252">
        <v>3.5</v>
      </c>
      <c r="J88" s="253">
        <f t="shared" si="29"/>
        <v>126</v>
      </c>
      <c r="K88" s="253">
        <v>18</v>
      </c>
      <c r="L88" s="253">
        <f t="shared" si="41"/>
        <v>63</v>
      </c>
      <c r="M88" s="253">
        <f t="shared" si="42"/>
        <v>1155</v>
      </c>
      <c r="N88" s="253">
        <f t="shared" si="37"/>
        <v>0</v>
      </c>
      <c r="O88" s="537">
        <f t="shared" si="35"/>
        <v>0.30129870129870129</v>
      </c>
      <c r="P88" s="1209"/>
      <c r="Q88" s="779">
        <f t="shared" si="32"/>
        <v>0</v>
      </c>
      <c r="R88" s="1207"/>
      <c r="S88" s="254">
        <f t="shared" si="36"/>
        <v>348</v>
      </c>
      <c r="T88" s="1209"/>
      <c r="U88" s="254">
        <f t="shared" si="39"/>
        <v>807</v>
      </c>
      <c r="V88" s="1206"/>
      <c r="W88" s="255">
        <f t="shared" si="40"/>
        <v>0.30129870129870129</v>
      </c>
      <c r="X88" s="1333"/>
      <c r="Y88" s="256">
        <f t="shared" si="47"/>
        <v>0.30129870129870129</v>
      </c>
      <c r="Z88" s="1296"/>
      <c r="AB88" s="416"/>
      <c r="AC88" s="423"/>
      <c r="AD88" s="242"/>
      <c r="AE88" s="241"/>
      <c r="AF88" s="242"/>
      <c r="AG88" s="241"/>
      <c r="AH88" s="785"/>
      <c r="AI88" s="783"/>
      <c r="AJ88" s="242"/>
      <c r="AK88" s="241"/>
      <c r="AL88" s="242"/>
      <c r="AM88" s="241"/>
      <c r="AN88" s="242"/>
      <c r="AO88" s="241"/>
      <c r="AP88" s="242"/>
      <c r="AQ88" s="241"/>
      <c r="AR88" s="242"/>
      <c r="AS88" s="241"/>
      <c r="AT88" s="242"/>
      <c r="AU88" s="241"/>
      <c r="AV88" s="242"/>
      <c r="AW88" s="241"/>
      <c r="AX88" s="242"/>
      <c r="AY88" s="241"/>
      <c r="AZ88" s="242"/>
      <c r="BA88" s="241"/>
      <c r="BB88" s="242"/>
      <c r="BC88" s="241"/>
      <c r="BD88" s="242"/>
      <c r="BE88" s="241"/>
      <c r="BF88" s="242"/>
      <c r="BG88" s="243"/>
    </row>
    <row r="89" spans="1:59" ht="13.15">
      <c r="A89" s="244" t="s">
        <v>182</v>
      </c>
      <c r="B89" s="215" t="s">
        <v>183</v>
      </c>
      <c r="C89" s="216" t="s">
        <v>38</v>
      </c>
      <c r="D89" s="802">
        <v>547</v>
      </c>
      <c r="E89" s="802">
        <v>546</v>
      </c>
      <c r="F89" s="539">
        <f t="shared" si="34"/>
        <v>0.47272727272727272</v>
      </c>
      <c r="G89" s="1249">
        <f>SUM(E89:E93)*54.5/1000</f>
        <v>109.8175</v>
      </c>
      <c r="H89" s="217">
        <v>36</v>
      </c>
      <c r="I89" s="218">
        <v>3.5</v>
      </c>
      <c r="J89" s="215">
        <f t="shared" si="29"/>
        <v>126</v>
      </c>
      <c r="K89" s="215">
        <v>18</v>
      </c>
      <c r="L89" s="215">
        <f t="shared" si="41"/>
        <v>63</v>
      </c>
      <c r="M89" s="215">
        <f t="shared" si="42"/>
        <v>1155</v>
      </c>
      <c r="N89" s="215">
        <f t="shared" si="37"/>
        <v>0</v>
      </c>
      <c r="O89" s="538">
        <f t="shared" si="35"/>
        <v>0.47272727272727272</v>
      </c>
      <c r="P89" s="1249">
        <f>SUM(N89:N93)*54.5/1000</f>
        <v>0</v>
      </c>
      <c r="Q89" s="780">
        <f t="shared" si="32"/>
        <v>0</v>
      </c>
      <c r="R89" s="1226">
        <f>SUM(Q89:Q93)*54.5/1000</f>
        <v>0</v>
      </c>
      <c r="S89" s="279">
        <f t="shared" si="36"/>
        <v>546</v>
      </c>
      <c r="T89" s="1210">
        <f>SUM(S89:S93)*54.5/1000</f>
        <v>109.8175</v>
      </c>
      <c r="U89" s="219">
        <f t="shared" si="39"/>
        <v>609</v>
      </c>
      <c r="V89" s="1210">
        <f>SUM(U89:U93)*54.5/1000</f>
        <v>193.96549999999999</v>
      </c>
      <c r="W89" s="220">
        <f t="shared" si="40"/>
        <v>0.47272727272727272</v>
      </c>
      <c r="X89" s="1324">
        <f>(G89+P89+R89)/'Building Capability'!$D$16</f>
        <v>0.36124177631578946</v>
      </c>
      <c r="Y89" s="198">
        <f t="shared" si="47"/>
        <v>0.47272727272727272</v>
      </c>
      <c r="Z89" s="1298">
        <f>(G89+P89+R89)/'Building Capability'!$F$16</f>
        <v>0.3606486042692939</v>
      </c>
      <c r="AB89" s="417"/>
      <c r="AC89" s="424"/>
      <c r="AD89" s="222"/>
      <c r="AE89" s="221"/>
      <c r="AF89" s="222"/>
      <c r="AG89" s="221"/>
      <c r="AH89" s="222"/>
      <c r="AI89" s="221"/>
      <c r="AJ89" s="222"/>
      <c r="AK89" s="221"/>
      <c r="AL89" s="222"/>
      <c r="AM89" s="221"/>
      <c r="AN89" s="222"/>
      <c r="AO89" s="221"/>
      <c r="AP89" s="222"/>
      <c r="AQ89" s="221"/>
      <c r="AR89" s="233"/>
      <c r="AS89" s="221"/>
      <c r="AT89" s="222"/>
      <c r="AU89" s="221"/>
      <c r="AV89" s="222"/>
      <c r="AW89" s="221"/>
      <c r="AX89" s="222"/>
      <c r="AY89" s="221"/>
      <c r="AZ89" s="222"/>
      <c r="BA89" s="221"/>
      <c r="BB89" s="222"/>
      <c r="BC89" s="221"/>
      <c r="BD89" s="222"/>
      <c r="BE89" s="221"/>
      <c r="BF89" s="222"/>
      <c r="BG89" s="223"/>
    </row>
    <row r="90" spans="1:59" ht="13.15">
      <c r="A90" s="246" t="s">
        <v>182</v>
      </c>
      <c r="B90" s="226" t="s">
        <v>184</v>
      </c>
      <c r="C90" s="227" t="s">
        <v>38</v>
      </c>
      <c r="D90" s="230">
        <v>466</v>
      </c>
      <c r="E90" s="230">
        <v>465</v>
      </c>
      <c r="F90" s="533">
        <f t="shared" si="34"/>
        <v>0.40259740259740262</v>
      </c>
      <c r="G90" s="1250"/>
      <c r="H90" s="228">
        <v>36</v>
      </c>
      <c r="I90" s="229">
        <v>3.5</v>
      </c>
      <c r="J90" s="226">
        <f t="shared" si="29"/>
        <v>126</v>
      </c>
      <c r="K90" s="226">
        <v>18</v>
      </c>
      <c r="L90" s="226">
        <f t="shared" si="41"/>
        <v>63</v>
      </c>
      <c r="M90" s="226">
        <f t="shared" si="42"/>
        <v>1155</v>
      </c>
      <c r="N90" s="226">
        <f t="shared" si="37"/>
        <v>0</v>
      </c>
      <c r="O90" s="536">
        <f t="shared" si="35"/>
        <v>0.40259740259740262</v>
      </c>
      <c r="P90" s="1250"/>
      <c r="Q90" s="777">
        <f t="shared" si="32"/>
        <v>0</v>
      </c>
      <c r="R90" s="1227"/>
      <c r="S90" s="230">
        <f t="shared" si="36"/>
        <v>465</v>
      </c>
      <c r="T90" s="1212"/>
      <c r="U90" s="230">
        <f t="shared" si="39"/>
        <v>690</v>
      </c>
      <c r="V90" s="1212"/>
      <c r="W90" s="231">
        <f t="shared" si="40"/>
        <v>0.40259740259740262</v>
      </c>
      <c r="X90" s="1325"/>
      <c r="Y90" s="198">
        <f t="shared" si="47"/>
        <v>0.40259740259740262</v>
      </c>
      <c r="Z90" s="1295"/>
      <c r="AB90" s="415"/>
      <c r="AC90" s="422"/>
      <c r="AD90" s="233"/>
      <c r="AE90" s="232"/>
      <c r="AF90" s="233"/>
      <c r="AG90" s="232"/>
      <c r="AH90" s="233"/>
      <c r="AI90" s="232"/>
      <c r="AJ90" s="233"/>
      <c r="AK90" s="232"/>
      <c r="AL90" s="233"/>
      <c r="AM90" s="232"/>
      <c r="AN90" s="233"/>
      <c r="AO90" s="232"/>
      <c r="AP90" s="233"/>
      <c r="AQ90" s="232"/>
      <c r="AR90" s="233"/>
      <c r="AS90" s="232"/>
      <c r="AT90" s="233"/>
      <c r="AU90" s="232"/>
      <c r="AV90" s="233"/>
      <c r="AW90" s="232"/>
      <c r="AX90" s="233"/>
      <c r="AY90" s="232"/>
      <c r="AZ90" s="233"/>
      <c r="BA90" s="232"/>
      <c r="BB90" s="233"/>
      <c r="BC90" s="232"/>
      <c r="BD90" s="233"/>
      <c r="BE90" s="232"/>
      <c r="BF90" s="233"/>
      <c r="BG90" s="234"/>
    </row>
    <row r="91" spans="1:59" ht="13.15">
      <c r="A91" s="246" t="s">
        <v>182</v>
      </c>
      <c r="B91" s="226" t="s">
        <v>185</v>
      </c>
      <c r="C91" s="227" t="s">
        <v>38</v>
      </c>
      <c r="D91" s="492">
        <v>400</v>
      </c>
      <c r="E91" s="492">
        <v>398</v>
      </c>
      <c r="F91" s="540">
        <f t="shared" si="34"/>
        <v>0.34458874458874461</v>
      </c>
      <c r="G91" s="1250"/>
      <c r="H91" s="228">
        <v>36</v>
      </c>
      <c r="I91" s="229">
        <v>3.5</v>
      </c>
      <c r="J91" s="226">
        <f t="shared" si="29"/>
        <v>126</v>
      </c>
      <c r="K91" s="226">
        <v>18</v>
      </c>
      <c r="L91" s="226">
        <f t="shared" si="41"/>
        <v>63</v>
      </c>
      <c r="M91" s="226">
        <f t="shared" si="42"/>
        <v>1155</v>
      </c>
      <c r="N91" s="226">
        <f t="shared" si="37"/>
        <v>0</v>
      </c>
      <c r="O91" s="536">
        <f t="shared" si="35"/>
        <v>0.34458874458874461</v>
      </c>
      <c r="P91" s="1250"/>
      <c r="Q91" s="777">
        <f t="shared" si="32"/>
        <v>0</v>
      </c>
      <c r="R91" s="1227"/>
      <c r="S91" s="230">
        <f t="shared" si="36"/>
        <v>398</v>
      </c>
      <c r="T91" s="1211"/>
      <c r="U91" s="230">
        <f t="shared" si="39"/>
        <v>757</v>
      </c>
      <c r="V91" s="1211"/>
      <c r="W91" s="231">
        <f t="shared" si="40"/>
        <v>0.34458874458874461</v>
      </c>
      <c r="X91" s="1325"/>
      <c r="Y91" s="198">
        <f t="shared" si="47"/>
        <v>0.34458874458874461</v>
      </c>
      <c r="Z91" s="1295"/>
      <c r="AB91" s="415"/>
      <c r="AC91" s="422"/>
      <c r="AD91" s="528"/>
      <c r="AE91" s="529"/>
      <c r="AF91" s="233"/>
      <c r="AG91" s="232"/>
      <c r="AH91" s="233"/>
      <c r="AI91" s="232"/>
      <c r="AJ91" s="233"/>
      <c r="AK91" s="232"/>
      <c r="AL91" s="233"/>
      <c r="AM91" s="232"/>
      <c r="AN91" s="233"/>
      <c r="AO91" s="232"/>
      <c r="AP91" s="233"/>
      <c r="AQ91" s="232"/>
      <c r="AR91" s="233"/>
      <c r="AS91" s="232"/>
      <c r="AT91" s="233"/>
      <c r="AU91" s="232"/>
      <c r="AV91" s="233"/>
      <c r="AW91" s="232"/>
      <c r="AX91" s="233"/>
      <c r="AY91" s="232"/>
      <c r="AZ91" s="233"/>
      <c r="BA91" s="232"/>
      <c r="BB91" s="233"/>
      <c r="BC91" s="232"/>
      <c r="BD91" s="233"/>
      <c r="BE91" s="232"/>
      <c r="BF91" s="233"/>
      <c r="BG91" s="234"/>
    </row>
    <row r="92" spans="1:59" ht="13.15">
      <c r="A92" s="246" t="s">
        <v>182</v>
      </c>
      <c r="B92" s="226" t="s">
        <v>186</v>
      </c>
      <c r="C92" s="227" t="s">
        <v>38</v>
      </c>
      <c r="D92" s="492">
        <v>283</v>
      </c>
      <c r="E92" s="492">
        <v>285</v>
      </c>
      <c r="F92" s="540">
        <f t="shared" si="34"/>
        <v>0.24675324675324675</v>
      </c>
      <c r="G92" s="1235">
        <f>G89/'Building Capability'!$D$16</f>
        <v>0.36124177631578946</v>
      </c>
      <c r="H92" s="228">
        <v>36</v>
      </c>
      <c r="I92" s="229">
        <v>3.5</v>
      </c>
      <c r="J92" s="226">
        <f t="shared" si="29"/>
        <v>126</v>
      </c>
      <c r="K92" s="226">
        <v>18</v>
      </c>
      <c r="L92" s="226">
        <f t="shared" si="41"/>
        <v>63</v>
      </c>
      <c r="M92" s="226">
        <f t="shared" si="42"/>
        <v>1155</v>
      </c>
      <c r="N92" s="226">
        <f t="shared" si="37"/>
        <v>0</v>
      </c>
      <c r="O92" s="536">
        <f t="shared" si="35"/>
        <v>0.24675324675324675</v>
      </c>
      <c r="P92" s="1251">
        <f>P89/'Building Capability'!$D$16</f>
        <v>0</v>
      </c>
      <c r="Q92" s="777">
        <f t="shared" si="32"/>
        <v>0</v>
      </c>
      <c r="R92" s="1322">
        <f>R89/'Building Capability'!$D$16</f>
        <v>0</v>
      </c>
      <c r="S92" s="230">
        <f t="shared" si="36"/>
        <v>285</v>
      </c>
      <c r="T92" s="1208">
        <f>T89/'Building Capability'!$D$16</f>
        <v>0.36124177631578946</v>
      </c>
      <c r="U92" s="230">
        <f t="shared" si="39"/>
        <v>870</v>
      </c>
      <c r="V92" s="1205">
        <f>V89/'Building Capability'!$D$16</f>
        <v>0.63804440789473682</v>
      </c>
      <c r="W92" s="231">
        <f t="shared" si="40"/>
        <v>0.24675324675324675</v>
      </c>
      <c r="X92" s="1325"/>
      <c r="Y92" s="198">
        <f t="shared" si="47"/>
        <v>0.24675324675324675</v>
      </c>
      <c r="Z92" s="1295"/>
      <c r="AB92" s="415"/>
      <c r="AC92" s="422"/>
      <c r="AD92" s="233"/>
      <c r="AE92" s="232"/>
      <c r="AF92" s="233"/>
      <c r="AG92" s="232"/>
      <c r="AH92" s="233"/>
      <c r="AI92" s="232"/>
      <c r="AJ92" s="233"/>
      <c r="AK92" s="232"/>
      <c r="AL92" s="233"/>
      <c r="AM92" s="232"/>
      <c r="AN92" s="233"/>
      <c r="AO92" s="232"/>
      <c r="AP92" s="233"/>
      <c r="AQ92" s="232"/>
      <c r="AR92" s="233"/>
      <c r="AS92" s="232"/>
      <c r="AT92" s="233"/>
      <c r="AU92" s="232"/>
      <c r="AV92" s="233"/>
      <c r="AW92" s="232"/>
      <c r="AX92" s="233"/>
      <c r="AY92" s="232"/>
      <c r="AZ92" s="233"/>
      <c r="BA92" s="232"/>
      <c r="BB92" s="233"/>
      <c r="BC92" s="232"/>
      <c r="BD92" s="233"/>
      <c r="BE92" s="232"/>
      <c r="BF92" s="233"/>
      <c r="BG92" s="234"/>
    </row>
    <row r="93" spans="1:59" s="271" customFormat="1" ht="13.15">
      <c r="A93" s="257" t="s">
        <v>182</v>
      </c>
      <c r="B93" s="211" t="s">
        <v>187</v>
      </c>
      <c r="C93" s="237" t="s">
        <v>38</v>
      </c>
      <c r="D93" s="807">
        <v>321</v>
      </c>
      <c r="E93" s="807">
        <v>321</v>
      </c>
      <c r="F93" s="541">
        <f t="shared" si="34"/>
        <v>0.33647798742138363</v>
      </c>
      <c r="G93" s="1332"/>
      <c r="H93" s="238">
        <v>30</v>
      </c>
      <c r="I93" s="239">
        <v>3.5</v>
      </c>
      <c r="J93" s="211">
        <f t="shared" si="29"/>
        <v>105</v>
      </c>
      <c r="K93" s="211">
        <v>15</v>
      </c>
      <c r="L93" s="211">
        <f t="shared" si="41"/>
        <v>52</v>
      </c>
      <c r="M93" s="211">
        <f t="shared" si="42"/>
        <v>954</v>
      </c>
      <c r="N93" s="211">
        <f t="shared" si="37"/>
        <v>0</v>
      </c>
      <c r="O93" s="559">
        <f>(E93+N93)/M93</f>
        <v>0.33647798742138363</v>
      </c>
      <c r="P93" s="1318"/>
      <c r="Q93" s="777">
        <f t="shared" si="32"/>
        <v>0</v>
      </c>
      <c r="R93" s="1323"/>
      <c r="S93" s="210">
        <f t="shared" si="36"/>
        <v>321</v>
      </c>
      <c r="T93" s="1319"/>
      <c r="U93" s="210">
        <f t="shared" si="39"/>
        <v>633</v>
      </c>
      <c r="V93" s="1206"/>
      <c r="W93" s="240">
        <f t="shared" si="40"/>
        <v>0.33647798742138363</v>
      </c>
      <c r="X93" s="1326"/>
      <c r="Y93" s="198">
        <f t="shared" si="47"/>
        <v>0.33647798742138363</v>
      </c>
      <c r="Z93" s="1296"/>
      <c r="AA93" s="198"/>
      <c r="AB93" s="416"/>
      <c r="AC93" s="423"/>
      <c r="AD93" s="242"/>
      <c r="AE93" s="241"/>
      <c r="AF93" s="242"/>
      <c r="AG93" s="241"/>
      <c r="AH93" s="242"/>
      <c r="AI93" s="241"/>
      <c r="AJ93" s="242"/>
      <c r="AK93" s="241"/>
      <c r="AL93" s="242"/>
      <c r="AM93" s="241"/>
      <c r="AN93" s="242"/>
      <c r="AO93" s="241"/>
      <c r="AP93" s="242"/>
      <c r="AQ93" s="241"/>
      <c r="AR93" s="242"/>
      <c r="AS93" s="241"/>
      <c r="AT93" s="242"/>
      <c r="AU93" s="241"/>
      <c r="AV93" s="242"/>
      <c r="AW93" s="241"/>
      <c r="AX93" s="242"/>
      <c r="AY93" s="241"/>
      <c r="AZ93" s="242"/>
      <c r="BA93" s="241"/>
      <c r="BB93" s="242"/>
      <c r="BC93" s="241"/>
      <c r="BD93" s="242"/>
      <c r="BE93" s="241"/>
      <c r="BF93" s="242"/>
      <c r="BG93" s="234"/>
    </row>
    <row r="94" spans="1:59" ht="13.15">
      <c r="A94" s="609" t="s">
        <v>188</v>
      </c>
      <c r="B94" s="610" t="s">
        <v>189</v>
      </c>
      <c r="C94" s="611" t="s">
        <v>190</v>
      </c>
      <c r="D94" s="615">
        <v>427</v>
      </c>
      <c r="E94" s="615">
        <v>428</v>
      </c>
      <c r="F94" s="612">
        <f t="shared" si="34"/>
        <v>0.40956937799043064</v>
      </c>
      <c r="G94" s="1279">
        <f>SUM(E94:E95)*54.5/1000</f>
        <v>40.548000000000002</v>
      </c>
      <c r="H94" s="613">
        <v>36</v>
      </c>
      <c r="I94" s="614">
        <v>3.2</v>
      </c>
      <c r="J94" s="615">
        <f t="shared" ref="J94:J100" si="48">INT(H94*I94)</f>
        <v>115</v>
      </c>
      <c r="K94" s="610">
        <v>18</v>
      </c>
      <c r="L94" s="610">
        <f t="shared" si="41"/>
        <v>57</v>
      </c>
      <c r="M94" s="610">
        <f t="shared" si="42"/>
        <v>1045</v>
      </c>
      <c r="N94" s="610">
        <f t="shared" si="37"/>
        <v>0</v>
      </c>
      <c r="O94" s="610"/>
      <c r="P94" s="1277">
        <f>SUM(N94:N95)*54.5/1000</f>
        <v>0</v>
      </c>
      <c r="Q94" s="778">
        <f t="shared" si="32"/>
        <v>41</v>
      </c>
      <c r="R94" s="793">
        <f>SUM(Q94:Q95)*54.5/1000</f>
        <v>5.0685000000000002</v>
      </c>
      <c r="S94" s="615">
        <f t="shared" si="36"/>
        <v>469</v>
      </c>
      <c r="T94" s="610"/>
      <c r="U94" s="615">
        <f t="shared" si="39"/>
        <v>576</v>
      </c>
      <c r="V94" s="1066">
        <f>SUM(U94:U95)*54.5/1000</f>
        <v>68.288499999999999</v>
      </c>
      <c r="W94" s="636">
        <f t="shared" si="40"/>
        <v>0.44880382775119615</v>
      </c>
      <c r="X94" s="1371"/>
      <c r="Y94" s="272"/>
      <c r="Z94" s="1327"/>
      <c r="AA94" s="272"/>
      <c r="AB94" s="417"/>
      <c r="AC94" s="424"/>
      <c r="AD94" s="487" t="s">
        <v>170</v>
      </c>
      <c r="AE94" s="489">
        <v>41</v>
      </c>
      <c r="AF94" s="487"/>
      <c r="AG94" s="489"/>
      <c r="AH94" s="233"/>
      <c r="AI94" s="232"/>
      <c r="AJ94" s="233"/>
      <c r="AK94" s="232"/>
      <c r="AL94" s="222"/>
      <c r="AM94" s="221"/>
      <c r="AN94" s="222"/>
      <c r="AO94" s="221"/>
      <c r="AP94" s="222"/>
      <c r="AQ94" s="221"/>
      <c r="AR94" s="233"/>
      <c r="AS94" s="221"/>
      <c r="AT94" s="222"/>
      <c r="AU94" s="221"/>
      <c r="AV94" s="222"/>
      <c r="AW94" s="221"/>
      <c r="AX94" s="222"/>
      <c r="AY94" s="221"/>
      <c r="AZ94" s="222"/>
      <c r="BA94" s="221"/>
      <c r="BB94" s="222"/>
      <c r="BC94" s="221"/>
      <c r="BD94" s="222"/>
      <c r="BE94" s="221"/>
      <c r="BF94" s="222"/>
      <c r="BG94" s="223"/>
    </row>
    <row r="95" spans="1:59" ht="13.15">
      <c r="A95" s="626" t="s">
        <v>188</v>
      </c>
      <c r="B95" s="627" t="s">
        <v>191</v>
      </c>
      <c r="C95" s="628" t="s">
        <v>190</v>
      </c>
      <c r="D95" s="632">
        <v>313</v>
      </c>
      <c r="E95" s="632">
        <v>316</v>
      </c>
      <c r="F95" s="629">
        <f t="shared" si="34"/>
        <v>0.30239234449760766</v>
      </c>
      <c r="G95" s="1280"/>
      <c r="H95" s="630">
        <v>36</v>
      </c>
      <c r="I95" s="631">
        <v>3.2</v>
      </c>
      <c r="J95" s="632">
        <f t="shared" si="48"/>
        <v>115</v>
      </c>
      <c r="K95" s="627">
        <v>18</v>
      </c>
      <c r="L95" s="627">
        <f t="shared" si="41"/>
        <v>57</v>
      </c>
      <c r="M95" s="627">
        <f t="shared" si="42"/>
        <v>1045</v>
      </c>
      <c r="N95" s="627">
        <f t="shared" si="37"/>
        <v>0</v>
      </c>
      <c r="O95" s="627"/>
      <c r="P95" s="1278"/>
      <c r="Q95" s="779">
        <f t="shared" si="32"/>
        <v>52</v>
      </c>
      <c r="R95" s="786"/>
      <c r="S95" s="632">
        <f t="shared" si="36"/>
        <v>368</v>
      </c>
      <c r="T95" s="627"/>
      <c r="U95" s="632">
        <f t="shared" si="39"/>
        <v>677</v>
      </c>
      <c r="V95" s="843"/>
      <c r="W95" s="637">
        <f t="shared" si="40"/>
        <v>0.35215311004784688</v>
      </c>
      <c r="X95" s="1372"/>
      <c r="Y95" s="273"/>
      <c r="Z95" s="1328"/>
      <c r="AA95" s="272"/>
      <c r="AB95" s="415"/>
      <c r="AC95" s="422"/>
      <c r="AD95" s="487" t="s">
        <v>170</v>
      </c>
      <c r="AE95" s="489">
        <v>52</v>
      </c>
      <c r="AF95" s="487"/>
      <c r="AG95" s="489"/>
      <c r="AH95" s="233"/>
      <c r="AI95" s="232"/>
      <c r="AJ95" s="233"/>
      <c r="AK95" s="232"/>
      <c r="AL95" s="233"/>
      <c r="AM95" s="232"/>
      <c r="AN95" s="233"/>
      <c r="AO95" s="232"/>
      <c r="AP95" s="233"/>
      <c r="AQ95" s="232"/>
      <c r="AR95" s="233"/>
      <c r="AS95" s="232"/>
      <c r="AT95" s="233"/>
      <c r="AU95" s="232"/>
      <c r="AV95" s="233"/>
      <c r="AW95" s="232"/>
      <c r="AX95" s="233"/>
      <c r="AY95" s="232"/>
      <c r="AZ95" s="233"/>
      <c r="BA95" s="232"/>
      <c r="BB95" s="233"/>
      <c r="BC95" s="232"/>
      <c r="BD95" s="233"/>
      <c r="BE95" s="232"/>
      <c r="BF95" s="233"/>
      <c r="BG95" s="234"/>
    </row>
    <row r="96" spans="1:59" ht="13.15">
      <c r="A96" s="609" t="s">
        <v>192</v>
      </c>
      <c r="B96" s="610" t="s">
        <v>193</v>
      </c>
      <c r="C96" s="611" t="s">
        <v>190</v>
      </c>
      <c r="D96" s="615">
        <v>352</v>
      </c>
      <c r="E96" s="615">
        <v>352</v>
      </c>
      <c r="F96" s="633">
        <f t="shared" si="34"/>
        <v>0.33684210526315789</v>
      </c>
      <c r="G96" s="1279">
        <f>SUM(E96:E98)*54.5/1000</f>
        <v>39.185499999999998</v>
      </c>
      <c r="H96" s="613">
        <v>36</v>
      </c>
      <c r="I96" s="614">
        <v>3.2</v>
      </c>
      <c r="J96" s="615">
        <f t="shared" si="48"/>
        <v>115</v>
      </c>
      <c r="K96" s="610">
        <v>18</v>
      </c>
      <c r="L96" s="610">
        <f t="shared" si="41"/>
        <v>57</v>
      </c>
      <c r="M96" s="610">
        <f t="shared" si="42"/>
        <v>1045</v>
      </c>
      <c r="N96" s="610">
        <f t="shared" si="37"/>
        <v>0</v>
      </c>
      <c r="O96" s="610"/>
      <c r="P96" s="1277">
        <f>SUM(N96:N98)*54.5/1000</f>
        <v>0</v>
      </c>
      <c r="Q96" s="780">
        <f t="shared" si="32"/>
        <v>44</v>
      </c>
      <c r="R96" s="793">
        <f>SUM(Q96:Q98)*54.5/1000</f>
        <v>4.7960000000000003</v>
      </c>
      <c r="S96" s="615">
        <f t="shared" si="36"/>
        <v>396</v>
      </c>
      <c r="T96" s="610"/>
      <c r="U96" s="615">
        <f t="shared" si="39"/>
        <v>649</v>
      </c>
      <c r="V96" s="1066">
        <f>SUM(U96:U98)*54.5/1000</f>
        <v>68.888000000000005</v>
      </c>
      <c r="W96" s="636">
        <f t="shared" si="40"/>
        <v>0.37894736842105264</v>
      </c>
      <c r="X96" s="1371"/>
      <c r="Y96" s="274"/>
      <c r="Z96" s="1329"/>
      <c r="AB96" s="942"/>
      <c r="AC96" s="943"/>
      <c r="AD96" s="955" t="s">
        <v>74</v>
      </c>
      <c r="AE96" s="956">
        <v>44</v>
      </c>
      <c r="AF96" s="944"/>
      <c r="AG96" s="945"/>
      <c r="AH96" s="944"/>
      <c r="AI96" s="945"/>
      <c r="AJ96" s="944"/>
      <c r="AK96" s="945"/>
      <c r="AL96" s="944"/>
      <c r="AM96" s="945"/>
      <c r="AN96" s="944"/>
      <c r="AO96" s="945"/>
      <c r="AP96" s="944"/>
      <c r="AQ96" s="945"/>
      <c r="AR96" s="944"/>
      <c r="AS96" s="945"/>
      <c r="AT96" s="944"/>
      <c r="AU96" s="945"/>
      <c r="AV96" s="944"/>
      <c r="AW96" s="945"/>
      <c r="AX96" s="944"/>
      <c r="AY96" s="945"/>
      <c r="AZ96" s="944"/>
      <c r="BA96" s="945"/>
      <c r="BB96" s="944"/>
      <c r="BC96" s="945"/>
      <c r="BD96" s="944"/>
      <c r="BE96" s="945"/>
      <c r="BF96" s="944"/>
      <c r="BG96" s="946"/>
    </row>
    <row r="97" spans="1:59" ht="13.15">
      <c r="A97" s="634" t="s">
        <v>192</v>
      </c>
      <c r="B97" s="603" t="s">
        <v>194</v>
      </c>
      <c r="C97" s="604" t="s">
        <v>190</v>
      </c>
      <c r="D97" s="607">
        <v>166</v>
      </c>
      <c r="E97" s="607">
        <v>167</v>
      </c>
      <c r="F97" s="608">
        <f t="shared" si="34"/>
        <v>0.32553606237816762</v>
      </c>
      <c r="G97" s="1281"/>
      <c r="H97" s="605">
        <v>18</v>
      </c>
      <c r="I97" s="606">
        <v>3.2</v>
      </c>
      <c r="J97" s="607">
        <f t="shared" si="48"/>
        <v>57</v>
      </c>
      <c r="K97" s="603">
        <v>9</v>
      </c>
      <c r="L97" s="603">
        <f t="shared" si="41"/>
        <v>28</v>
      </c>
      <c r="M97" s="603">
        <f t="shared" si="42"/>
        <v>513</v>
      </c>
      <c r="N97" s="603">
        <f t="shared" si="37"/>
        <v>0</v>
      </c>
      <c r="O97" s="603"/>
      <c r="P97" s="1283"/>
      <c r="Q97" s="778">
        <f t="shared" si="32"/>
        <v>44</v>
      </c>
      <c r="R97" s="794"/>
      <c r="S97" s="607">
        <f t="shared" si="36"/>
        <v>211</v>
      </c>
      <c r="T97" s="603"/>
      <c r="U97" s="607">
        <f t="shared" si="39"/>
        <v>302</v>
      </c>
      <c r="V97" s="844"/>
      <c r="W97" s="639">
        <f t="shared" si="40"/>
        <v>0.41130604288499023</v>
      </c>
      <c r="X97" s="1371"/>
      <c r="Y97" s="275"/>
      <c r="Z97" s="1330"/>
      <c r="AB97" s="947"/>
      <c r="AC97" s="422"/>
      <c r="AD97" s="523" t="s">
        <v>74</v>
      </c>
      <c r="AE97" s="524">
        <v>44</v>
      </c>
      <c r="AF97" s="233"/>
      <c r="AG97" s="232"/>
      <c r="AH97" s="233"/>
      <c r="AI97" s="232"/>
      <c r="AJ97" s="233"/>
      <c r="AK97" s="232"/>
      <c r="AL97" s="233"/>
      <c r="AM97" s="232"/>
      <c r="AN97" s="233"/>
      <c r="AO97" s="232"/>
      <c r="AP97" s="233"/>
      <c r="AQ97" s="232"/>
      <c r="AR97" s="233"/>
      <c r="AS97" s="232"/>
      <c r="AT97" s="233"/>
      <c r="AU97" s="232"/>
      <c r="AV97" s="233"/>
      <c r="AW97" s="232"/>
      <c r="AX97" s="233"/>
      <c r="AY97" s="232"/>
      <c r="AZ97" s="233"/>
      <c r="BA97" s="232"/>
      <c r="BB97" s="233"/>
      <c r="BC97" s="232"/>
      <c r="BD97" s="233"/>
      <c r="BE97" s="232"/>
      <c r="BF97" s="233"/>
      <c r="BG97" s="949"/>
    </row>
    <row r="98" spans="1:59" ht="13.15">
      <c r="A98" s="626" t="s">
        <v>192</v>
      </c>
      <c r="B98" s="627" t="s">
        <v>195</v>
      </c>
      <c r="C98" s="628" t="s">
        <v>190</v>
      </c>
      <c r="D98" s="632">
        <v>198</v>
      </c>
      <c r="E98" s="632">
        <v>200</v>
      </c>
      <c r="F98" s="629">
        <f t="shared" si="34"/>
        <v>0.38986354775828458</v>
      </c>
      <c r="G98" s="1280"/>
      <c r="H98" s="630">
        <v>18</v>
      </c>
      <c r="I98" s="631">
        <v>3.2</v>
      </c>
      <c r="J98" s="632">
        <f t="shared" si="48"/>
        <v>57</v>
      </c>
      <c r="K98" s="627">
        <v>9</v>
      </c>
      <c r="L98" s="627">
        <f t="shared" si="41"/>
        <v>28</v>
      </c>
      <c r="M98" s="627">
        <f t="shared" si="42"/>
        <v>513</v>
      </c>
      <c r="N98" s="627">
        <f t="shared" si="37"/>
        <v>0</v>
      </c>
      <c r="O98" s="627"/>
      <c r="P98" s="1278"/>
      <c r="Q98" s="779">
        <f t="shared" si="32"/>
        <v>0</v>
      </c>
      <c r="R98" s="662"/>
      <c r="S98" s="632">
        <f t="shared" si="36"/>
        <v>200</v>
      </c>
      <c r="T98" s="627"/>
      <c r="U98" s="632">
        <f t="shared" si="39"/>
        <v>313</v>
      </c>
      <c r="V98" s="843"/>
      <c r="W98" s="637">
        <f t="shared" si="40"/>
        <v>0.38986354775828458</v>
      </c>
      <c r="X98" s="1372"/>
      <c r="Y98" s="276"/>
      <c r="Z98" s="1331"/>
      <c r="AB98" s="950"/>
      <c r="AC98" s="951"/>
      <c r="AD98" s="784"/>
      <c r="AE98" s="953"/>
      <c r="AF98" s="784"/>
      <c r="AG98" s="953"/>
      <c r="AH98" s="784"/>
      <c r="AI98" s="953"/>
      <c r="AJ98" s="784"/>
      <c r="AK98" s="953"/>
      <c r="AL98" s="784"/>
      <c r="AM98" s="953"/>
      <c r="AN98" s="784"/>
      <c r="AO98" s="953"/>
      <c r="AP98" s="784"/>
      <c r="AQ98" s="953"/>
      <c r="AR98" s="784"/>
      <c r="AS98" s="953"/>
      <c r="AT98" s="784"/>
      <c r="AU98" s="953"/>
      <c r="AV98" s="784"/>
      <c r="AW98" s="953"/>
      <c r="AX98" s="784"/>
      <c r="AY98" s="953"/>
      <c r="AZ98" s="784"/>
      <c r="BA98" s="953"/>
      <c r="BB98" s="784"/>
      <c r="BC98" s="953"/>
      <c r="BD98" s="784"/>
      <c r="BE98" s="953"/>
      <c r="BF98" s="784"/>
      <c r="BG98" s="954"/>
    </row>
    <row r="99" spans="1:59" ht="13.15" customHeight="1">
      <c r="A99" s="609" t="s">
        <v>196</v>
      </c>
      <c r="B99" s="610" t="s">
        <v>197</v>
      </c>
      <c r="C99" s="611" t="s">
        <v>190</v>
      </c>
      <c r="D99" s="615">
        <v>397</v>
      </c>
      <c r="E99" s="615">
        <v>396</v>
      </c>
      <c r="F99" s="633">
        <f t="shared" si="34"/>
        <v>0.37894736842105264</v>
      </c>
      <c r="G99" s="1279">
        <f>SUM(E99:E100)*54.5/1000</f>
        <v>45.9435</v>
      </c>
      <c r="H99" s="613">
        <v>36</v>
      </c>
      <c r="I99" s="614">
        <v>3.2</v>
      </c>
      <c r="J99" s="610">
        <f t="shared" si="48"/>
        <v>115</v>
      </c>
      <c r="K99" s="610">
        <v>18</v>
      </c>
      <c r="L99" s="610">
        <f t="shared" si="41"/>
        <v>57</v>
      </c>
      <c r="M99" s="610">
        <f t="shared" si="42"/>
        <v>1045</v>
      </c>
      <c r="N99" s="610">
        <f t="shared" si="37"/>
        <v>0</v>
      </c>
      <c r="O99" s="1195">
        <f>(E99+N99)/M99</f>
        <v>0.37894736842105264</v>
      </c>
      <c r="P99" s="1197">
        <f>SUM(N99:N100)*54.5/1000</f>
        <v>0</v>
      </c>
      <c r="Q99" s="709">
        <f t="shared" si="32"/>
        <v>134</v>
      </c>
      <c r="R99" s="793">
        <f>SUM(Q99:Q100)*54.5/1000</f>
        <v>14.606</v>
      </c>
      <c r="S99" s="615">
        <f t="shared" si="36"/>
        <v>530</v>
      </c>
      <c r="T99" s="1198">
        <f>SUM(S99:S100)*54.5/1000</f>
        <v>60.549500000000002</v>
      </c>
      <c r="U99" s="615">
        <f t="shared" si="39"/>
        <v>515</v>
      </c>
      <c r="V99" s="1199">
        <f>SUM(U99:U100)*54.5/1000</f>
        <v>53.355499999999999</v>
      </c>
      <c r="W99" s="636">
        <f t="shared" si="40"/>
        <v>0.50717703349282295</v>
      </c>
      <c r="X99" s="1346">
        <f>(G99+P99+R99)/'Building Capability'!$B$112</f>
        <v>0.53113596491228077</v>
      </c>
      <c r="Y99" s="277"/>
      <c r="Z99" s="1329"/>
      <c r="AA99" s="272"/>
      <c r="AB99" s="415"/>
      <c r="AC99" s="422"/>
      <c r="AD99" s="523" t="s">
        <v>74</v>
      </c>
      <c r="AE99" s="524">
        <v>44</v>
      </c>
      <c r="AF99" s="487" t="s">
        <v>198</v>
      </c>
      <c r="AG99" s="489">
        <v>48</v>
      </c>
      <c r="AH99" s="233" t="s">
        <v>199</v>
      </c>
      <c r="AI99" s="232">
        <v>13</v>
      </c>
      <c r="AJ99" s="523" t="s">
        <v>200</v>
      </c>
      <c r="AK99" s="524">
        <v>29</v>
      </c>
      <c r="AL99" s="233"/>
      <c r="AM99" s="892"/>
      <c r="AN99" s="233"/>
      <c r="AO99" s="232"/>
      <c r="AP99" s="233"/>
      <c r="AQ99" s="232"/>
      <c r="AR99" s="233"/>
      <c r="AS99" s="232"/>
      <c r="AT99" s="233"/>
      <c r="AU99" s="232"/>
      <c r="AV99" s="233"/>
      <c r="AW99" s="232"/>
      <c r="AX99" s="233"/>
      <c r="AY99" s="232"/>
      <c r="AZ99" s="233"/>
      <c r="BA99" s="232"/>
      <c r="BB99" s="233"/>
      <c r="BC99" s="232"/>
      <c r="BD99" s="233"/>
      <c r="BE99" s="232"/>
      <c r="BF99" s="233"/>
      <c r="BG99" s="234"/>
    </row>
    <row r="100" spans="1:59" ht="13.9" customHeight="1">
      <c r="A100" s="626" t="s">
        <v>196</v>
      </c>
      <c r="B100" s="627" t="s">
        <v>201</v>
      </c>
      <c r="C100" s="628" t="s">
        <v>190</v>
      </c>
      <c r="D100" s="632">
        <v>448</v>
      </c>
      <c r="E100" s="632">
        <v>447</v>
      </c>
      <c r="F100" s="629">
        <f t="shared" ref="F100:F118" si="49">E100/M100</f>
        <v>0.42775119617224883</v>
      </c>
      <c r="G100" s="1280"/>
      <c r="H100" s="630">
        <v>36</v>
      </c>
      <c r="I100" s="631">
        <v>3.2</v>
      </c>
      <c r="J100" s="627">
        <f t="shared" si="48"/>
        <v>115</v>
      </c>
      <c r="K100" s="627">
        <v>18</v>
      </c>
      <c r="L100" s="627">
        <f t="shared" si="41"/>
        <v>57</v>
      </c>
      <c r="M100" s="627">
        <f t="shared" si="42"/>
        <v>1045</v>
      </c>
      <c r="N100" s="627">
        <f t="shared" si="37"/>
        <v>0</v>
      </c>
      <c r="O100" s="820">
        <f>(E100+N100)/M100</f>
        <v>0.42775119617224883</v>
      </c>
      <c r="P100" s="1200">
        <f>P99/'Building Capability'!$B$112</f>
        <v>0</v>
      </c>
      <c r="Q100" s="779">
        <f t="shared" si="32"/>
        <v>134</v>
      </c>
      <c r="R100" s="1201">
        <f>R99/'Building Capability'!$B$112</f>
        <v>0.12812280701754386</v>
      </c>
      <c r="S100" s="632">
        <f t="shared" ref="S100:S118" si="50">SUM(E100+N100+Q100)</f>
        <v>581</v>
      </c>
      <c r="T100" s="1202">
        <f>T99/'Building Capability'!$B$112</f>
        <v>0.53113596491228077</v>
      </c>
      <c r="U100" s="632">
        <f t="shared" si="39"/>
        <v>464</v>
      </c>
      <c r="V100" s="1203">
        <f>V99/'Building Capability'!$B$112</f>
        <v>0.46803070175438594</v>
      </c>
      <c r="W100" s="637">
        <f t="shared" si="40"/>
        <v>0.55598086124401913</v>
      </c>
      <c r="X100" s="1347"/>
      <c r="Y100" s="278"/>
      <c r="Z100" s="1331"/>
      <c r="AA100" s="272"/>
      <c r="AB100" s="415"/>
      <c r="AC100" s="422"/>
      <c r="AD100" s="523" t="s">
        <v>74</v>
      </c>
      <c r="AE100" s="524">
        <v>44</v>
      </c>
      <c r="AF100" s="487" t="s">
        <v>198</v>
      </c>
      <c r="AG100" s="489">
        <v>48</v>
      </c>
      <c r="AH100" s="233" t="s">
        <v>199</v>
      </c>
      <c r="AI100" s="232">
        <v>13</v>
      </c>
      <c r="AJ100" s="523" t="s">
        <v>200</v>
      </c>
      <c r="AK100" s="524">
        <v>29</v>
      </c>
      <c r="AL100" s="233"/>
      <c r="AM100" s="892"/>
      <c r="AN100" s="233"/>
      <c r="AO100" s="232"/>
      <c r="AP100" s="233"/>
      <c r="AQ100" s="232"/>
      <c r="AR100" s="242"/>
      <c r="AS100" s="232"/>
      <c r="AT100" s="233"/>
      <c r="AU100" s="232"/>
      <c r="AV100" s="233"/>
      <c r="AW100" s="232"/>
      <c r="AX100" s="233"/>
      <c r="AY100" s="232"/>
      <c r="AZ100" s="233"/>
      <c r="BA100" s="232"/>
      <c r="BB100" s="233"/>
      <c r="BC100" s="232"/>
      <c r="BD100" s="233"/>
      <c r="BE100" s="232"/>
      <c r="BF100" s="233"/>
      <c r="BG100" s="234"/>
    </row>
    <row r="101" spans="1:59" ht="13.15">
      <c r="A101" s="609" t="s">
        <v>202</v>
      </c>
      <c r="B101" s="610" t="s">
        <v>203</v>
      </c>
      <c r="C101" s="611" t="s">
        <v>190</v>
      </c>
      <c r="D101" s="615">
        <v>257</v>
      </c>
      <c r="E101" s="615">
        <v>256</v>
      </c>
      <c r="F101" s="633">
        <f t="shared" si="49"/>
        <v>0.24497607655502393</v>
      </c>
      <c r="G101" s="1279">
        <f>SUM(E101:E102)*54.5/1000</f>
        <v>32.917999999999999</v>
      </c>
      <c r="H101" s="615">
        <v>36</v>
      </c>
      <c r="I101" s="614">
        <v>3.2</v>
      </c>
      <c r="J101" s="610">
        <f>INT(I101*H101)</f>
        <v>115</v>
      </c>
      <c r="K101" s="610">
        <v>18</v>
      </c>
      <c r="L101" s="610">
        <f t="shared" si="41"/>
        <v>57</v>
      </c>
      <c r="M101" s="610">
        <f t="shared" si="42"/>
        <v>1045</v>
      </c>
      <c r="N101" s="610">
        <f t="shared" si="37"/>
        <v>0</v>
      </c>
      <c r="O101" s="610"/>
      <c r="P101" s="1277">
        <f>SUM(N101:N102)*54.5/1000</f>
        <v>0</v>
      </c>
      <c r="Q101" s="709">
        <f t="shared" si="32"/>
        <v>44</v>
      </c>
      <c r="R101" s="793">
        <f>SUM(Q101:Q102)*54.5/1000</f>
        <v>4.7960000000000003</v>
      </c>
      <c r="S101" s="615">
        <f t="shared" si="50"/>
        <v>300</v>
      </c>
      <c r="T101" s="610"/>
      <c r="U101" s="615">
        <f t="shared" si="39"/>
        <v>745</v>
      </c>
      <c r="V101" s="842"/>
      <c r="W101" s="636">
        <f t="shared" si="40"/>
        <v>0.28708133971291866</v>
      </c>
      <c r="X101" s="1351"/>
      <c r="Y101" s="280"/>
      <c r="Z101" s="1329"/>
      <c r="AA101" s="272"/>
      <c r="AB101" s="417"/>
      <c r="AC101" s="424"/>
      <c r="AD101" s="521" t="s">
        <v>74</v>
      </c>
      <c r="AE101" s="522">
        <v>44</v>
      </c>
      <c r="AF101" s="222"/>
      <c r="AG101" s="221"/>
      <c r="AH101" s="222"/>
      <c r="AI101" s="221"/>
      <c r="AJ101" s="222"/>
      <c r="AK101" s="221"/>
      <c r="AL101" s="222"/>
      <c r="AM101" s="221"/>
      <c r="AN101" s="222"/>
      <c r="AO101" s="221"/>
      <c r="AP101" s="222"/>
      <c r="AQ101" s="221"/>
      <c r="AR101" s="233"/>
      <c r="AS101" s="221"/>
      <c r="AT101" s="222"/>
      <c r="AU101" s="221"/>
      <c r="AV101" s="222"/>
      <c r="AW101" s="221"/>
      <c r="AX101" s="222"/>
      <c r="AY101" s="221"/>
      <c r="AZ101" s="222"/>
      <c r="BA101" s="221"/>
      <c r="BB101" s="222"/>
      <c r="BC101" s="221"/>
      <c r="BD101" s="222"/>
      <c r="BE101" s="221"/>
      <c r="BF101" s="222"/>
      <c r="BG101" s="223"/>
    </row>
    <row r="102" spans="1:59" ht="13.15">
      <c r="A102" s="626" t="s">
        <v>202</v>
      </c>
      <c r="B102" s="627" t="s">
        <v>204</v>
      </c>
      <c r="C102" s="628" t="s">
        <v>190</v>
      </c>
      <c r="D102" s="632">
        <v>348</v>
      </c>
      <c r="E102" s="632">
        <v>348</v>
      </c>
      <c r="F102" s="629">
        <f t="shared" si="49"/>
        <v>0.33301435406698565</v>
      </c>
      <c r="G102" s="1280"/>
      <c r="H102" s="630">
        <v>36</v>
      </c>
      <c r="I102" s="631">
        <v>3.2</v>
      </c>
      <c r="J102" s="627">
        <f t="shared" ref="J102:J106" si="51">INT(H102*I102)</f>
        <v>115</v>
      </c>
      <c r="K102" s="627">
        <v>18</v>
      </c>
      <c r="L102" s="627">
        <f t="shared" si="41"/>
        <v>57</v>
      </c>
      <c r="M102" s="627">
        <f t="shared" si="42"/>
        <v>1045</v>
      </c>
      <c r="N102" s="627">
        <f t="shared" si="37"/>
        <v>0</v>
      </c>
      <c r="O102" s="627"/>
      <c r="P102" s="1278"/>
      <c r="Q102" s="779">
        <f t="shared" si="32"/>
        <v>44</v>
      </c>
      <c r="R102" s="662"/>
      <c r="S102" s="632">
        <f t="shared" si="50"/>
        <v>392</v>
      </c>
      <c r="T102" s="627"/>
      <c r="U102" s="632">
        <f t="shared" si="39"/>
        <v>653</v>
      </c>
      <c r="V102" s="843"/>
      <c r="W102" s="637">
        <f t="shared" si="40"/>
        <v>0.37511961722488041</v>
      </c>
      <c r="X102" s="1350"/>
      <c r="Y102" s="281"/>
      <c r="Z102" s="1331"/>
      <c r="AA102" s="272"/>
      <c r="AB102" s="416"/>
      <c r="AC102" s="423"/>
      <c r="AD102" s="525" t="s">
        <v>74</v>
      </c>
      <c r="AE102" s="526">
        <v>44</v>
      </c>
      <c r="AF102" s="242"/>
      <c r="AG102" s="241"/>
      <c r="AH102" s="242"/>
      <c r="AI102" s="241"/>
      <c r="AJ102" s="242"/>
      <c r="AK102" s="241"/>
      <c r="AL102" s="242"/>
      <c r="AM102" s="241"/>
      <c r="AN102" s="242"/>
      <c r="AO102" s="241"/>
      <c r="AP102" s="242"/>
      <c r="AQ102" s="241"/>
      <c r="AR102" s="242"/>
      <c r="AS102" s="241"/>
      <c r="AT102" s="242"/>
      <c r="AU102" s="241"/>
      <c r="AV102" s="242"/>
      <c r="AW102" s="241"/>
      <c r="AX102" s="242"/>
      <c r="AY102" s="241"/>
      <c r="AZ102" s="242"/>
      <c r="BA102" s="241"/>
      <c r="BB102" s="242"/>
      <c r="BC102" s="241"/>
      <c r="BD102" s="242"/>
      <c r="BE102" s="241"/>
      <c r="BF102" s="242"/>
      <c r="BG102" s="243"/>
    </row>
    <row r="103" spans="1:59" ht="13.15">
      <c r="A103" s="609" t="s">
        <v>205</v>
      </c>
      <c r="B103" s="610" t="s">
        <v>206</v>
      </c>
      <c r="C103" s="611" t="s">
        <v>38</v>
      </c>
      <c r="D103" s="808">
        <v>90</v>
      </c>
      <c r="E103" s="808">
        <v>89</v>
      </c>
      <c r="F103" s="646">
        <f t="shared" si="49"/>
        <v>0.23116883116883116</v>
      </c>
      <c r="G103" s="1279">
        <f>SUM(E103:E104)*54.5/1000</f>
        <v>9.5374999999999996</v>
      </c>
      <c r="H103" s="613">
        <v>9</v>
      </c>
      <c r="I103" s="614">
        <v>3.5</v>
      </c>
      <c r="J103" s="610">
        <f t="shared" si="51"/>
        <v>31</v>
      </c>
      <c r="K103" s="610">
        <v>3</v>
      </c>
      <c r="L103" s="610">
        <f t="shared" si="41"/>
        <v>21</v>
      </c>
      <c r="M103" s="610">
        <f t="shared" si="42"/>
        <v>385</v>
      </c>
      <c r="N103" s="610">
        <f t="shared" si="37"/>
        <v>0</v>
      </c>
      <c r="O103" s="610"/>
      <c r="P103" s="1277">
        <f>(SUM(N103:N104)*54.5)/1000</f>
        <v>0</v>
      </c>
      <c r="Q103" s="709">
        <f t="shared" si="32"/>
        <v>5</v>
      </c>
      <c r="R103" s="793">
        <f>SUM(Q103:Q104)*54.5/1000</f>
        <v>0.54500000000000004</v>
      </c>
      <c r="S103" s="615">
        <f t="shared" si="50"/>
        <v>94</v>
      </c>
      <c r="T103" s="610"/>
      <c r="U103" s="615">
        <f t="shared" si="39"/>
        <v>291</v>
      </c>
      <c r="V103" s="842"/>
      <c r="W103" s="616">
        <f t="shared" si="40"/>
        <v>0.24415584415584415</v>
      </c>
      <c r="X103" s="638"/>
      <c r="Y103" s="282"/>
      <c r="Z103" s="1359"/>
      <c r="AA103" s="272"/>
      <c r="AB103" s="417"/>
      <c r="AC103" s="424"/>
      <c r="AD103" s="233" t="s">
        <v>41</v>
      </c>
      <c r="AE103" s="221">
        <v>5</v>
      </c>
      <c r="AF103" s="222"/>
      <c r="AG103" s="221"/>
      <c r="AH103" s="222"/>
      <c r="AI103" s="221"/>
      <c r="AJ103" s="222"/>
      <c r="AK103" s="221"/>
      <c r="AL103" s="222"/>
      <c r="AM103" s="221"/>
      <c r="AN103" s="222"/>
      <c r="AO103" s="221"/>
      <c r="AP103" s="222"/>
      <c r="AQ103" s="221"/>
      <c r="AR103" s="233"/>
      <c r="AS103" s="221"/>
      <c r="AT103" s="222"/>
      <c r="AU103" s="221"/>
      <c r="AV103" s="222"/>
      <c r="AW103" s="221"/>
      <c r="AX103" s="222"/>
      <c r="AY103" s="221"/>
      <c r="AZ103" s="222"/>
      <c r="BA103" s="221"/>
      <c r="BB103" s="222"/>
      <c r="BC103" s="221"/>
      <c r="BD103" s="222"/>
      <c r="BE103" s="221"/>
      <c r="BF103" s="222"/>
      <c r="BG103" s="223"/>
    </row>
    <row r="104" spans="1:59" ht="13.15">
      <c r="A104" s="617" t="s">
        <v>205</v>
      </c>
      <c r="B104" s="618" t="s">
        <v>207</v>
      </c>
      <c r="C104" s="619" t="s">
        <v>38</v>
      </c>
      <c r="D104" s="623">
        <v>84</v>
      </c>
      <c r="E104" s="623">
        <v>86</v>
      </c>
      <c r="F104" s="620">
        <f t="shared" si="49"/>
        <v>0.22337662337662337</v>
      </c>
      <c r="G104" s="1282"/>
      <c r="H104" s="621">
        <v>9</v>
      </c>
      <c r="I104" s="622">
        <v>3.5</v>
      </c>
      <c r="J104" s="618">
        <f t="shared" si="51"/>
        <v>31</v>
      </c>
      <c r="K104" s="618">
        <v>3</v>
      </c>
      <c r="L104" s="618">
        <f t="shared" si="41"/>
        <v>21</v>
      </c>
      <c r="M104" s="618">
        <f t="shared" si="42"/>
        <v>385</v>
      </c>
      <c r="N104" s="618">
        <f t="shared" si="37"/>
        <v>0</v>
      </c>
      <c r="O104" s="618"/>
      <c r="P104" s="1284"/>
      <c r="Q104" s="779">
        <f t="shared" si="32"/>
        <v>5</v>
      </c>
      <c r="R104" s="663"/>
      <c r="S104" s="623">
        <f t="shared" si="50"/>
        <v>91</v>
      </c>
      <c r="T104" s="618"/>
      <c r="U104" s="623">
        <f t="shared" si="39"/>
        <v>294</v>
      </c>
      <c r="V104" s="845"/>
      <c r="W104" s="625">
        <f t="shared" si="40"/>
        <v>0.23636363636363636</v>
      </c>
      <c r="X104" s="638"/>
      <c r="Y104" s="282"/>
      <c r="Z104" s="1360"/>
      <c r="AA104" s="272"/>
      <c r="AB104" s="416"/>
      <c r="AC104" s="423"/>
      <c r="AD104" s="233" t="s">
        <v>41</v>
      </c>
      <c r="AE104" s="241">
        <v>5</v>
      </c>
      <c r="AF104" s="242"/>
      <c r="AG104" s="241"/>
      <c r="AH104" s="242"/>
      <c r="AI104" s="241"/>
      <c r="AJ104" s="242"/>
      <c r="AK104" s="241"/>
      <c r="AL104" s="242"/>
      <c r="AM104" s="241"/>
      <c r="AN104" s="242"/>
      <c r="AO104" s="241"/>
      <c r="AP104" s="242"/>
      <c r="AQ104" s="241"/>
      <c r="AR104" s="242"/>
      <c r="AS104" s="241"/>
      <c r="AT104" s="242"/>
      <c r="AU104" s="241"/>
      <c r="AV104" s="242"/>
      <c r="AW104" s="241"/>
      <c r="AX104" s="242"/>
      <c r="AY104" s="241"/>
      <c r="AZ104" s="242"/>
      <c r="BA104" s="241"/>
      <c r="BB104" s="242"/>
      <c r="BC104" s="241"/>
      <c r="BD104" s="242"/>
      <c r="BE104" s="241"/>
      <c r="BF104" s="242"/>
      <c r="BG104" s="243"/>
    </row>
    <row r="105" spans="1:59" ht="13.15">
      <c r="A105" s="651" t="s">
        <v>208</v>
      </c>
      <c r="B105" s="652" t="s">
        <v>209</v>
      </c>
      <c r="C105" s="653" t="s">
        <v>190</v>
      </c>
      <c r="D105" s="1067">
        <v>618</v>
      </c>
      <c r="E105" s="1067">
        <v>606</v>
      </c>
      <c r="F105" s="660">
        <f t="shared" si="49"/>
        <v>0.5799043062200957</v>
      </c>
      <c r="G105" s="1344">
        <f>SUM(E105:E106)*54.5/1000</f>
        <v>61.094499999999996</v>
      </c>
      <c r="H105" s="652">
        <v>36</v>
      </c>
      <c r="I105" s="652">
        <v>3.2</v>
      </c>
      <c r="J105" s="652">
        <f t="shared" si="51"/>
        <v>115</v>
      </c>
      <c r="K105" s="652">
        <v>18</v>
      </c>
      <c r="L105" s="652">
        <f t="shared" si="41"/>
        <v>57</v>
      </c>
      <c r="M105" s="652">
        <f t="shared" si="42"/>
        <v>1045</v>
      </c>
      <c r="N105" s="652">
        <f t="shared" si="37"/>
        <v>0</v>
      </c>
      <c r="O105" s="652"/>
      <c r="P105" s="1356">
        <f>SUM(N105:N106)*54.5/1000</f>
        <v>0</v>
      </c>
      <c r="Q105" s="709">
        <f t="shared" si="32"/>
        <v>0</v>
      </c>
      <c r="R105" s="664">
        <f>SUM(Q105:Q106)*54.5/1000</f>
        <v>0</v>
      </c>
      <c r="S105" s="657">
        <f t="shared" si="50"/>
        <v>606</v>
      </c>
      <c r="T105" s="652"/>
      <c r="U105" s="657">
        <f t="shared" si="39"/>
        <v>439</v>
      </c>
      <c r="V105" s="846"/>
      <c r="W105" s="661">
        <f t="shared" si="40"/>
        <v>0.5799043062200957</v>
      </c>
      <c r="X105" s="1349"/>
      <c r="Y105" s="278"/>
      <c r="Z105" s="1352"/>
      <c r="AA105" s="272"/>
      <c r="AB105" s="417"/>
      <c r="AC105" s="424"/>
      <c r="AD105" s="222"/>
      <c r="AE105" s="221"/>
      <c r="AF105" s="222"/>
      <c r="AG105" s="221"/>
      <c r="AH105" s="222"/>
      <c r="AI105" s="221"/>
      <c r="AJ105" s="222"/>
      <c r="AK105" s="221"/>
      <c r="AL105" s="222"/>
      <c r="AM105" s="221"/>
      <c r="AN105" s="222"/>
      <c r="AO105" s="221"/>
      <c r="AP105" s="222"/>
      <c r="AQ105" s="221"/>
      <c r="AR105" s="233"/>
      <c r="AS105" s="221"/>
      <c r="AT105" s="222"/>
      <c r="AU105" s="221"/>
      <c r="AV105" s="222"/>
      <c r="AW105" s="221"/>
      <c r="AX105" s="222"/>
      <c r="AY105" s="221"/>
      <c r="AZ105" s="222"/>
      <c r="BA105" s="221"/>
      <c r="BB105" s="222"/>
      <c r="BC105" s="221"/>
      <c r="BD105" s="222"/>
      <c r="BE105" s="221"/>
      <c r="BF105" s="222"/>
      <c r="BG105" s="223"/>
    </row>
    <row r="106" spans="1:59" ht="13.15">
      <c r="A106" s="617" t="s">
        <v>208</v>
      </c>
      <c r="B106" s="618" t="s">
        <v>210</v>
      </c>
      <c r="C106" s="619" t="s">
        <v>190</v>
      </c>
      <c r="D106" s="1191">
        <v>521</v>
      </c>
      <c r="E106" s="1191">
        <v>515</v>
      </c>
      <c r="F106" s="659">
        <f t="shared" si="49"/>
        <v>0.49282296650717705</v>
      </c>
      <c r="G106" s="1345"/>
      <c r="H106" s="621">
        <v>36</v>
      </c>
      <c r="I106" s="622">
        <v>3.2</v>
      </c>
      <c r="J106" s="618">
        <f t="shared" si="51"/>
        <v>115</v>
      </c>
      <c r="K106" s="618">
        <v>18</v>
      </c>
      <c r="L106" s="618">
        <f t="shared" si="41"/>
        <v>57</v>
      </c>
      <c r="M106" s="618">
        <f t="shared" si="42"/>
        <v>1045</v>
      </c>
      <c r="N106" s="618">
        <f t="shared" si="37"/>
        <v>0</v>
      </c>
      <c r="O106" s="618"/>
      <c r="P106" s="1357"/>
      <c r="Q106" s="779">
        <f t="shared" si="32"/>
        <v>0</v>
      </c>
      <c r="R106" s="663"/>
      <c r="S106" s="623">
        <f t="shared" si="50"/>
        <v>515</v>
      </c>
      <c r="T106" s="618"/>
      <c r="U106" s="623">
        <f t="shared" si="39"/>
        <v>530</v>
      </c>
      <c r="V106" s="845"/>
      <c r="W106" s="625">
        <f t="shared" si="40"/>
        <v>0.49282296650717705</v>
      </c>
      <c r="X106" s="1350"/>
      <c r="Y106" s="285"/>
      <c r="Z106" s="1353"/>
      <c r="AA106" s="272"/>
      <c r="AB106" s="416"/>
      <c r="AC106" s="423"/>
      <c r="AD106" s="242"/>
      <c r="AE106" s="241"/>
      <c r="AF106" s="242"/>
      <c r="AG106" s="241"/>
      <c r="AH106" s="242"/>
      <c r="AI106" s="241"/>
      <c r="AJ106" s="242"/>
      <c r="AK106" s="241"/>
      <c r="AL106" s="242"/>
      <c r="AM106" s="241"/>
      <c r="AN106" s="242"/>
      <c r="AO106" s="241"/>
      <c r="AP106" s="242"/>
      <c r="AQ106" s="241"/>
      <c r="AR106" s="242"/>
      <c r="AS106" s="241"/>
      <c r="AT106" s="242"/>
      <c r="AU106" s="241"/>
      <c r="AV106" s="242"/>
      <c r="AW106" s="241"/>
      <c r="AX106" s="242"/>
      <c r="AY106" s="241"/>
      <c r="AZ106" s="242"/>
      <c r="BA106" s="241"/>
      <c r="BB106" s="242"/>
      <c r="BC106" s="241"/>
      <c r="BD106" s="242"/>
      <c r="BE106" s="241"/>
      <c r="BF106" s="242"/>
      <c r="BG106" s="243"/>
    </row>
    <row r="107" spans="1:59" ht="13.15">
      <c r="A107" s="651" t="s">
        <v>211</v>
      </c>
      <c r="B107" s="652" t="s">
        <v>212</v>
      </c>
      <c r="C107" s="653" t="s">
        <v>190</v>
      </c>
      <c r="D107" s="657">
        <v>320</v>
      </c>
      <c r="E107" s="657">
        <v>317</v>
      </c>
      <c r="F107" s="654">
        <f t="shared" si="49"/>
        <v>0.3033492822966507</v>
      </c>
      <c r="G107" s="1343">
        <f>SUM(E107:E108)*54.5/1000</f>
        <v>33.244999999999997</v>
      </c>
      <c r="H107" s="655">
        <v>36</v>
      </c>
      <c r="I107" s="656">
        <v>3.2</v>
      </c>
      <c r="J107" s="652">
        <f t="shared" ref="J107:J112" si="52">INT(H107*I107)</f>
        <v>115</v>
      </c>
      <c r="K107" s="652">
        <v>18</v>
      </c>
      <c r="L107" s="652">
        <f t="shared" si="41"/>
        <v>57</v>
      </c>
      <c r="M107" s="652">
        <f t="shared" si="42"/>
        <v>1045</v>
      </c>
      <c r="N107" s="652">
        <f t="shared" si="37"/>
        <v>0</v>
      </c>
      <c r="O107" s="652"/>
      <c r="P107" s="1348">
        <f>SUM(N107:N108)*54.5/1000</f>
        <v>0</v>
      </c>
      <c r="Q107" s="780">
        <f t="shared" si="32"/>
        <v>5</v>
      </c>
      <c r="R107" s="664">
        <f>SUM(Q107:Q108)*54.5/1000</f>
        <v>0.54500000000000004</v>
      </c>
      <c r="S107" s="657">
        <f t="shared" si="50"/>
        <v>322</v>
      </c>
      <c r="T107" s="652"/>
      <c r="U107" s="657">
        <f t="shared" si="39"/>
        <v>723</v>
      </c>
      <c r="V107" s="846"/>
      <c r="W107" s="658">
        <f t="shared" si="40"/>
        <v>0.30813397129186604</v>
      </c>
      <c r="X107" s="1351"/>
      <c r="Y107" s="278"/>
      <c r="Z107" s="1354"/>
      <c r="AA107" s="272"/>
      <c r="AB107" s="417"/>
      <c r="AC107" s="424"/>
      <c r="AD107" s="222" t="s">
        <v>41</v>
      </c>
      <c r="AE107" s="221">
        <v>5</v>
      </c>
      <c r="AF107" s="222"/>
      <c r="AG107" s="221"/>
      <c r="AH107" s="222"/>
      <c r="AI107" s="221"/>
      <c r="AJ107" s="222"/>
      <c r="AK107" s="221"/>
      <c r="AL107" s="222"/>
      <c r="AM107" s="221"/>
      <c r="AN107" s="222"/>
      <c r="AO107" s="221"/>
      <c r="AP107" s="222"/>
      <c r="AQ107" s="221"/>
      <c r="AR107" s="233"/>
      <c r="AS107" s="221"/>
      <c r="AT107" s="222"/>
      <c r="AU107" s="221"/>
      <c r="AV107" s="222"/>
      <c r="AW107" s="221"/>
      <c r="AX107" s="222"/>
      <c r="AY107" s="221"/>
      <c r="AZ107" s="222"/>
      <c r="BA107" s="221"/>
      <c r="BB107" s="222"/>
      <c r="BC107" s="221"/>
      <c r="BD107" s="222"/>
      <c r="BE107" s="221"/>
      <c r="BF107" s="222"/>
      <c r="BG107" s="223"/>
    </row>
    <row r="108" spans="1:59" ht="13.15">
      <c r="A108" s="634" t="s">
        <v>211</v>
      </c>
      <c r="B108" s="603" t="s">
        <v>213</v>
      </c>
      <c r="C108" s="604" t="s">
        <v>190</v>
      </c>
      <c r="D108" s="607">
        <v>294</v>
      </c>
      <c r="E108" s="607">
        <v>293</v>
      </c>
      <c r="F108" s="608">
        <f t="shared" si="49"/>
        <v>0.28038277511961723</v>
      </c>
      <c r="G108" s="1281"/>
      <c r="H108" s="605">
        <v>36</v>
      </c>
      <c r="I108" s="606">
        <v>3.2</v>
      </c>
      <c r="J108" s="603">
        <f t="shared" si="52"/>
        <v>115</v>
      </c>
      <c r="K108" s="603">
        <v>18</v>
      </c>
      <c r="L108" s="603">
        <f t="shared" si="41"/>
        <v>57</v>
      </c>
      <c r="M108" s="603">
        <f t="shared" si="42"/>
        <v>1045</v>
      </c>
      <c r="N108" s="603">
        <f t="shared" si="37"/>
        <v>0</v>
      </c>
      <c r="O108" s="603"/>
      <c r="P108" s="1283"/>
      <c r="Q108" s="833">
        <f t="shared" si="32"/>
        <v>5</v>
      </c>
      <c r="R108" s="794"/>
      <c r="S108" s="607">
        <f t="shared" si="50"/>
        <v>298</v>
      </c>
      <c r="T108" s="603"/>
      <c r="U108" s="607">
        <f t="shared" si="39"/>
        <v>747</v>
      </c>
      <c r="V108" s="844"/>
      <c r="W108" s="639">
        <f t="shared" ref="W108:W118" si="53">S108/M108</f>
        <v>0.28516746411483251</v>
      </c>
      <c r="X108" s="1350"/>
      <c r="Y108" s="271"/>
      <c r="Z108" s="1355"/>
      <c r="AB108" s="415"/>
      <c r="AC108" s="422"/>
      <c r="AD108" s="233" t="s">
        <v>41</v>
      </c>
      <c r="AE108" s="232">
        <v>5</v>
      </c>
      <c r="AF108" s="233"/>
      <c r="AG108" s="232"/>
      <c r="AH108" s="233"/>
      <c r="AI108" s="232"/>
      <c r="AJ108" s="233"/>
      <c r="AK108" s="232"/>
      <c r="AL108" s="233"/>
      <c r="AM108" s="232"/>
      <c r="AN108" s="233"/>
      <c r="AO108" s="232"/>
      <c r="AP108" s="233"/>
      <c r="AQ108" s="232"/>
      <c r="AR108" s="784"/>
      <c r="AS108" s="232"/>
      <c r="AT108" s="233"/>
      <c r="AU108" s="232"/>
      <c r="AV108" s="233"/>
      <c r="AW108" s="232"/>
      <c r="AX108" s="233"/>
      <c r="AY108" s="232"/>
      <c r="AZ108" s="233"/>
      <c r="BA108" s="232"/>
      <c r="BB108" s="233"/>
      <c r="BC108" s="232"/>
      <c r="BD108" s="233"/>
      <c r="BE108" s="232"/>
      <c r="BF108" s="233"/>
      <c r="BG108" s="234"/>
    </row>
    <row r="109" spans="1:59" ht="13.15">
      <c r="A109" s="609" t="s">
        <v>214</v>
      </c>
      <c r="B109" s="610" t="s">
        <v>215</v>
      </c>
      <c r="C109" s="611" t="s">
        <v>190</v>
      </c>
      <c r="D109" s="1192">
        <v>285</v>
      </c>
      <c r="E109" s="1204">
        <v>285</v>
      </c>
      <c r="F109" s="641">
        <f t="shared" si="49"/>
        <v>0.27272727272727271</v>
      </c>
      <c r="G109" s="1279">
        <f>SUM(E109:E111)*54.5/1000</f>
        <v>43.927</v>
      </c>
      <c r="H109" s="613">
        <v>36</v>
      </c>
      <c r="I109" s="614">
        <v>3.2</v>
      </c>
      <c r="J109" s="610">
        <f t="shared" si="52"/>
        <v>115</v>
      </c>
      <c r="K109" s="610">
        <v>18</v>
      </c>
      <c r="L109" s="610">
        <f t="shared" si="41"/>
        <v>57</v>
      </c>
      <c r="M109" s="610">
        <f t="shared" si="42"/>
        <v>1045</v>
      </c>
      <c r="N109" s="610">
        <f t="shared" si="37"/>
        <v>0</v>
      </c>
      <c r="O109" s="610"/>
      <c r="P109" s="1277">
        <f>SUM(N109:N111)*54.5/1000</f>
        <v>0</v>
      </c>
      <c r="Q109" s="780">
        <f t="shared" si="32"/>
        <v>59</v>
      </c>
      <c r="R109" s="793">
        <f>SUM(Q109:Q111)*54.5/1000</f>
        <v>8.6110000000000007</v>
      </c>
      <c r="S109" s="615">
        <f t="shared" si="50"/>
        <v>344</v>
      </c>
      <c r="T109" s="610"/>
      <c r="U109" s="615">
        <f t="shared" si="39"/>
        <v>701</v>
      </c>
      <c r="V109" s="842"/>
      <c r="W109" s="636">
        <f t="shared" si="53"/>
        <v>0.32918660287081342</v>
      </c>
      <c r="X109" s="1351"/>
      <c r="Y109" s="278"/>
      <c r="Z109" s="1358"/>
      <c r="AA109" s="272"/>
      <c r="AB109" s="417"/>
      <c r="AC109" s="424"/>
      <c r="AD109" s="488" t="s">
        <v>216</v>
      </c>
      <c r="AE109" s="490">
        <v>59</v>
      </c>
      <c r="AF109" s="222"/>
      <c r="AG109" s="221"/>
      <c r="AH109" s="222"/>
      <c r="AI109" s="221"/>
      <c r="AJ109" s="222"/>
      <c r="AK109" s="221"/>
      <c r="AL109" s="222"/>
      <c r="AM109" s="221"/>
      <c r="AN109" s="222"/>
      <c r="AO109" s="221"/>
      <c r="AP109" s="222"/>
      <c r="AQ109" s="221"/>
      <c r="AR109" s="233"/>
      <c r="AS109" s="221"/>
      <c r="AT109" s="222"/>
      <c r="AU109" s="221"/>
      <c r="AV109" s="222"/>
      <c r="AW109" s="221"/>
      <c r="AX109" s="222"/>
      <c r="AY109" s="221"/>
      <c r="AZ109" s="222"/>
      <c r="BA109" s="221"/>
      <c r="BB109" s="222"/>
      <c r="BC109" s="221"/>
      <c r="BD109" s="222"/>
      <c r="BE109" s="221"/>
      <c r="BF109" s="222"/>
      <c r="BG109" s="223"/>
    </row>
    <row r="110" spans="1:59" ht="13.15">
      <c r="A110" s="634" t="s">
        <v>214</v>
      </c>
      <c r="B110" s="603" t="s">
        <v>217</v>
      </c>
      <c r="C110" s="604" t="s">
        <v>190</v>
      </c>
      <c r="D110" s="809">
        <v>368</v>
      </c>
      <c r="E110" s="809">
        <v>371</v>
      </c>
      <c r="F110" s="640">
        <f t="shared" si="49"/>
        <v>0.35502392344497608</v>
      </c>
      <c r="G110" s="1281"/>
      <c r="H110" s="605">
        <v>36</v>
      </c>
      <c r="I110" s="606">
        <v>3.2</v>
      </c>
      <c r="J110" s="603">
        <f t="shared" si="52"/>
        <v>115</v>
      </c>
      <c r="K110" s="603">
        <v>18</v>
      </c>
      <c r="L110" s="603">
        <f t="shared" si="41"/>
        <v>57</v>
      </c>
      <c r="M110" s="603">
        <f t="shared" si="42"/>
        <v>1045</v>
      </c>
      <c r="N110" s="603">
        <f t="shared" si="37"/>
        <v>0</v>
      </c>
      <c r="O110" s="603"/>
      <c r="P110" s="1283"/>
      <c r="Q110" s="778">
        <f t="shared" si="32"/>
        <v>79</v>
      </c>
      <c r="R110" s="794"/>
      <c r="S110" s="607">
        <f t="shared" si="50"/>
        <v>450</v>
      </c>
      <c r="T110" s="603"/>
      <c r="U110" s="607">
        <f t="shared" si="39"/>
        <v>595</v>
      </c>
      <c r="V110" s="844"/>
      <c r="W110" s="639">
        <f t="shared" si="53"/>
        <v>0.43062200956937802</v>
      </c>
      <c r="X110" s="1351"/>
      <c r="Y110" s="278"/>
      <c r="Z110" s="1358"/>
      <c r="AA110" s="272"/>
      <c r="AB110" s="415"/>
      <c r="AC110" s="422"/>
      <c r="AD110" s="457" t="s">
        <v>199</v>
      </c>
      <c r="AE110" s="458">
        <v>20</v>
      </c>
      <c r="AF110" s="487" t="s">
        <v>216</v>
      </c>
      <c r="AG110" s="489">
        <v>59</v>
      </c>
      <c r="AH110" s="233"/>
      <c r="AI110" s="232"/>
      <c r="AJ110" s="233"/>
      <c r="AK110" s="232"/>
      <c r="AL110" s="233"/>
      <c r="AM110" s="232"/>
      <c r="AN110" s="233"/>
      <c r="AO110" s="232"/>
      <c r="AP110" s="233"/>
      <c r="AQ110" s="232"/>
      <c r="AR110" s="233"/>
      <c r="AS110" s="232"/>
      <c r="AT110" s="233"/>
      <c r="AU110" s="232"/>
      <c r="AV110" s="233"/>
      <c r="AW110" s="232"/>
      <c r="AX110" s="233"/>
      <c r="AY110" s="232"/>
      <c r="AZ110" s="233"/>
      <c r="BA110" s="232"/>
      <c r="BB110" s="233"/>
      <c r="BC110" s="232"/>
      <c r="BD110" s="233"/>
      <c r="BE110" s="232"/>
      <c r="BF110" s="233"/>
      <c r="BG110" s="234"/>
    </row>
    <row r="111" spans="1:59" ht="13.15">
      <c r="A111" s="626" t="s">
        <v>214</v>
      </c>
      <c r="B111" s="627" t="s">
        <v>218</v>
      </c>
      <c r="C111" s="628" t="s">
        <v>190</v>
      </c>
      <c r="D111" s="810">
        <v>150</v>
      </c>
      <c r="E111" s="810">
        <v>150</v>
      </c>
      <c r="F111" s="642">
        <f t="shared" si="49"/>
        <v>0.29239766081871343</v>
      </c>
      <c r="G111" s="1280"/>
      <c r="H111" s="630">
        <v>18</v>
      </c>
      <c r="I111" s="631">
        <v>3.2</v>
      </c>
      <c r="J111" s="627">
        <f t="shared" si="52"/>
        <v>57</v>
      </c>
      <c r="K111" s="627">
        <v>9</v>
      </c>
      <c r="L111" s="627">
        <f t="shared" si="41"/>
        <v>28</v>
      </c>
      <c r="M111" s="627">
        <f t="shared" si="42"/>
        <v>513</v>
      </c>
      <c r="N111" s="627">
        <f t="shared" si="37"/>
        <v>0</v>
      </c>
      <c r="O111" s="627"/>
      <c r="P111" s="1278"/>
      <c r="Q111" s="779">
        <f t="shared" si="32"/>
        <v>20</v>
      </c>
      <c r="R111" s="662"/>
      <c r="S111" s="632">
        <f t="shared" si="50"/>
        <v>170</v>
      </c>
      <c r="T111" s="627"/>
      <c r="U111" s="632">
        <f t="shared" si="39"/>
        <v>343</v>
      </c>
      <c r="V111" s="843"/>
      <c r="W111" s="637">
        <f t="shared" si="53"/>
        <v>0.33138401559454189</v>
      </c>
      <c r="X111" s="1350"/>
      <c r="Y111" s="283"/>
      <c r="Z111" s="1353"/>
      <c r="AA111" s="272"/>
      <c r="AB111" s="416"/>
      <c r="AC111" s="423"/>
      <c r="AD111" s="242" t="s">
        <v>199</v>
      </c>
      <c r="AE111" s="241">
        <v>20</v>
      </c>
      <c r="AF111" s="242"/>
      <c r="AG111" s="241"/>
      <c r="AH111" s="242"/>
      <c r="AI111" s="241"/>
      <c r="AJ111" s="242"/>
      <c r="AK111" s="241"/>
      <c r="AL111" s="242"/>
      <c r="AM111" s="241"/>
      <c r="AN111" s="242"/>
      <c r="AO111" s="241"/>
      <c r="AP111" s="242"/>
      <c r="AQ111" s="241"/>
      <c r="AR111" s="242"/>
      <c r="AS111" s="241"/>
      <c r="AT111" s="242"/>
      <c r="AU111" s="241"/>
      <c r="AV111" s="242"/>
      <c r="AW111" s="241"/>
      <c r="AX111" s="242"/>
      <c r="AY111" s="241"/>
      <c r="AZ111" s="242"/>
      <c r="BA111" s="241"/>
      <c r="BB111" s="242"/>
      <c r="BC111" s="241"/>
      <c r="BD111" s="242"/>
      <c r="BE111" s="241"/>
      <c r="BF111" s="242"/>
      <c r="BG111" s="243"/>
    </row>
    <row r="112" spans="1:59" ht="13.15">
      <c r="A112" s="609" t="s">
        <v>219</v>
      </c>
      <c r="B112" s="610" t="s">
        <v>220</v>
      </c>
      <c r="C112" s="643" t="s">
        <v>190</v>
      </c>
      <c r="D112" s="1192">
        <v>214</v>
      </c>
      <c r="E112" s="1192">
        <v>213</v>
      </c>
      <c r="F112" s="644">
        <f t="shared" si="49"/>
        <v>0.20382775119617225</v>
      </c>
      <c r="G112" s="1279">
        <f>SUM(E112:E113)*54.5/1000</f>
        <v>19.1295</v>
      </c>
      <c r="H112" s="613">
        <v>36</v>
      </c>
      <c r="I112" s="614">
        <v>3.2</v>
      </c>
      <c r="J112" s="610">
        <f t="shared" si="52"/>
        <v>115</v>
      </c>
      <c r="K112" s="610">
        <v>18</v>
      </c>
      <c r="L112" s="610">
        <f t="shared" si="41"/>
        <v>57</v>
      </c>
      <c r="M112" s="610">
        <f t="shared" si="42"/>
        <v>1045</v>
      </c>
      <c r="N112" s="610">
        <f t="shared" si="37"/>
        <v>0</v>
      </c>
      <c r="O112" s="610"/>
      <c r="P112" s="1277">
        <f>SUM(N112:N113)*54.5/1000</f>
        <v>0</v>
      </c>
      <c r="Q112" s="709">
        <f t="shared" si="32"/>
        <v>107</v>
      </c>
      <c r="R112" s="793">
        <f>SUM(Q112:Q113)*54.5/1000</f>
        <v>11.663</v>
      </c>
      <c r="S112" s="615">
        <f t="shared" si="50"/>
        <v>320</v>
      </c>
      <c r="T112" s="610"/>
      <c r="U112" s="615">
        <f t="shared" si="39"/>
        <v>725</v>
      </c>
      <c r="V112" s="842"/>
      <c r="W112" s="636">
        <f t="shared" si="53"/>
        <v>0.30622009569377989</v>
      </c>
      <c r="X112" s="1351"/>
      <c r="Y112" s="275"/>
      <c r="Z112" s="1358"/>
      <c r="AB112" s="417"/>
      <c r="AC112" s="424"/>
      <c r="AD112" s="488" t="s">
        <v>221</v>
      </c>
      <c r="AE112" s="490">
        <v>107</v>
      </c>
      <c r="AF112" s="222"/>
      <c r="AG112" s="221"/>
      <c r="AH112" s="222"/>
      <c r="AI112" s="221"/>
      <c r="AJ112" s="222"/>
      <c r="AK112" s="221"/>
      <c r="AL112" s="222"/>
      <c r="AM112" s="221"/>
      <c r="AN112" s="222"/>
      <c r="AO112" s="221"/>
      <c r="AP112" s="222"/>
      <c r="AQ112" s="221"/>
      <c r="AR112" s="233"/>
      <c r="AS112" s="221"/>
      <c r="AT112" s="222"/>
      <c r="AU112" s="221"/>
      <c r="AV112" s="222"/>
      <c r="AW112" s="221"/>
      <c r="AX112" s="222"/>
      <c r="AY112" s="221"/>
      <c r="AZ112" s="222"/>
      <c r="BA112" s="221"/>
      <c r="BB112" s="222"/>
      <c r="BC112" s="221"/>
      <c r="BD112" s="222"/>
      <c r="BE112" s="221"/>
      <c r="BF112" s="222"/>
      <c r="BG112" s="223"/>
    </row>
    <row r="113" spans="1:59" ht="13.15">
      <c r="A113" s="626" t="s">
        <v>219</v>
      </c>
      <c r="B113" s="627" t="s">
        <v>222</v>
      </c>
      <c r="C113" s="628" t="s">
        <v>190</v>
      </c>
      <c r="D113" s="811">
        <v>138</v>
      </c>
      <c r="E113" s="811">
        <v>138</v>
      </c>
      <c r="F113" s="645">
        <f t="shared" si="49"/>
        <v>0.15681818181818183</v>
      </c>
      <c r="G113" s="1280"/>
      <c r="H113" s="630">
        <v>30</v>
      </c>
      <c r="I113" s="631">
        <v>3.2</v>
      </c>
      <c r="J113" s="627">
        <f t="shared" ref="J113:J118" si="54">INT(H113*I113)</f>
        <v>96</v>
      </c>
      <c r="K113" s="627">
        <v>15</v>
      </c>
      <c r="L113" s="627">
        <f t="shared" si="41"/>
        <v>48</v>
      </c>
      <c r="M113" s="627">
        <f t="shared" si="42"/>
        <v>880</v>
      </c>
      <c r="N113" s="627">
        <f t="shared" si="37"/>
        <v>0</v>
      </c>
      <c r="O113" s="627"/>
      <c r="P113" s="1278"/>
      <c r="Q113" s="779">
        <f t="shared" si="32"/>
        <v>107</v>
      </c>
      <c r="R113" s="662"/>
      <c r="S113" s="632">
        <f t="shared" si="50"/>
        <v>245</v>
      </c>
      <c r="T113" s="627"/>
      <c r="U113" s="632">
        <f t="shared" si="39"/>
        <v>635</v>
      </c>
      <c r="V113" s="843"/>
      <c r="W113" s="637">
        <f t="shared" si="53"/>
        <v>0.27840909090909088</v>
      </c>
      <c r="X113" s="1350"/>
      <c r="Y113" s="276"/>
      <c r="Z113" s="1353"/>
      <c r="AA113" s="247"/>
      <c r="AB113" s="420"/>
      <c r="AC113" s="423"/>
      <c r="AD113" s="499" t="s">
        <v>221</v>
      </c>
      <c r="AE113" s="500">
        <v>107</v>
      </c>
      <c r="AF113" s="242"/>
      <c r="AG113" s="241"/>
      <c r="AH113" s="242"/>
      <c r="AI113" s="241"/>
      <c r="AJ113" s="242"/>
      <c r="AK113" s="241"/>
      <c r="AL113" s="242"/>
      <c r="AM113" s="241"/>
      <c r="AN113" s="242"/>
      <c r="AO113" s="241"/>
      <c r="AP113" s="242"/>
      <c r="AQ113" s="241"/>
      <c r="AR113" s="242"/>
      <c r="AS113" s="241"/>
      <c r="AT113" s="242"/>
      <c r="AU113" s="241"/>
      <c r="AV113" s="242"/>
      <c r="AW113" s="241"/>
      <c r="AX113" s="242"/>
      <c r="AY113" s="241"/>
      <c r="AZ113" s="242"/>
      <c r="BA113" s="241"/>
      <c r="BB113" s="242"/>
      <c r="BC113" s="241"/>
      <c r="BD113" s="242"/>
      <c r="BE113" s="241"/>
      <c r="BF113" s="242"/>
      <c r="BG113" s="243"/>
    </row>
    <row r="114" spans="1:59" ht="13.15">
      <c r="A114" s="609" t="s">
        <v>223</v>
      </c>
      <c r="B114" s="610" t="s">
        <v>224</v>
      </c>
      <c r="C114" s="611" t="s">
        <v>190</v>
      </c>
      <c r="D114" s="1068">
        <v>392</v>
      </c>
      <c r="E114" s="1068">
        <v>390</v>
      </c>
      <c r="F114" s="641">
        <f t="shared" si="49"/>
        <v>0.37320574162679426</v>
      </c>
      <c r="G114" s="1279">
        <f>SUM(E114:E115)*54.5/1000</f>
        <v>44.253999999999998</v>
      </c>
      <c r="H114" s="613">
        <v>36</v>
      </c>
      <c r="I114" s="614">
        <v>3.2</v>
      </c>
      <c r="J114" s="615">
        <f t="shared" si="54"/>
        <v>115</v>
      </c>
      <c r="K114" s="610">
        <v>18</v>
      </c>
      <c r="L114" s="610">
        <f t="shared" si="41"/>
        <v>57</v>
      </c>
      <c r="M114" s="610">
        <f t="shared" si="42"/>
        <v>1045</v>
      </c>
      <c r="N114" s="610">
        <f t="shared" si="37"/>
        <v>0</v>
      </c>
      <c r="O114" s="610"/>
      <c r="P114" s="1277">
        <f>SUM(N114:N115)*54.5/1000</f>
        <v>0</v>
      </c>
      <c r="Q114" s="709">
        <f t="shared" si="32"/>
        <v>0</v>
      </c>
      <c r="R114" s="793">
        <f>SUM(Q114:Q115)*54.5/1000</f>
        <v>0</v>
      </c>
      <c r="S114" s="615">
        <f t="shared" si="50"/>
        <v>390</v>
      </c>
      <c r="T114" s="610"/>
      <c r="U114" s="615">
        <f t="shared" si="39"/>
        <v>655</v>
      </c>
      <c r="V114" s="842"/>
      <c r="W114" s="636">
        <f t="shared" si="53"/>
        <v>0.37320574162679426</v>
      </c>
      <c r="X114" s="1351"/>
      <c r="Y114" s="278"/>
      <c r="Z114" s="1354"/>
      <c r="AA114" s="325"/>
      <c r="AB114" s="419"/>
      <c r="AC114" s="424"/>
      <c r="AD114" s="222"/>
      <c r="AE114" s="221"/>
      <c r="AF114" s="488"/>
      <c r="AG114" s="490"/>
      <c r="AH114" s="222"/>
      <c r="AI114" s="221"/>
      <c r="AJ114" s="233"/>
      <c r="AK114" s="891"/>
      <c r="AL114" s="222"/>
      <c r="AM114" s="221"/>
      <c r="AN114" s="222"/>
      <c r="AO114" s="221"/>
      <c r="AP114" s="222"/>
      <c r="AQ114" s="221"/>
      <c r="AR114" s="233"/>
      <c r="AS114" s="221"/>
      <c r="AT114" s="222"/>
      <c r="AU114" s="221"/>
      <c r="AV114" s="222"/>
      <c r="AW114" s="221"/>
      <c r="AX114" s="222"/>
      <c r="AY114" s="221"/>
      <c r="AZ114" s="222"/>
      <c r="BA114" s="221"/>
      <c r="BB114" s="222"/>
      <c r="BC114" s="221"/>
      <c r="BD114" s="222"/>
      <c r="BE114" s="221"/>
      <c r="BF114" s="222"/>
      <c r="BG114" s="223"/>
    </row>
    <row r="115" spans="1:59" ht="13.15">
      <c r="A115" s="626" t="s">
        <v>223</v>
      </c>
      <c r="B115" s="627" t="s">
        <v>225</v>
      </c>
      <c r="C115" s="628" t="s">
        <v>190</v>
      </c>
      <c r="D115" s="811">
        <v>418</v>
      </c>
      <c r="E115" s="811">
        <v>422</v>
      </c>
      <c r="F115" s="645">
        <f t="shared" si="49"/>
        <v>0.40382775119617226</v>
      </c>
      <c r="G115" s="1280"/>
      <c r="H115" s="630">
        <v>36</v>
      </c>
      <c r="I115" s="631">
        <v>3.2</v>
      </c>
      <c r="J115" s="627">
        <f t="shared" si="54"/>
        <v>115</v>
      </c>
      <c r="K115" s="627">
        <v>18</v>
      </c>
      <c r="L115" s="627">
        <f t="shared" si="41"/>
        <v>57</v>
      </c>
      <c r="M115" s="627">
        <f t="shared" si="42"/>
        <v>1045</v>
      </c>
      <c r="N115" s="627">
        <f t="shared" si="37"/>
        <v>0</v>
      </c>
      <c r="O115" s="627"/>
      <c r="P115" s="1278"/>
      <c r="Q115" s="779">
        <f t="shared" si="32"/>
        <v>0</v>
      </c>
      <c r="R115" s="662"/>
      <c r="S115" s="632">
        <f t="shared" si="50"/>
        <v>422</v>
      </c>
      <c r="T115" s="627"/>
      <c r="U115" s="632">
        <f t="shared" si="39"/>
        <v>623</v>
      </c>
      <c r="V115" s="843"/>
      <c r="W115" s="637">
        <f t="shared" si="53"/>
        <v>0.40382775119617226</v>
      </c>
      <c r="X115" s="1350"/>
      <c r="Y115" s="272"/>
      <c r="Z115" s="1355"/>
      <c r="AA115" s="272"/>
      <c r="AB115" s="415"/>
      <c r="AC115" s="422"/>
      <c r="AD115" s="233"/>
      <c r="AE115" s="232"/>
      <c r="AF115" s="487"/>
      <c r="AG115" s="489"/>
      <c r="AH115" s="233"/>
      <c r="AI115" s="232"/>
      <c r="AJ115" s="233"/>
      <c r="AK115" s="892"/>
      <c r="AL115" s="233"/>
      <c r="AM115" s="232"/>
      <c r="AN115" s="233"/>
      <c r="AO115" s="232"/>
      <c r="AP115" s="233"/>
      <c r="AQ115" s="232"/>
      <c r="AR115" s="233"/>
      <c r="AS115" s="232"/>
      <c r="AT115" s="233"/>
      <c r="AU115" s="232"/>
      <c r="AV115" s="233"/>
      <c r="AW115" s="232"/>
      <c r="AX115" s="233"/>
      <c r="AY115" s="232"/>
      <c r="AZ115" s="233"/>
      <c r="BA115" s="232"/>
      <c r="BB115" s="233"/>
      <c r="BC115" s="232"/>
      <c r="BD115" s="233"/>
      <c r="BE115" s="232"/>
      <c r="BF115" s="233"/>
      <c r="BG115" s="234"/>
    </row>
    <row r="116" spans="1:59" ht="15" customHeight="1">
      <c r="A116" s="609" t="s">
        <v>226</v>
      </c>
      <c r="B116" s="610" t="s">
        <v>227</v>
      </c>
      <c r="C116" s="611" t="s">
        <v>190</v>
      </c>
      <c r="D116" s="808">
        <v>208</v>
      </c>
      <c r="E116" s="808">
        <v>208</v>
      </c>
      <c r="F116" s="646">
        <f t="shared" si="49"/>
        <v>0.40545808966861596</v>
      </c>
      <c r="G116" s="1279">
        <f>SUM(E116:E118)*54.5/1000</f>
        <v>39.567</v>
      </c>
      <c r="H116" s="613">
        <v>18</v>
      </c>
      <c r="I116" s="614">
        <v>3.2</v>
      </c>
      <c r="J116" s="610">
        <f t="shared" si="54"/>
        <v>57</v>
      </c>
      <c r="K116" s="610">
        <v>9</v>
      </c>
      <c r="L116" s="610">
        <f t="shared" si="41"/>
        <v>28</v>
      </c>
      <c r="M116" s="610">
        <f t="shared" si="42"/>
        <v>513</v>
      </c>
      <c r="N116" s="610">
        <f t="shared" si="37"/>
        <v>0</v>
      </c>
      <c r="O116" s="610"/>
      <c r="P116" s="1277">
        <f>SUM(N116:N118)*54.5/1000</f>
        <v>0</v>
      </c>
      <c r="Q116" s="780">
        <f t="shared" si="32"/>
        <v>5</v>
      </c>
      <c r="R116" s="793">
        <f>SUM(Q116:Q118)*54.5/1000</f>
        <v>0.54500000000000004</v>
      </c>
      <c r="S116" s="615">
        <f t="shared" si="50"/>
        <v>213</v>
      </c>
      <c r="T116" s="610"/>
      <c r="U116" s="615">
        <f t="shared" si="39"/>
        <v>300</v>
      </c>
      <c r="V116" s="842"/>
      <c r="W116" s="616">
        <f t="shared" si="53"/>
        <v>0.41520467836257308</v>
      </c>
      <c r="X116" s="570"/>
      <c r="Y116" s="245"/>
      <c r="Z116" s="1352"/>
      <c r="AA116" s="272"/>
      <c r="AB116" s="942"/>
      <c r="AC116" s="943"/>
      <c r="AD116" s="944" t="s">
        <v>41</v>
      </c>
      <c r="AE116" s="945">
        <v>5</v>
      </c>
      <c r="AF116" s="944"/>
      <c r="AG116" s="945"/>
      <c r="AH116" s="944"/>
      <c r="AI116" s="945"/>
      <c r="AJ116" s="944"/>
      <c r="AK116" s="945"/>
      <c r="AL116" s="944"/>
      <c r="AM116" s="945"/>
      <c r="AN116" s="944"/>
      <c r="AO116" s="945"/>
      <c r="AP116" s="944"/>
      <c r="AQ116" s="945"/>
      <c r="AR116" s="944"/>
      <c r="AS116" s="945"/>
      <c r="AT116" s="944"/>
      <c r="AU116" s="945"/>
      <c r="AV116" s="944"/>
      <c r="AW116" s="945"/>
      <c r="AX116" s="944"/>
      <c r="AY116" s="945"/>
      <c r="AZ116" s="944"/>
      <c r="BA116" s="945"/>
      <c r="BB116" s="944"/>
      <c r="BC116" s="945"/>
      <c r="BD116" s="944"/>
      <c r="BE116" s="945"/>
      <c r="BF116" s="944"/>
      <c r="BG116" s="946"/>
    </row>
    <row r="117" spans="1:59" ht="13.15">
      <c r="A117" s="634" t="s">
        <v>226</v>
      </c>
      <c r="B117" s="603" t="s">
        <v>228</v>
      </c>
      <c r="C117" s="604" t="s">
        <v>190</v>
      </c>
      <c r="D117" s="809">
        <v>156</v>
      </c>
      <c r="E117" s="809">
        <v>156</v>
      </c>
      <c r="F117" s="640">
        <f t="shared" si="49"/>
        <v>0.30409356725146197</v>
      </c>
      <c r="G117" s="1281"/>
      <c r="H117" s="605">
        <v>18</v>
      </c>
      <c r="I117" s="606">
        <v>3.2</v>
      </c>
      <c r="J117" s="603">
        <f t="shared" si="54"/>
        <v>57</v>
      </c>
      <c r="K117" s="603">
        <v>9</v>
      </c>
      <c r="L117" s="603">
        <f t="shared" si="41"/>
        <v>28</v>
      </c>
      <c r="M117" s="603">
        <f t="shared" si="42"/>
        <v>513</v>
      </c>
      <c r="N117" s="603">
        <f t="shared" si="37"/>
        <v>0</v>
      </c>
      <c r="O117" s="603"/>
      <c r="P117" s="1283"/>
      <c r="Q117" s="778">
        <f t="shared" si="32"/>
        <v>5</v>
      </c>
      <c r="R117" s="794"/>
      <c r="S117" s="607">
        <f t="shared" si="50"/>
        <v>161</v>
      </c>
      <c r="T117" s="603"/>
      <c r="U117" s="607">
        <f t="shared" si="39"/>
        <v>352</v>
      </c>
      <c r="V117" s="844"/>
      <c r="W117" s="635">
        <f t="shared" si="53"/>
        <v>0.31384015594541909</v>
      </c>
      <c r="X117" s="570"/>
      <c r="Z117" s="1358"/>
      <c r="AA117" s="272"/>
      <c r="AB117" s="947"/>
      <c r="AC117" s="422"/>
      <c r="AD117" s="233" t="s">
        <v>41</v>
      </c>
      <c r="AE117" s="232">
        <v>5</v>
      </c>
      <c r="AF117" s="233"/>
      <c r="AG117" s="892"/>
      <c r="AH117" s="948"/>
      <c r="AI117" s="892"/>
      <c r="AJ117" s="233"/>
      <c r="AK117" s="232"/>
      <c r="AL117" s="233"/>
      <c r="AM117" s="232"/>
      <c r="AN117" s="233"/>
      <c r="AO117" s="232"/>
      <c r="AP117" s="233"/>
      <c r="AQ117" s="232"/>
      <c r="AR117" s="233"/>
      <c r="AS117" s="232"/>
      <c r="AT117" s="233"/>
      <c r="AU117" s="232"/>
      <c r="AV117" s="233"/>
      <c r="AW117" s="232"/>
      <c r="AX117" s="233"/>
      <c r="AY117" s="232"/>
      <c r="AZ117" s="233"/>
      <c r="BA117" s="232"/>
      <c r="BB117" s="233"/>
      <c r="BC117" s="232"/>
      <c r="BD117" s="233"/>
      <c r="BE117" s="232"/>
      <c r="BF117" s="233"/>
      <c r="BG117" s="949"/>
    </row>
    <row r="118" spans="1:59" ht="13.15">
      <c r="A118" s="617" t="s">
        <v>226</v>
      </c>
      <c r="B118" s="618" t="s">
        <v>229</v>
      </c>
      <c r="C118" s="619" t="s">
        <v>190</v>
      </c>
      <c r="D118" s="623">
        <v>362</v>
      </c>
      <c r="E118" s="623">
        <v>362</v>
      </c>
      <c r="F118" s="620">
        <f t="shared" si="49"/>
        <v>0.70565302144249509</v>
      </c>
      <c r="G118" s="1282"/>
      <c r="H118" s="621">
        <v>18</v>
      </c>
      <c r="I118" s="622">
        <v>3.2</v>
      </c>
      <c r="J118" s="618">
        <f t="shared" si="54"/>
        <v>57</v>
      </c>
      <c r="K118" s="618">
        <v>9</v>
      </c>
      <c r="L118" s="618">
        <f t="shared" si="41"/>
        <v>28</v>
      </c>
      <c r="M118" s="618">
        <f t="shared" si="42"/>
        <v>513</v>
      </c>
      <c r="N118" s="618">
        <f t="shared" si="37"/>
        <v>0</v>
      </c>
      <c r="O118" s="618"/>
      <c r="P118" s="1284"/>
      <c r="Q118" s="779">
        <f t="shared" si="32"/>
        <v>0</v>
      </c>
      <c r="R118" s="663"/>
      <c r="S118" s="623">
        <f t="shared" si="50"/>
        <v>362</v>
      </c>
      <c r="T118" s="618"/>
      <c r="U118" s="623">
        <f t="shared" si="39"/>
        <v>151</v>
      </c>
      <c r="V118" s="845"/>
      <c r="W118" s="625">
        <f t="shared" si="53"/>
        <v>0.70565302144249509</v>
      </c>
      <c r="X118" s="571"/>
      <c r="Y118" s="256"/>
      <c r="Z118" s="1353"/>
      <c r="AA118" s="272"/>
      <c r="AB118" s="950"/>
      <c r="AC118" s="951"/>
      <c r="AD118" s="784"/>
      <c r="AE118" s="952"/>
      <c r="AF118" s="784"/>
      <c r="AG118" s="953"/>
      <c r="AH118" s="784"/>
      <c r="AI118" s="953"/>
      <c r="AJ118" s="784"/>
      <c r="AK118" s="953"/>
      <c r="AL118" s="784"/>
      <c r="AM118" s="953"/>
      <c r="AN118" s="784"/>
      <c r="AO118" s="953"/>
      <c r="AP118" s="784"/>
      <c r="AQ118" s="953"/>
      <c r="AR118" s="784"/>
      <c r="AS118" s="953"/>
      <c r="AT118" s="784"/>
      <c r="AU118" s="953"/>
      <c r="AV118" s="784"/>
      <c r="AW118" s="953"/>
      <c r="AX118" s="784"/>
      <c r="AY118" s="953"/>
      <c r="AZ118" s="784"/>
      <c r="BA118" s="953"/>
      <c r="BB118" s="784"/>
      <c r="BC118" s="953"/>
      <c r="BD118" s="784"/>
      <c r="BE118" s="953"/>
      <c r="BF118" s="784"/>
      <c r="BG118" s="954"/>
    </row>
    <row r="119" spans="1:59" ht="13.15">
      <c r="AR119" s="519"/>
    </row>
    <row r="120" spans="1:59" ht="13.35" customHeight="1">
      <c r="F120" s="579"/>
      <c r="G120" s="579"/>
      <c r="H120" s="579"/>
      <c r="I120" s="579"/>
      <c r="J120" s="579"/>
      <c r="K120" s="579"/>
      <c r="L120" s="579"/>
      <c r="M120" s="579"/>
      <c r="N120" s="579"/>
      <c r="O120" s="579"/>
      <c r="P120" s="579"/>
      <c r="Q120" s="579"/>
      <c r="R120" s="647"/>
      <c r="S120" s="923"/>
      <c r="T120" s="647"/>
      <c r="AW120" s="782"/>
    </row>
    <row r="121" spans="1:59" ht="13.35" customHeight="1">
      <c r="F121" s="757"/>
      <c r="G121" s="758"/>
      <c r="H121" s="198"/>
      <c r="I121" s="198"/>
      <c r="J121" s="198"/>
      <c r="K121" s="198"/>
      <c r="O121" s="483"/>
      <c r="P121" s="759"/>
      <c r="R121" s="759"/>
      <c r="AB121" s="519"/>
      <c r="AC121" s="477"/>
      <c r="AD121" s="519"/>
      <c r="AE121" s="477"/>
      <c r="AF121" s="519"/>
      <c r="AG121" s="477"/>
      <c r="AH121" s="519"/>
      <c r="AI121" s="477"/>
      <c r="AJ121" s="519"/>
      <c r="AK121" s="760"/>
      <c r="AL121" s="519"/>
      <c r="AM121" s="477"/>
      <c r="AN121" s="519"/>
      <c r="AO121" s="519"/>
      <c r="AP121" s="519"/>
      <c r="AQ121" s="477"/>
      <c r="AR121" s="519"/>
      <c r="AS121" s="477"/>
      <c r="AT121" s="519"/>
      <c r="AU121" s="477"/>
      <c r="AV121" s="519"/>
      <c r="AW121" s="477"/>
      <c r="AX121" s="519"/>
      <c r="AY121" s="477"/>
      <c r="AZ121" s="519"/>
      <c r="BA121" s="477"/>
      <c r="BB121" s="519"/>
      <c r="BC121" s="477"/>
      <c r="BD121" s="519"/>
      <c r="BE121" s="477"/>
      <c r="BF121" s="519"/>
      <c r="BG121" s="477"/>
    </row>
    <row r="122" spans="1:59" ht="13.15">
      <c r="H122" s="198"/>
      <c r="I122" s="198"/>
      <c r="J122" s="198"/>
      <c r="K122" s="198"/>
    </row>
    <row r="123" spans="1:59" ht="15" customHeight="1">
      <c r="B123" s="1270" t="s">
        <v>230</v>
      </c>
      <c r="C123" s="1271"/>
      <c r="D123" s="1271"/>
      <c r="E123" s="1271"/>
      <c r="F123" s="1271"/>
      <c r="G123" s="1272"/>
      <c r="H123" s="1273" t="s">
        <v>231</v>
      </c>
      <c r="I123" s="1273"/>
      <c r="J123" s="1273"/>
      <c r="K123" s="1273"/>
      <c r="W123" s="579"/>
      <c r="X123" s="579"/>
      <c r="Y123" s="579"/>
      <c r="Z123" s="579"/>
    </row>
    <row r="124" spans="1:59" ht="13.35" customHeight="1">
      <c r="B124" s="1274" t="s">
        <v>232</v>
      </c>
      <c r="C124" s="1274" t="s">
        <v>233</v>
      </c>
      <c r="D124" s="787"/>
      <c r="E124" s="1267" t="s">
        <v>234</v>
      </c>
      <c r="F124" s="1268"/>
      <c r="G124" s="1269"/>
      <c r="H124" s="1274" t="s">
        <v>235</v>
      </c>
      <c r="I124" s="1274" t="s">
        <v>236</v>
      </c>
      <c r="J124" s="1267" t="s">
        <v>234</v>
      </c>
      <c r="K124" s="1269"/>
      <c r="W124" s="295"/>
      <c r="X124" s="295"/>
      <c r="Y124" s="295"/>
      <c r="Z124" s="295"/>
      <c r="AN124" s="212"/>
    </row>
    <row r="125" spans="1:59" ht="13.35" customHeight="1">
      <c r="B125" s="1275"/>
      <c r="C125" s="1275"/>
      <c r="D125" s="287" t="s">
        <v>237</v>
      </c>
      <c r="E125" s="287" t="s">
        <v>237</v>
      </c>
      <c r="F125" s="477"/>
      <c r="G125" s="288" t="s">
        <v>238</v>
      </c>
      <c r="H125" s="1276"/>
      <c r="I125" s="1276"/>
      <c r="J125" s="287" t="s">
        <v>237</v>
      </c>
      <c r="K125" s="288" t="s">
        <v>238</v>
      </c>
    </row>
    <row r="126" spans="1:59" ht="13.15">
      <c r="A126" s="212" t="s">
        <v>190</v>
      </c>
      <c r="B126" s="226">
        <f>COUNTIF(C4:C118,"NetSure")</f>
        <v>23</v>
      </c>
      <c r="C126" s="230">
        <f>SUMIFS(H4:H118,C4:C118,"=NetSure")</f>
        <v>714</v>
      </c>
      <c r="D126" s="226">
        <f>SUMIFS(I4:I118,B4:B118,"=NetSure")</f>
        <v>0</v>
      </c>
      <c r="E126" s="226">
        <f>SUMIFS(J4:J118,C4:C118,"=NetSure")</f>
        <v>2278</v>
      </c>
      <c r="F126" s="226"/>
      <c r="G126" s="226">
        <f>E126/1000</f>
        <v>2.278</v>
      </c>
      <c r="H126" s="226">
        <f>COUNTIF(C4:C93,"Netsure")</f>
        <v>0</v>
      </c>
      <c r="I126" s="226">
        <f>SUMIFS(H4:H93,C4:C93,"=NetSure")</f>
        <v>0</v>
      </c>
      <c r="J126" s="226">
        <f>SUMIFS(J4:J93,C4:C93,"=NetSure")</f>
        <v>0</v>
      </c>
      <c r="K126" s="226">
        <f>J126/1000</f>
        <v>0</v>
      </c>
    </row>
    <row r="127" spans="1:59" ht="13.15">
      <c r="A127" s="212" t="s">
        <v>38</v>
      </c>
      <c r="B127" s="226">
        <f>COUNTIF(C4:C118,"eSure")</f>
        <v>64</v>
      </c>
      <c r="C127" s="226">
        <f>SUMIFS(H4:H118,C4:C118,"=eSure")</f>
        <v>2184</v>
      </c>
      <c r="D127" s="226">
        <f>SUMIFS(I4:I118,B4:B118,"=eSure")</f>
        <v>0</v>
      </c>
      <c r="E127" s="226">
        <f>SUMIFS(J4:J118,C4:C118,"=eSure")</f>
        <v>7643</v>
      </c>
      <c r="F127" s="226"/>
      <c r="G127" s="226">
        <f>E127/1000</f>
        <v>7.6429999999999998</v>
      </c>
      <c r="H127" s="226">
        <f>COUNTIF(C4:C93,"eSure")</f>
        <v>62</v>
      </c>
      <c r="I127" s="226">
        <f>SUMIFS(H4:H93,C4:C93,"=eSure")</f>
        <v>2166</v>
      </c>
      <c r="J127" s="226">
        <f>SUMIFS(J4:J93,C4:C93,"=eSure")</f>
        <v>7581</v>
      </c>
      <c r="K127" s="226">
        <f>J127/1000</f>
        <v>7.5810000000000004</v>
      </c>
    </row>
    <row r="128" spans="1:59" ht="13.15">
      <c r="A128" s="212" t="s">
        <v>103</v>
      </c>
      <c r="B128" s="226">
        <f>COUNTIF(C4:C118,"NPR48-ES")</f>
        <v>10</v>
      </c>
      <c r="C128" s="226">
        <f>SUMIFS(H4:H118,C4:C118,"=NPR48-ES")</f>
        <v>334</v>
      </c>
      <c r="D128" s="226"/>
      <c r="E128" s="226"/>
      <c r="F128" s="226"/>
      <c r="G128" s="226"/>
      <c r="H128" s="197"/>
    </row>
    <row r="129" spans="1:8" ht="13.15">
      <c r="A129" s="212" t="s">
        <v>108</v>
      </c>
      <c r="B129" s="226">
        <f>COUNTIF(C4:C118,"HDR48-ES")</f>
        <v>18</v>
      </c>
      <c r="C129" s="226">
        <f>SUMIFS(H4:H118,C4:C118,"=HDR48-ES")</f>
        <v>782</v>
      </c>
      <c r="D129" s="226"/>
      <c r="E129" s="226"/>
      <c r="F129" s="226"/>
      <c r="G129" s="226"/>
      <c r="H129" s="197"/>
    </row>
    <row r="130" spans="1:8" ht="13.15"/>
    <row r="131" spans="1:8" ht="39.6">
      <c r="A131" s="289" t="s">
        <v>239</v>
      </c>
      <c r="B131" s="290">
        <f>SUM(K126:K127)</f>
        <v>7.5810000000000004</v>
      </c>
    </row>
    <row r="132" spans="1:8" ht="52.9">
      <c r="A132" s="291" t="s">
        <v>240</v>
      </c>
      <c r="B132" s="292">
        <f>K127/B131</f>
        <v>1</v>
      </c>
    </row>
    <row r="133" spans="1:8" ht="39.6">
      <c r="A133" s="291" t="s">
        <v>241</v>
      </c>
      <c r="B133" s="290">
        <f ca="1">(SUM('Battery Log'!R8:'Battery Log'!R97)+42)*330</f>
        <v>265320</v>
      </c>
    </row>
    <row r="134" spans="1:8" ht="13.15">
      <c r="A134" s="293"/>
      <c r="B134" s="294"/>
    </row>
    <row r="135" spans="1:8" ht="52.9">
      <c r="A135" s="291" t="s">
        <v>242</v>
      </c>
      <c r="B135" s="290">
        <f ca="1">SUM('Inverter Loading'!G2:'Inverter Loading'!G40)</f>
        <v>1557.5999999999997</v>
      </c>
    </row>
    <row r="136" spans="1:8" ht="52.9">
      <c r="A136" s="291" t="s">
        <v>243</v>
      </c>
      <c r="B136" s="292">
        <f ca="1">SUMIFS('Inverter Loading'!G2:'Inverter Loading'!G40,'Inverter Loading'!C2:'Inverter Loading'!C40,"=TSI")/B135</f>
        <v>3.8520801232665644E-2</v>
      </c>
    </row>
  </sheetData>
  <autoFilter ref="A3:Z118" xr:uid="{00000000-0009-0000-0000-000000000000}"/>
  <customSheetViews>
    <customSheetView guid="{759D43B0-06FA-4A69-BB8B-D0E660486465}" scale="75" fitToPage="1" printArea="1" showAutoFilter="1" showRuler="0">
      <pane ySplit="4" topLeftCell="A5" activePane="bottomLeft" state="frozen"/>
      <selection pane="bottomLeft" activeCell="L108" sqref="L108"/>
      <pageMargins left="0" right="0" top="0" bottom="0" header="0" footer="0"/>
      <pageSetup paperSize="8" scale="71" orientation="landscape" r:id="rId1"/>
      <headerFooter alignWithMargins="0"/>
      <autoFilter ref="B1:L1" xr:uid="{4D8E91A2-CC38-411E-A49F-72609D5553EA}"/>
    </customSheetView>
  </customSheetViews>
  <mergeCells count="227">
    <mergeCell ref="J1:M1"/>
    <mergeCell ref="X32:X38"/>
    <mergeCell ref="Z32:Z38"/>
    <mergeCell ref="G35:G38"/>
    <mergeCell ref="P35:P38"/>
    <mergeCell ref="R35:R38"/>
    <mergeCell ref="T35:T38"/>
    <mergeCell ref="V35:V38"/>
    <mergeCell ref="X96:X98"/>
    <mergeCell ref="X94:X95"/>
    <mergeCell ref="X85:X88"/>
    <mergeCell ref="G83:G84"/>
    <mergeCell ref="P80:P82"/>
    <mergeCell ref="G75:G79"/>
    <mergeCell ref="P72:P74"/>
    <mergeCell ref="G80:G82"/>
    <mergeCell ref="G67:G71"/>
    <mergeCell ref="P67:P71"/>
    <mergeCell ref="P32:P34"/>
    <mergeCell ref="G39:G41"/>
    <mergeCell ref="G52:G55"/>
    <mergeCell ref="P47:P51"/>
    <mergeCell ref="P52:P55"/>
    <mergeCell ref="G42:G46"/>
    <mergeCell ref="T47:T51"/>
    <mergeCell ref="T52:T55"/>
    <mergeCell ref="V47:V51"/>
    <mergeCell ref="V52:V55"/>
    <mergeCell ref="T56:T58"/>
    <mergeCell ref="T59:T63"/>
    <mergeCell ref="V56:V58"/>
    <mergeCell ref="V59:V63"/>
    <mergeCell ref="T64:T66"/>
    <mergeCell ref="V64:V66"/>
    <mergeCell ref="Z116:Z118"/>
    <mergeCell ref="Z112:Z113"/>
    <mergeCell ref="Z109:Z111"/>
    <mergeCell ref="Z101:Z102"/>
    <mergeCell ref="X112:X113"/>
    <mergeCell ref="Z103:Z104"/>
    <mergeCell ref="X109:X111"/>
    <mergeCell ref="X101:X102"/>
    <mergeCell ref="X114:X115"/>
    <mergeCell ref="Z114:Z115"/>
    <mergeCell ref="G99:G100"/>
    <mergeCell ref="P109:P111"/>
    <mergeCell ref="G107:G108"/>
    <mergeCell ref="G105:G106"/>
    <mergeCell ref="G109:G111"/>
    <mergeCell ref="Z99:Z100"/>
    <mergeCell ref="X99:X100"/>
    <mergeCell ref="G112:G113"/>
    <mergeCell ref="G101:G102"/>
    <mergeCell ref="G103:G104"/>
    <mergeCell ref="P112:P113"/>
    <mergeCell ref="P107:P108"/>
    <mergeCell ref="X105:X106"/>
    <mergeCell ref="X107:X108"/>
    <mergeCell ref="Z105:Z106"/>
    <mergeCell ref="Z107:Z108"/>
    <mergeCell ref="P105:P106"/>
    <mergeCell ref="P103:P104"/>
    <mergeCell ref="P101:P102"/>
    <mergeCell ref="X4:X8"/>
    <mergeCell ref="X9:X16"/>
    <mergeCell ref="X17:X21"/>
    <mergeCell ref="X22:X27"/>
    <mergeCell ref="X28:X31"/>
    <mergeCell ref="R80:R82"/>
    <mergeCell ref="R83:R84"/>
    <mergeCell ref="R39:R41"/>
    <mergeCell ref="R47:R51"/>
    <mergeCell ref="R64:R66"/>
    <mergeCell ref="R56:R58"/>
    <mergeCell ref="R17:R19"/>
    <mergeCell ref="R20:R21"/>
    <mergeCell ref="R67:R71"/>
    <mergeCell ref="X64:X71"/>
    <mergeCell ref="R52:R55"/>
    <mergeCell ref="R28:R29"/>
    <mergeCell ref="X47:X55"/>
    <mergeCell ref="X80:X84"/>
    <mergeCell ref="X39:X46"/>
    <mergeCell ref="R75:R79"/>
    <mergeCell ref="X56:X63"/>
    <mergeCell ref="X72:X79"/>
    <mergeCell ref="R72:R74"/>
    <mergeCell ref="Z89:Z93"/>
    <mergeCell ref="P94:P95"/>
    <mergeCell ref="R89:R91"/>
    <mergeCell ref="R92:R93"/>
    <mergeCell ref="X89:X93"/>
    <mergeCell ref="Z94:Z95"/>
    <mergeCell ref="Z96:Z98"/>
    <mergeCell ref="G89:G91"/>
    <mergeCell ref="G92:G93"/>
    <mergeCell ref="G85:G86"/>
    <mergeCell ref="G87:G88"/>
    <mergeCell ref="P92:P93"/>
    <mergeCell ref="P85:P86"/>
    <mergeCell ref="P87:P88"/>
    <mergeCell ref="P89:P91"/>
    <mergeCell ref="P96:P98"/>
    <mergeCell ref="T89:T91"/>
    <mergeCell ref="T92:T93"/>
    <mergeCell ref="G94:G95"/>
    <mergeCell ref="G96:G98"/>
    <mergeCell ref="R85:R86"/>
    <mergeCell ref="R87:R88"/>
    <mergeCell ref="BL4:BM4"/>
    <mergeCell ref="Z22:Z27"/>
    <mergeCell ref="AA22:AA27"/>
    <mergeCell ref="AA56:AA61"/>
    <mergeCell ref="AA64:AA69"/>
    <mergeCell ref="Z85:Z88"/>
    <mergeCell ref="AA4:AA8"/>
    <mergeCell ref="Z4:Z8"/>
    <mergeCell ref="Z9:Z16"/>
    <mergeCell ref="Z17:Z21"/>
    <mergeCell ref="AA39:AA44"/>
    <mergeCell ref="AA32:AA36"/>
    <mergeCell ref="Z28:Z31"/>
    <mergeCell ref="AA72:AA77"/>
    <mergeCell ref="Z80:Z84"/>
    <mergeCell ref="Z56:Z63"/>
    <mergeCell ref="Z64:Z71"/>
    <mergeCell ref="Z47:Z55"/>
    <mergeCell ref="Z39:Z46"/>
    <mergeCell ref="Z72:Z79"/>
    <mergeCell ref="E124:G124"/>
    <mergeCell ref="B123:G123"/>
    <mergeCell ref="J124:K124"/>
    <mergeCell ref="H123:K123"/>
    <mergeCell ref="B124:B125"/>
    <mergeCell ref="C124:C125"/>
    <mergeCell ref="H124:H125"/>
    <mergeCell ref="I124:I125"/>
    <mergeCell ref="P114:P115"/>
    <mergeCell ref="G114:G115"/>
    <mergeCell ref="G116:G118"/>
    <mergeCell ref="P116:P118"/>
    <mergeCell ref="G72:G74"/>
    <mergeCell ref="P64:P66"/>
    <mergeCell ref="P56:P58"/>
    <mergeCell ref="P83:P84"/>
    <mergeCell ref="G4:G6"/>
    <mergeCell ref="G7:G8"/>
    <mergeCell ref="P4:P6"/>
    <mergeCell ref="P7:P8"/>
    <mergeCell ref="G64:G66"/>
    <mergeCell ref="P30:P31"/>
    <mergeCell ref="G32:G34"/>
    <mergeCell ref="P39:P41"/>
    <mergeCell ref="G28:G29"/>
    <mergeCell ref="P22:P24"/>
    <mergeCell ref="P28:P29"/>
    <mergeCell ref="P42:P46"/>
    <mergeCell ref="P75:P79"/>
    <mergeCell ref="R30:R31"/>
    <mergeCell ref="R42:R46"/>
    <mergeCell ref="G30:G31"/>
    <mergeCell ref="N1:Q1"/>
    <mergeCell ref="P25:P27"/>
    <mergeCell ref="G47:G51"/>
    <mergeCell ref="G59:G63"/>
    <mergeCell ref="P59:P63"/>
    <mergeCell ref="R59:R63"/>
    <mergeCell ref="G9:G12"/>
    <mergeCell ref="G13:G16"/>
    <mergeCell ref="P9:P12"/>
    <mergeCell ref="P13:P16"/>
    <mergeCell ref="R9:R12"/>
    <mergeCell ref="R13:R16"/>
    <mergeCell ref="R32:R34"/>
    <mergeCell ref="G17:G19"/>
    <mergeCell ref="G20:G21"/>
    <mergeCell ref="P17:P19"/>
    <mergeCell ref="P20:P21"/>
    <mergeCell ref="G56:G58"/>
    <mergeCell ref="G22:G24"/>
    <mergeCell ref="G25:G27"/>
    <mergeCell ref="R22:R24"/>
    <mergeCell ref="R25:R27"/>
    <mergeCell ref="R4:R6"/>
    <mergeCell ref="R7:R8"/>
    <mergeCell ref="V4:V6"/>
    <mergeCell ref="V7:V8"/>
    <mergeCell ref="T4:T6"/>
    <mergeCell ref="T7:T8"/>
    <mergeCell ref="T9:T12"/>
    <mergeCell ref="T13:T16"/>
    <mergeCell ref="V9:V12"/>
    <mergeCell ref="V13:V16"/>
    <mergeCell ref="T17:T19"/>
    <mergeCell ref="T20:T21"/>
    <mergeCell ref="V17:V19"/>
    <mergeCell ref="V20:V21"/>
    <mergeCell ref="T22:T24"/>
    <mergeCell ref="T25:T27"/>
    <mergeCell ref="V22:V24"/>
    <mergeCell ref="V25:V27"/>
    <mergeCell ref="T28:T29"/>
    <mergeCell ref="T30:T31"/>
    <mergeCell ref="V28:V29"/>
    <mergeCell ref="V30:V31"/>
    <mergeCell ref="T32:T34"/>
    <mergeCell ref="V32:V34"/>
    <mergeCell ref="T39:T41"/>
    <mergeCell ref="T42:T46"/>
    <mergeCell ref="V39:V41"/>
    <mergeCell ref="V42:V46"/>
    <mergeCell ref="V67:V71"/>
    <mergeCell ref="T87:T88"/>
    <mergeCell ref="V85:V86"/>
    <mergeCell ref="V87:V88"/>
    <mergeCell ref="V89:V91"/>
    <mergeCell ref="V92:V93"/>
    <mergeCell ref="T72:T74"/>
    <mergeCell ref="T75:T79"/>
    <mergeCell ref="V72:V74"/>
    <mergeCell ref="V75:V79"/>
    <mergeCell ref="T80:T82"/>
    <mergeCell ref="T83:T84"/>
    <mergeCell ref="V80:V82"/>
    <mergeCell ref="V83:V84"/>
    <mergeCell ref="T85:T86"/>
    <mergeCell ref="T67:T71"/>
  </mergeCells>
  <phoneticPr fontId="0" type="noConversion"/>
  <conditionalFormatting sqref="F36:F38">
    <cfRule type="cellIs" dxfId="147" priority="5" stopIfTrue="1" operator="lessThanOrEqual">
      <formula>70%</formula>
    </cfRule>
    <cfRule type="cellIs" dxfId="146" priority="6" stopIfTrue="1" operator="between">
      <formula>70%</formula>
      <formula>80%</formula>
    </cfRule>
    <cfRule type="cellIs" dxfId="145" priority="7" stopIfTrue="1" operator="between">
      <formula>80%</formula>
      <formula>90%</formula>
    </cfRule>
  </conditionalFormatting>
  <conditionalFormatting sqref="F37:F38">
    <cfRule type="cellIs" dxfId="144" priority="8" stopIfTrue="1" operator="greaterThanOrEqual">
      <formula>90%</formula>
    </cfRule>
  </conditionalFormatting>
  <conditionalFormatting sqref="F64:G67 F4:G7 F9:G13 F17:G20 F22:G25 F28:G30 F32:G35 F39:G42 F47:G52 F56:G59 F72:G75 F80:G83 F85:G87 F89:G92 W4:X4 Z4:Z32 W5:W8 F8 W9:X9 W10:W16 F14:F16 W17:X17 W18:W21 F21 W22:X22 W23:W27 F26:F27 W28:X28 W29:W31 F31 W32:X32 W33:W38 W39:X39 Z39 W47:X47 Z47:Z56 W48:W55 F53:F55 W56:X56 W57:W63 F60:F63 W64:X64 Z64 W65:W71 F68:F71 W72:X72 Z72 W80:X80 Z80:Z118 W81:W84 F84 W85:X85 W86:W88 F88 W89:X89 W90:W93 F93 W94:X94 F94:G118 W95 W96:X96 W97:W98 W99:X99 W100 W101:X101 W102 W103:X105 W106 W107:X107 W108 W109:X109 W110:W111 W112:X112 W113 W114:X114 W115 W116:X118">
    <cfRule type="cellIs" dxfId="143" priority="85" stopIfTrue="1" operator="lessThanOrEqual">
      <formula>70%</formula>
    </cfRule>
  </conditionalFormatting>
  <conditionalFormatting sqref="G7">
    <cfRule type="cellIs" dxfId="142" priority="78" stopIfTrue="1" operator="greaterThanOrEqual">
      <formula>90%</formula>
    </cfRule>
  </conditionalFormatting>
  <conditionalFormatting sqref="G13">
    <cfRule type="cellIs" dxfId="141" priority="77" stopIfTrue="1" operator="greaterThanOrEqual">
      <formula>90%</formula>
    </cfRule>
  </conditionalFormatting>
  <conditionalFormatting sqref="G20">
    <cfRule type="cellIs" dxfId="140" priority="76" stopIfTrue="1" operator="greaterThanOrEqual">
      <formula>90%</formula>
    </cfRule>
  </conditionalFormatting>
  <conditionalFormatting sqref="G25">
    <cfRule type="cellIs" dxfId="139" priority="75" stopIfTrue="1" operator="greaterThanOrEqual">
      <formula>90%</formula>
    </cfRule>
  </conditionalFormatting>
  <conditionalFormatting sqref="G30">
    <cfRule type="cellIs" dxfId="138" priority="74" stopIfTrue="1" operator="greaterThanOrEqual">
      <formula>90%</formula>
    </cfRule>
  </conditionalFormatting>
  <conditionalFormatting sqref="G35">
    <cfRule type="cellIs" dxfId="137" priority="73" stopIfTrue="1" operator="greaterThanOrEqual">
      <formula>90%</formula>
    </cfRule>
  </conditionalFormatting>
  <conditionalFormatting sqref="G42">
    <cfRule type="cellIs" dxfId="136" priority="72" stopIfTrue="1" operator="greaterThanOrEqual">
      <formula>90%</formula>
    </cfRule>
  </conditionalFormatting>
  <conditionalFormatting sqref="G52">
    <cfRule type="cellIs" dxfId="135" priority="71" stopIfTrue="1" operator="greaterThanOrEqual">
      <formula>90%</formula>
    </cfRule>
  </conditionalFormatting>
  <conditionalFormatting sqref="G59">
    <cfRule type="cellIs" dxfId="134" priority="70" stopIfTrue="1" operator="greaterThanOrEqual">
      <formula>90%</formula>
    </cfRule>
  </conditionalFormatting>
  <conditionalFormatting sqref="G67">
    <cfRule type="cellIs" dxfId="133" priority="79" stopIfTrue="1" operator="greaterThanOrEqual">
      <formula>90%</formula>
    </cfRule>
  </conditionalFormatting>
  <conditionalFormatting sqref="G75">
    <cfRule type="cellIs" dxfId="132" priority="69" stopIfTrue="1" operator="greaterThanOrEqual">
      <formula>90%</formula>
    </cfRule>
  </conditionalFormatting>
  <conditionalFormatting sqref="G83">
    <cfRule type="cellIs" dxfId="131" priority="68" stopIfTrue="1" operator="greaterThanOrEqual">
      <formula>90%</formula>
    </cfRule>
  </conditionalFormatting>
  <conditionalFormatting sqref="G87">
    <cfRule type="cellIs" dxfId="130" priority="67" stopIfTrue="1" operator="greaterThanOrEqual">
      <formula>90%</formula>
    </cfRule>
  </conditionalFormatting>
  <conditionalFormatting sqref="G92">
    <cfRule type="cellIs" dxfId="129" priority="66" stopIfTrue="1" operator="greaterThanOrEqual">
      <formula>90%</formula>
    </cfRule>
  </conditionalFormatting>
  <conditionalFormatting sqref="O4:O118">
    <cfRule type="cellIs" dxfId="128" priority="1" stopIfTrue="1" operator="lessThanOrEqual">
      <formula>70%</formula>
    </cfRule>
    <cfRule type="cellIs" dxfId="127" priority="2" stopIfTrue="1" operator="between">
      <formula>70%</formula>
      <formula>80%</formula>
    </cfRule>
    <cfRule type="cellIs" dxfId="126" priority="3" stopIfTrue="1" operator="between">
      <formula>80%</formula>
      <formula>90%</formula>
    </cfRule>
    <cfRule type="cellIs" dxfId="125" priority="4" stopIfTrue="1" operator="greaterThanOrEqual">
      <formula>90%</formula>
    </cfRule>
  </conditionalFormatting>
  <conditionalFormatting sqref="V7:V8">
    <cfRule type="cellIs" dxfId="124" priority="26" operator="lessThanOrEqual">
      <formula>20%</formula>
    </cfRule>
  </conditionalFormatting>
  <conditionalFormatting sqref="V13">
    <cfRule type="cellIs" dxfId="123" priority="25" operator="lessThanOrEqual">
      <formula>0.2</formula>
    </cfRule>
  </conditionalFormatting>
  <conditionalFormatting sqref="V20:V21">
    <cfRule type="cellIs" dxfId="122" priority="24" operator="lessThanOrEqual">
      <formula>0.2</formula>
    </cfRule>
  </conditionalFormatting>
  <conditionalFormatting sqref="V25:V27">
    <cfRule type="cellIs" dxfId="121" priority="23" operator="lessThanOrEqual">
      <formula>0.2</formula>
    </cfRule>
  </conditionalFormatting>
  <conditionalFormatting sqref="V30">
    <cfRule type="cellIs" dxfId="120" priority="22" operator="lessThanOrEqual">
      <formula>0.2</formula>
    </cfRule>
  </conditionalFormatting>
  <conditionalFormatting sqref="V35">
    <cfRule type="cellIs" dxfId="119" priority="21" operator="lessThanOrEqual">
      <formula>0.2</formula>
    </cfRule>
  </conditionalFormatting>
  <conditionalFormatting sqref="V42">
    <cfRule type="cellIs" dxfId="118" priority="20" operator="lessThanOrEqual">
      <formula>0.2</formula>
    </cfRule>
  </conditionalFormatting>
  <conditionalFormatting sqref="V52">
    <cfRule type="cellIs" dxfId="117" priority="19" operator="lessThanOrEqual">
      <formula>0.2</formula>
    </cfRule>
  </conditionalFormatting>
  <conditionalFormatting sqref="V59">
    <cfRule type="cellIs" dxfId="116" priority="18" operator="lessThanOrEqual">
      <formula>0.2</formula>
    </cfRule>
  </conditionalFormatting>
  <conditionalFormatting sqref="V67">
    <cfRule type="cellIs" dxfId="115" priority="17" operator="lessThanOrEqual">
      <formula>0.2</formula>
    </cfRule>
  </conditionalFormatting>
  <conditionalFormatting sqref="V75">
    <cfRule type="cellIs" dxfId="114" priority="16" operator="lessThanOrEqual">
      <formula>0.2</formula>
    </cfRule>
  </conditionalFormatting>
  <conditionalFormatting sqref="V83">
    <cfRule type="cellIs" dxfId="113" priority="15" operator="lessThanOrEqual">
      <formula>0.2</formula>
    </cfRule>
  </conditionalFormatting>
  <conditionalFormatting sqref="V87">
    <cfRule type="cellIs" dxfId="112" priority="14" operator="lessThanOrEqual">
      <formula>0.2</formula>
    </cfRule>
  </conditionalFormatting>
  <conditionalFormatting sqref="V92">
    <cfRule type="cellIs" dxfId="111" priority="13" operator="lessThanOrEqual">
      <formula>0.2</formula>
    </cfRule>
  </conditionalFormatting>
  <conditionalFormatting sqref="W40:W46 F43:F46">
    <cfRule type="cellIs" dxfId="110" priority="31" stopIfTrue="1" operator="lessThanOrEqual">
      <formula>70%</formula>
    </cfRule>
    <cfRule type="cellIs" dxfId="109" priority="32" stopIfTrue="1" operator="between">
      <formula>70%</formula>
      <formula>80%</formula>
    </cfRule>
    <cfRule type="cellIs" dxfId="108" priority="33" stopIfTrue="1" operator="between">
      <formula>80%</formula>
      <formula>90%</formula>
    </cfRule>
  </conditionalFormatting>
  <conditionalFormatting sqref="W40:W46 F45:F46">
    <cfRule type="cellIs" dxfId="107" priority="34" stopIfTrue="1" operator="greaterThanOrEqual">
      <formula>90%</formula>
    </cfRule>
  </conditionalFormatting>
  <conditionalFormatting sqref="W73:W79 F76:F79">
    <cfRule type="cellIs" dxfId="106" priority="27" stopIfTrue="1" operator="lessThanOrEqual">
      <formula>70%</formula>
    </cfRule>
    <cfRule type="cellIs" dxfId="105" priority="28" stopIfTrue="1" operator="between">
      <formula>70%</formula>
      <formula>80%</formula>
    </cfRule>
    <cfRule type="cellIs" dxfId="104" priority="29" stopIfTrue="1" operator="between">
      <formula>80%</formula>
      <formula>90%</formula>
    </cfRule>
  </conditionalFormatting>
  <conditionalFormatting sqref="W73:W79 F78:F79">
    <cfRule type="cellIs" dxfId="103" priority="30" stopIfTrue="1" operator="greaterThanOrEqual">
      <formula>90%</formula>
    </cfRule>
  </conditionalFormatting>
  <conditionalFormatting sqref="W4:X4 F4:G7 Z4:Z32 W5:W8 F8 W9:X9 F9:G13 W10:W16 F14:F16 W17:X17 F17:G20 W18:W21 F21 W22:X22 F22:G25 W23:W27 F26:F27 W28:X28 F28:G30 W29:W31 F31 W32:X32 F32:G35 W33:W38 W39:X39 Z39 F39:G42 W47:X47 F47:G52 Z47:Z56 W48:W55 F53:F55 W56:X56 F56:G59 W57:W63 F60:F63 W64:X64 Z64 F64:G67 W65:W71 F68:F71 W72:X72 Z72 F72:G75 W80:X80 F80:G83 Z80:Z118 W81:W84 F84 W85:X85 F85:G87 W86:W88 F88 W89:X89 F89:G92 W90:W93 F93 W94:X94 F94:G118 W95 W96:X96 W97:W98 W99:X99 W100 W101:X101 W102 W103:X105 W106 W107:X107 W108 W109:X109 W110:W111 W112:X112 W113 W114:X114 W115 W116:X118">
    <cfRule type="cellIs" dxfId="102" priority="86" stopIfTrue="1" operator="between">
      <formula>70%</formula>
      <formula>80%</formula>
    </cfRule>
    <cfRule type="cellIs" dxfId="101" priority="87" stopIfTrue="1" operator="between">
      <formula>80%</formula>
      <formula>90%</formula>
    </cfRule>
  </conditionalFormatting>
  <conditionalFormatting sqref="W4:X4 Z4:Z32 F4:F36 W5:W8 W9:X9 W10:W16 W17:X17 W18:W21 W22:X22 W23:W27 W28:X28 W29:W31 W32:X32 W33:W38 W39:X39 Z39 F39:F44 W47:X47 Z47:Z56 F47:F77 W48:W55 W56:X56 W57:W63 W64:X64 Z64 W65:W71 W72:X72 Z72 W80:X80 F80:F118 Z80:Z118 W81:W84 W85:X85 W86:W88 W89:X89 W90:W93 W94:X94 W95 W96:X96 W97:W98 W99:X99 W100 W101:X101 W102 W103:X105 W106 W107:X107 W108 W109:X109 W110:W111 W112:X112 W113 W114:X114 W115 W116:X118">
    <cfRule type="cellIs" dxfId="100" priority="88" stopIfTrue="1" operator="greaterThanOrEqual">
      <formula>90%</formula>
    </cfRule>
  </conditionalFormatting>
  <dataValidations count="1">
    <dataValidation type="list" allowBlank="1" showInputMessage="1" showErrorMessage="1" sqref="C80:C118 C39:C44 C4:C36 C47:C77" xr:uid="{00000000-0002-0000-0000-000000000000}">
      <formula1>PowerElementType</formula1>
    </dataValidation>
  </dataValidations>
  <pageMargins left="0.75" right="0.75" top="1" bottom="1" header="0.5" footer="0.5"/>
  <pageSetup paperSize="8" orientation="landscape" r:id="rId2"/>
  <headerFooter alignWithMargins="0">
    <oddFooter>&amp;L&amp;1#&amp;"Calibri"&amp;7&amp;K000000C2 General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9"/>
  <sheetViews>
    <sheetView zoomScale="120" zoomScaleNormal="120" workbookViewId="0">
      <selection activeCell="E16" sqref="E16"/>
    </sheetView>
  </sheetViews>
  <sheetFormatPr defaultColWidth="10.6640625" defaultRowHeight="15"/>
  <cols>
    <col min="1" max="1" width="17" style="565" bestFit="1" customWidth="1"/>
    <col min="2" max="2" width="37.83203125" style="566" bestFit="1" customWidth="1"/>
    <col min="3" max="3" width="27.5" style="567" bestFit="1" customWidth="1"/>
    <col min="4" max="4" width="24.33203125" style="565" bestFit="1" customWidth="1"/>
    <col min="5" max="5" width="43.1640625" style="567" bestFit="1" customWidth="1"/>
    <col min="6" max="6" width="22.33203125" style="565" bestFit="1" customWidth="1"/>
    <col min="7" max="7" width="32.5" style="565" bestFit="1" customWidth="1"/>
    <col min="8" max="8" width="55.5" style="565" bestFit="1" customWidth="1"/>
    <col min="9" max="9" width="50.83203125" style="565" bestFit="1" customWidth="1"/>
    <col min="10" max="10" width="37.5" style="565" bestFit="1" customWidth="1"/>
    <col min="11" max="11" width="20.5" style="565" bestFit="1" customWidth="1"/>
    <col min="12" max="16384" width="10.6640625" style="565"/>
  </cols>
  <sheetData>
    <row r="2" spans="1:9">
      <c r="A2" s="1016" t="s">
        <v>7</v>
      </c>
      <c r="B2" s="566" t="s">
        <v>244</v>
      </c>
    </row>
    <row r="4" spans="1:9">
      <c r="A4" s="1016" t="s">
        <v>245</v>
      </c>
      <c r="B4" s="565" t="s">
        <v>246</v>
      </c>
      <c r="C4" s="565" t="s">
        <v>247</v>
      </c>
      <c r="D4" s="565" t="s">
        <v>248</v>
      </c>
      <c r="E4" s="565" t="s">
        <v>249</v>
      </c>
      <c r="F4" s="565" t="s">
        <v>250</v>
      </c>
      <c r="G4" s="565" t="s">
        <v>251</v>
      </c>
      <c r="H4" s="565" t="s">
        <v>252</v>
      </c>
      <c r="I4" s="565" t="s">
        <v>253</v>
      </c>
    </row>
    <row r="5" spans="1:9">
      <c r="A5" s="1017" t="s">
        <v>193</v>
      </c>
      <c r="B5" s="566">
        <v>400</v>
      </c>
      <c r="C5" s="1018">
        <v>0.38277511961722488</v>
      </c>
      <c r="D5" s="566">
        <v>76</v>
      </c>
      <c r="E5" s="1018"/>
      <c r="F5" s="566"/>
      <c r="G5" s="566"/>
      <c r="H5" s="566">
        <v>476</v>
      </c>
      <c r="I5" s="1018">
        <v>0.45550239234449763</v>
      </c>
    </row>
    <row r="6" spans="1:9">
      <c r="A6" s="1017" t="s">
        <v>194</v>
      </c>
      <c r="B6" s="566">
        <v>222</v>
      </c>
      <c r="C6" s="1018">
        <v>0.43274853801169588</v>
      </c>
      <c r="D6" s="566">
        <v>80</v>
      </c>
      <c r="E6" s="1018"/>
      <c r="F6" s="566"/>
      <c r="G6" s="566"/>
      <c r="H6" s="566">
        <v>302</v>
      </c>
      <c r="I6" s="1018">
        <v>0.58869395711500971</v>
      </c>
    </row>
    <row r="7" spans="1:9">
      <c r="A7" s="1017" t="s">
        <v>195</v>
      </c>
      <c r="B7" s="566">
        <v>350</v>
      </c>
      <c r="C7" s="1018">
        <v>0.68226120857699801</v>
      </c>
      <c r="D7" s="566">
        <v>0</v>
      </c>
      <c r="E7" s="1018"/>
      <c r="F7" s="566"/>
      <c r="G7" s="566"/>
      <c r="H7" s="566">
        <v>350</v>
      </c>
      <c r="I7" s="1018">
        <v>0.68226120857699801</v>
      </c>
    </row>
    <row r="8" spans="1:9">
      <c r="A8" s="1017" t="s">
        <v>189</v>
      </c>
      <c r="B8" s="566">
        <v>510</v>
      </c>
      <c r="C8" s="1018">
        <v>0.48803827751196172</v>
      </c>
      <c r="D8" s="566">
        <v>68</v>
      </c>
      <c r="E8" s="1018"/>
      <c r="F8" s="566"/>
      <c r="G8" s="566"/>
      <c r="H8" s="566">
        <v>578</v>
      </c>
      <c r="I8" s="1018">
        <v>0.55311004784689</v>
      </c>
    </row>
    <row r="9" spans="1:9">
      <c r="A9" s="1017" t="s">
        <v>191</v>
      </c>
      <c r="B9" s="566">
        <v>390</v>
      </c>
      <c r="C9" s="1018">
        <v>0.37320574162679426</v>
      </c>
      <c r="D9" s="566">
        <v>68</v>
      </c>
      <c r="E9" s="1018"/>
      <c r="F9" s="566"/>
      <c r="G9" s="566"/>
      <c r="H9" s="566">
        <v>458</v>
      </c>
      <c r="I9" s="1018">
        <v>0.43827751196172249</v>
      </c>
    </row>
  </sheetData>
  <pageMargins left="0.7" right="0.7" top="0.75" bottom="0.75" header="0.3" footer="0.3"/>
  <pageSetup paperSize="9" orientation="portrait" r:id="rId2"/>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X118"/>
  <sheetViews>
    <sheetView zoomScale="80" zoomScaleNormal="80" workbookViewId="0">
      <pane ySplit="1" topLeftCell="A2" activePane="bottomLeft" state="frozen"/>
      <selection pane="bottomLeft" activeCell="F121" sqref="F121"/>
    </sheetView>
  </sheetViews>
  <sheetFormatPr defaultColWidth="13.6640625" defaultRowHeight="12.75" customHeight="1" outlineLevelCol="1"/>
  <cols>
    <col min="1" max="1" width="13.6640625" style="198"/>
    <col min="2" max="2" width="19" style="198" customWidth="1"/>
    <col min="3" max="3" width="13.6640625" style="198"/>
    <col min="4" max="5" width="13.6640625" style="198" customWidth="1" outlineLevel="1"/>
    <col min="6" max="6" width="16.1640625" style="198" customWidth="1" outlineLevel="1"/>
    <col min="7" max="7" width="14.1640625" style="198" customWidth="1" outlineLevel="1"/>
    <col min="8" max="9" width="13.6640625" style="198" customWidth="1" outlineLevel="1"/>
    <col min="10" max="12" width="13.6640625" style="198"/>
    <col min="13" max="13" width="13.6640625" style="1053"/>
    <col min="14" max="19" width="13.6640625" style="198"/>
    <col min="20" max="21" width="15.1640625" style="198" customWidth="1"/>
    <col min="22" max="22" width="11.1640625" style="198" bestFit="1" customWidth="1"/>
    <col min="23" max="24" width="34.6640625" style="198" customWidth="1"/>
    <col min="25" max="16384" width="13.6640625" style="198"/>
  </cols>
  <sheetData>
    <row r="1" spans="1:24" ht="51" customHeight="1">
      <c r="A1" s="300" t="s">
        <v>7</v>
      </c>
      <c r="B1" s="297" t="s">
        <v>8</v>
      </c>
      <c r="C1" s="297" t="s">
        <v>254</v>
      </c>
      <c r="D1" s="298" t="s">
        <v>255</v>
      </c>
      <c r="E1" s="298" t="s">
        <v>256</v>
      </c>
      <c r="F1" s="298" t="s">
        <v>257</v>
      </c>
      <c r="G1" s="298" t="s">
        <v>258</v>
      </c>
      <c r="H1" s="297" t="s">
        <v>259</v>
      </c>
      <c r="I1" s="297" t="s">
        <v>260</v>
      </c>
      <c r="J1" s="297" t="s">
        <v>19</v>
      </c>
      <c r="K1" s="297" t="s">
        <v>261</v>
      </c>
      <c r="L1" s="297" t="s">
        <v>262</v>
      </c>
      <c r="M1" s="1051" t="s">
        <v>263</v>
      </c>
      <c r="N1" s="297" t="s">
        <v>264</v>
      </c>
      <c r="O1" s="297" t="s">
        <v>265</v>
      </c>
      <c r="P1" s="297" t="s">
        <v>266</v>
      </c>
      <c r="Q1" s="297" t="s">
        <v>267</v>
      </c>
      <c r="R1" s="297" t="s">
        <v>268</v>
      </c>
      <c r="S1" s="297" t="s">
        <v>269</v>
      </c>
      <c r="T1" s="297" t="s">
        <v>270</v>
      </c>
      <c r="U1" s="297" t="s">
        <v>27</v>
      </c>
      <c r="V1" s="297" t="s">
        <v>271</v>
      </c>
      <c r="W1" s="297" t="s">
        <v>272</v>
      </c>
      <c r="X1" s="297" t="s">
        <v>273</v>
      </c>
    </row>
    <row r="2" spans="1:24" ht="13.15">
      <c r="A2" s="197" t="s">
        <v>274</v>
      </c>
      <c r="B2" s="197" t="s">
        <v>275</v>
      </c>
      <c r="C2" s="197" t="s">
        <v>276</v>
      </c>
      <c r="D2" s="197">
        <v>19</v>
      </c>
      <c r="E2" s="197">
        <v>2</v>
      </c>
      <c r="F2" s="197">
        <v>2.4</v>
      </c>
      <c r="G2" s="197">
        <f>(D2-E2)*F2</f>
        <v>40.799999999999997</v>
      </c>
      <c r="H2" s="197">
        <f t="shared" ref="H2:H41" si="0">INT((G2*1000)/230)</f>
        <v>177</v>
      </c>
      <c r="I2" s="197">
        <f>((26-E2)*F2)-G2</f>
        <v>16.799999999999997</v>
      </c>
      <c r="J2" s="197">
        <f>H2/2</f>
        <v>88.5</v>
      </c>
      <c r="K2" s="1033">
        <v>64</v>
      </c>
      <c r="L2" s="1034">
        <v>45312</v>
      </c>
      <c r="M2" s="286">
        <f t="shared" ref="M2:M41" si="1">ROUNDUP(((K2*230)/1000),0)</f>
        <v>15</v>
      </c>
      <c r="N2" s="482">
        <f t="shared" ref="N2:N5" si="2">(O2*1000)/54.5</f>
        <v>300.00000000000006</v>
      </c>
      <c r="O2" s="482">
        <f>M2*1.09</f>
        <v>16.350000000000001</v>
      </c>
      <c r="P2" s="197">
        <v>8</v>
      </c>
      <c r="Q2" s="482">
        <f>(P2*230)/1000</f>
        <v>1.84</v>
      </c>
      <c r="R2" s="197">
        <v>2.5</v>
      </c>
      <c r="S2" s="482">
        <f t="shared" ref="S2:S41" si="3">(R2*230)/1000</f>
        <v>0.57499999999999996</v>
      </c>
      <c r="T2" s="482">
        <f t="shared" ref="T2:T41" si="4">K2+P2+R2</f>
        <v>74.5</v>
      </c>
      <c r="U2" s="482">
        <f t="shared" ref="U2:U15" si="5">J2-T2</f>
        <v>14</v>
      </c>
      <c r="V2" s="483">
        <f t="shared" ref="V2:V15" si="6">U2/J2</f>
        <v>0.15819209039548024</v>
      </c>
      <c r="W2" s="197" t="s">
        <v>277</v>
      </c>
      <c r="X2" s="197" t="s">
        <v>278</v>
      </c>
    </row>
    <row r="3" spans="1:24" ht="13.15">
      <c r="A3" s="197" t="s">
        <v>274</v>
      </c>
      <c r="B3" s="197" t="s">
        <v>279</v>
      </c>
      <c r="C3" s="197" t="s">
        <v>276</v>
      </c>
      <c r="D3" s="197">
        <v>19</v>
      </c>
      <c r="E3" s="197">
        <v>2</v>
      </c>
      <c r="F3" s="197">
        <v>2.4</v>
      </c>
      <c r="G3" s="197">
        <f>(D3-E3)*F3</f>
        <v>40.799999999999997</v>
      </c>
      <c r="H3" s="197">
        <f t="shared" si="0"/>
        <v>177</v>
      </c>
      <c r="I3" s="197">
        <f>((26-E3)*F3)-G3</f>
        <v>16.799999999999997</v>
      </c>
      <c r="J3" s="197">
        <f t="shared" ref="J3:J41" si="7">H3/2</f>
        <v>88.5</v>
      </c>
      <c r="K3" s="1033">
        <v>55</v>
      </c>
      <c r="L3" s="1034">
        <v>45312</v>
      </c>
      <c r="M3" s="286">
        <f t="shared" si="1"/>
        <v>13</v>
      </c>
      <c r="N3" s="482">
        <f t="shared" si="2"/>
        <v>260.00000000000006</v>
      </c>
      <c r="O3" s="482">
        <f t="shared" ref="O3:O15" si="8">M3*1.09</f>
        <v>14.170000000000002</v>
      </c>
      <c r="P3" s="197">
        <v>10</v>
      </c>
      <c r="Q3" s="482">
        <f>(P3*230)/1000</f>
        <v>2.2999999999999998</v>
      </c>
      <c r="R3" s="197">
        <v>2.5</v>
      </c>
      <c r="S3" s="482">
        <f t="shared" si="3"/>
        <v>0.57499999999999996</v>
      </c>
      <c r="T3" s="482">
        <f t="shared" si="4"/>
        <v>67.5</v>
      </c>
      <c r="U3" s="482">
        <f t="shared" si="5"/>
        <v>21</v>
      </c>
      <c r="V3" s="483">
        <f t="shared" si="6"/>
        <v>0.23728813559322035</v>
      </c>
      <c r="W3" s="197" t="s">
        <v>277</v>
      </c>
      <c r="X3" s="197" t="s">
        <v>278</v>
      </c>
    </row>
    <row r="4" spans="1:24" ht="13.15">
      <c r="A4" s="197" t="s">
        <v>280</v>
      </c>
      <c r="B4" s="197" t="s">
        <v>281</v>
      </c>
      <c r="C4" s="197" t="s">
        <v>276</v>
      </c>
      <c r="D4" s="197">
        <v>26</v>
      </c>
      <c r="E4" s="197">
        <v>2</v>
      </c>
      <c r="F4" s="197">
        <v>2.4</v>
      </c>
      <c r="G4" s="197">
        <f t="shared" ref="G4:G15" si="9">(D4-E4)*F4</f>
        <v>57.599999999999994</v>
      </c>
      <c r="H4" s="197">
        <f t="shared" si="0"/>
        <v>250</v>
      </c>
      <c r="I4" s="197">
        <f t="shared" ref="I4:I9" si="10">((26-E4)*F4)-G4</f>
        <v>0</v>
      </c>
      <c r="J4" s="197">
        <f t="shared" si="7"/>
        <v>125</v>
      </c>
      <c r="K4" s="1069">
        <v>71</v>
      </c>
      <c r="L4" s="1034">
        <v>45312</v>
      </c>
      <c r="M4" s="286">
        <f t="shared" si="1"/>
        <v>17</v>
      </c>
      <c r="N4" s="482">
        <f t="shared" si="2"/>
        <v>340</v>
      </c>
      <c r="O4" s="482">
        <f t="shared" si="8"/>
        <v>18.53</v>
      </c>
      <c r="P4" s="197"/>
      <c r="Q4" s="482"/>
      <c r="R4" s="197">
        <v>0</v>
      </c>
      <c r="S4" s="482">
        <f t="shared" si="3"/>
        <v>0</v>
      </c>
      <c r="T4" s="482">
        <f t="shared" si="4"/>
        <v>71</v>
      </c>
      <c r="U4" s="482">
        <f t="shared" si="5"/>
        <v>54</v>
      </c>
      <c r="V4" s="483">
        <f t="shared" si="6"/>
        <v>0.432</v>
      </c>
      <c r="W4" s="520"/>
      <c r="X4" s="197"/>
    </row>
    <row r="5" spans="1:24" ht="13.15">
      <c r="A5" s="197" t="s">
        <v>280</v>
      </c>
      <c r="B5" s="197" t="s">
        <v>282</v>
      </c>
      <c r="C5" s="197" t="s">
        <v>276</v>
      </c>
      <c r="D5" s="197">
        <v>26</v>
      </c>
      <c r="E5" s="197">
        <v>2</v>
      </c>
      <c r="F5" s="197">
        <v>2.4</v>
      </c>
      <c r="G5" s="197">
        <f t="shared" si="9"/>
        <v>57.599999999999994</v>
      </c>
      <c r="H5" s="197">
        <f t="shared" si="0"/>
        <v>250</v>
      </c>
      <c r="I5" s="197">
        <f t="shared" si="10"/>
        <v>0</v>
      </c>
      <c r="J5" s="197">
        <f t="shared" si="7"/>
        <v>125</v>
      </c>
      <c r="K5" s="1033">
        <v>68</v>
      </c>
      <c r="L5" s="1034">
        <v>45312</v>
      </c>
      <c r="M5" s="286">
        <f t="shared" si="1"/>
        <v>16</v>
      </c>
      <c r="N5" s="482">
        <f t="shared" si="2"/>
        <v>320</v>
      </c>
      <c r="O5" s="482">
        <f t="shared" si="8"/>
        <v>17.440000000000001</v>
      </c>
      <c r="P5" s="197"/>
      <c r="Q5" s="482"/>
      <c r="R5" s="197">
        <v>0</v>
      </c>
      <c r="S5" s="482">
        <f t="shared" si="3"/>
        <v>0</v>
      </c>
      <c r="T5" s="482">
        <f t="shared" si="4"/>
        <v>68</v>
      </c>
      <c r="U5" s="482">
        <f t="shared" si="5"/>
        <v>57</v>
      </c>
      <c r="V5" s="483">
        <f t="shared" si="6"/>
        <v>0.45600000000000002</v>
      </c>
      <c r="W5" s="520"/>
      <c r="X5" s="197"/>
    </row>
    <row r="6" spans="1:24" ht="13.15">
      <c r="A6" s="197" t="s">
        <v>280</v>
      </c>
      <c r="B6" s="197" t="s">
        <v>283</v>
      </c>
      <c r="C6" s="197" t="s">
        <v>276</v>
      </c>
      <c r="D6" s="197">
        <v>26</v>
      </c>
      <c r="E6" s="197">
        <v>2</v>
      </c>
      <c r="F6" s="197">
        <v>2.4</v>
      </c>
      <c r="G6" s="197">
        <f t="shared" si="9"/>
        <v>57.599999999999994</v>
      </c>
      <c r="H6" s="197">
        <f t="shared" si="0"/>
        <v>250</v>
      </c>
      <c r="I6" s="197">
        <f t="shared" si="10"/>
        <v>0</v>
      </c>
      <c r="J6" s="197">
        <f t="shared" si="7"/>
        <v>125</v>
      </c>
      <c r="K6" s="1033">
        <v>66</v>
      </c>
      <c r="L6" s="1034">
        <v>45312</v>
      </c>
      <c r="M6" s="286">
        <f t="shared" si="1"/>
        <v>16</v>
      </c>
      <c r="N6" s="482">
        <f t="shared" ref="N6:N41" si="11">(O6*1000)/54.5</f>
        <v>320</v>
      </c>
      <c r="O6" s="482">
        <f t="shared" si="8"/>
        <v>17.440000000000001</v>
      </c>
      <c r="P6" s="197"/>
      <c r="Q6" s="197"/>
      <c r="R6" s="197">
        <v>0</v>
      </c>
      <c r="S6" s="482">
        <f t="shared" si="3"/>
        <v>0</v>
      </c>
      <c r="T6" s="482">
        <f t="shared" si="4"/>
        <v>66</v>
      </c>
      <c r="U6" s="482">
        <f t="shared" si="5"/>
        <v>59</v>
      </c>
      <c r="V6" s="483">
        <f t="shared" si="6"/>
        <v>0.47199999999999998</v>
      </c>
      <c r="W6" s="197"/>
      <c r="X6" s="197"/>
    </row>
    <row r="7" spans="1:24" ht="13.15">
      <c r="A7" s="197" t="s">
        <v>280</v>
      </c>
      <c r="B7" s="197" t="s">
        <v>284</v>
      </c>
      <c r="C7" s="197" t="s">
        <v>276</v>
      </c>
      <c r="D7" s="197">
        <v>26</v>
      </c>
      <c r="E7" s="197">
        <v>2</v>
      </c>
      <c r="F7" s="197">
        <v>2.4</v>
      </c>
      <c r="G7" s="197">
        <f t="shared" si="9"/>
        <v>57.599999999999994</v>
      </c>
      <c r="H7" s="197">
        <f t="shared" si="0"/>
        <v>250</v>
      </c>
      <c r="I7" s="197">
        <f t="shared" si="10"/>
        <v>0</v>
      </c>
      <c r="J7" s="197">
        <f t="shared" si="7"/>
        <v>125</v>
      </c>
      <c r="K7" s="1033">
        <v>58</v>
      </c>
      <c r="L7" s="1034">
        <v>45312</v>
      </c>
      <c r="M7" s="286">
        <f t="shared" si="1"/>
        <v>14</v>
      </c>
      <c r="N7" s="482">
        <f t="shared" si="11"/>
        <v>280.00000000000006</v>
      </c>
      <c r="O7" s="482">
        <f t="shared" si="8"/>
        <v>15.260000000000002</v>
      </c>
      <c r="P7" s="197"/>
      <c r="Q7" s="197"/>
      <c r="R7" s="197">
        <v>0</v>
      </c>
      <c r="S7" s="482">
        <f t="shared" si="3"/>
        <v>0</v>
      </c>
      <c r="T7" s="482">
        <f t="shared" si="4"/>
        <v>58</v>
      </c>
      <c r="U7" s="482">
        <f t="shared" si="5"/>
        <v>67</v>
      </c>
      <c r="V7" s="483">
        <f t="shared" si="6"/>
        <v>0.53600000000000003</v>
      </c>
      <c r="W7" s="197"/>
      <c r="X7" s="197"/>
    </row>
    <row r="8" spans="1:24" ht="13.15">
      <c r="A8" s="197" t="s">
        <v>280</v>
      </c>
      <c r="B8" s="197" t="s">
        <v>285</v>
      </c>
      <c r="C8" s="197" t="s">
        <v>276</v>
      </c>
      <c r="D8" s="197">
        <v>12</v>
      </c>
      <c r="E8" s="197">
        <v>2</v>
      </c>
      <c r="F8" s="197">
        <v>2.4</v>
      </c>
      <c r="G8" s="197">
        <f t="shared" si="9"/>
        <v>24</v>
      </c>
      <c r="H8" s="197">
        <f t="shared" si="0"/>
        <v>104</v>
      </c>
      <c r="I8" s="197">
        <f t="shared" si="10"/>
        <v>33.599999999999994</v>
      </c>
      <c r="J8" s="197">
        <f t="shared" si="7"/>
        <v>52</v>
      </c>
      <c r="K8" s="1033">
        <v>24</v>
      </c>
      <c r="L8" s="1034">
        <v>45320</v>
      </c>
      <c r="M8" s="286">
        <f>ROUNDUP(((K8*230)/1000),0)</f>
        <v>6</v>
      </c>
      <c r="N8" s="482">
        <f t="shared" si="11"/>
        <v>120.00000000000001</v>
      </c>
      <c r="O8" s="482">
        <f t="shared" si="8"/>
        <v>6.5400000000000009</v>
      </c>
      <c r="P8" s="197"/>
      <c r="Q8" s="197"/>
      <c r="R8" s="197">
        <v>0</v>
      </c>
      <c r="S8" s="482">
        <f t="shared" si="3"/>
        <v>0</v>
      </c>
      <c r="T8" s="482">
        <f t="shared" si="4"/>
        <v>24</v>
      </c>
      <c r="U8" s="482">
        <f t="shared" si="5"/>
        <v>28</v>
      </c>
      <c r="V8" s="483">
        <f t="shared" si="6"/>
        <v>0.53846153846153844</v>
      </c>
      <c r="W8" s="516"/>
      <c r="X8" s="197"/>
    </row>
    <row r="9" spans="1:24" ht="13.15">
      <c r="A9" s="197" t="s">
        <v>280</v>
      </c>
      <c r="B9" s="197" t="s">
        <v>286</v>
      </c>
      <c r="C9" s="197" t="s">
        <v>276</v>
      </c>
      <c r="D9" s="197">
        <v>12</v>
      </c>
      <c r="E9" s="197">
        <v>2</v>
      </c>
      <c r="F9" s="197">
        <v>2.4</v>
      </c>
      <c r="G9" s="197">
        <f t="shared" si="9"/>
        <v>24</v>
      </c>
      <c r="H9" s="197">
        <f t="shared" si="0"/>
        <v>104</v>
      </c>
      <c r="I9" s="197">
        <f t="shared" si="10"/>
        <v>33.599999999999994</v>
      </c>
      <c r="J9" s="197">
        <f t="shared" si="7"/>
        <v>52</v>
      </c>
      <c r="K9" s="1033">
        <v>23</v>
      </c>
      <c r="L9" s="1034">
        <v>45030</v>
      </c>
      <c r="M9" s="286">
        <f t="shared" si="1"/>
        <v>6</v>
      </c>
      <c r="N9" s="482">
        <f t="shared" si="11"/>
        <v>120.00000000000001</v>
      </c>
      <c r="O9" s="482">
        <f t="shared" si="8"/>
        <v>6.5400000000000009</v>
      </c>
      <c r="P9" s="197"/>
      <c r="Q9" s="197"/>
      <c r="R9" s="197">
        <v>0</v>
      </c>
      <c r="S9" s="482">
        <f t="shared" si="3"/>
        <v>0</v>
      </c>
      <c r="T9" s="482">
        <f t="shared" si="4"/>
        <v>23</v>
      </c>
      <c r="U9" s="482">
        <f t="shared" si="5"/>
        <v>29</v>
      </c>
      <c r="V9" s="483">
        <f t="shared" si="6"/>
        <v>0.55769230769230771</v>
      </c>
      <c r="W9" s="197"/>
      <c r="X9" s="197"/>
    </row>
    <row r="10" spans="1:24" ht="13.15">
      <c r="A10" s="197" t="s">
        <v>287</v>
      </c>
      <c r="B10" s="197" t="s">
        <v>288</v>
      </c>
      <c r="C10" s="197" t="s">
        <v>276</v>
      </c>
      <c r="D10" s="197">
        <v>12</v>
      </c>
      <c r="E10" s="197">
        <v>2</v>
      </c>
      <c r="F10" s="197">
        <v>2.4</v>
      </c>
      <c r="G10" s="197">
        <f t="shared" si="9"/>
        <v>24</v>
      </c>
      <c r="H10" s="197">
        <f t="shared" si="0"/>
        <v>104</v>
      </c>
      <c r="I10" s="197">
        <f>((14-E10)*F10)-G10</f>
        <v>4.7999999999999972</v>
      </c>
      <c r="J10" s="197">
        <f t="shared" si="7"/>
        <v>52</v>
      </c>
      <c r="K10" s="1033">
        <v>33</v>
      </c>
      <c r="L10" s="1034">
        <v>45347</v>
      </c>
      <c r="M10" s="286">
        <f t="shared" si="1"/>
        <v>8</v>
      </c>
      <c r="N10" s="482">
        <f t="shared" si="11"/>
        <v>160</v>
      </c>
      <c r="O10" s="482">
        <f t="shared" si="8"/>
        <v>8.7200000000000006</v>
      </c>
      <c r="P10" s="197"/>
      <c r="Q10" s="197"/>
      <c r="R10" s="197">
        <v>0</v>
      </c>
      <c r="S10" s="482">
        <f t="shared" si="3"/>
        <v>0</v>
      </c>
      <c r="T10" s="482">
        <f t="shared" si="4"/>
        <v>33</v>
      </c>
      <c r="U10" s="482">
        <f t="shared" si="5"/>
        <v>19</v>
      </c>
      <c r="V10" s="483">
        <f t="shared" si="6"/>
        <v>0.36538461538461536</v>
      </c>
      <c r="W10" s="516"/>
      <c r="X10" s="197"/>
    </row>
    <row r="11" spans="1:24" ht="13.15">
      <c r="A11" s="197" t="s">
        <v>287</v>
      </c>
      <c r="B11" s="197" t="s">
        <v>289</v>
      </c>
      <c r="C11" s="197" t="s">
        <v>276</v>
      </c>
      <c r="D11" s="197">
        <v>12</v>
      </c>
      <c r="E11" s="197">
        <v>2</v>
      </c>
      <c r="F11" s="197">
        <v>2.4</v>
      </c>
      <c r="G11" s="197">
        <f t="shared" si="9"/>
        <v>24</v>
      </c>
      <c r="H11" s="197">
        <f t="shared" si="0"/>
        <v>104</v>
      </c>
      <c r="I11" s="197">
        <f>((14-E11)*F11)-G11</f>
        <v>4.7999999999999972</v>
      </c>
      <c r="J11" s="197">
        <f t="shared" si="7"/>
        <v>52</v>
      </c>
      <c r="K11" s="1069">
        <v>31</v>
      </c>
      <c r="L11" s="1034">
        <v>45424</v>
      </c>
      <c r="M11" s="286">
        <f t="shared" si="1"/>
        <v>8</v>
      </c>
      <c r="N11" s="482">
        <f t="shared" si="11"/>
        <v>160</v>
      </c>
      <c r="O11" s="482">
        <f t="shared" si="8"/>
        <v>8.7200000000000006</v>
      </c>
      <c r="P11" s="197"/>
      <c r="Q11" s="197"/>
      <c r="R11" s="197">
        <v>0</v>
      </c>
      <c r="S11" s="482">
        <f t="shared" si="3"/>
        <v>0</v>
      </c>
      <c r="T11" s="482">
        <f t="shared" si="4"/>
        <v>31</v>
      </c>
      <c r="U11" s="482">
        <f t="shared" si="5"/>
        <v>21</v>
      </c>
      <c r="V11" s="483">
        <f t="shared" si="6"/>
        <v>0.40384615384615385</v>
      </c>
      <c r="W11" s="197"/>
      <c r="X11" s="197"/>
    </row>
    <row r="12" spans="1:24" ht="13.15">
      <c r="A12" s="197" t="s">
        <v>290</v>
      </c>
      <c r="B12" s="197" t="s">
        <v>291</v>
      </c>
      <c r="C12" s="197" t="s">
        <v>276</v>
      </c>
      <c r="D12" s="197">
        <v>22</v>
      </c>
      <c r="E12" s="197">
        <v>2</v>
      </c>
      <c r="F12" s="197">
        <v>2.4</v>
      </c>
      <c r="G12" s="197">
        <f t="shared" si="9"/>
        <v>48</v>
      </c>
      <c r="H12" s="197">
        <f t="shared" si="0"/>
        <v>208</v>
      </c>
      <c r="I12" s="197">
        <f>((26-E12)*F12)-G12</f>
        <v>9.5999999999999943</v>
      </c>
      <c r="J12" s="197">
        <f t="shared" si="7"/>
        <v>104</v>
      </c>
      <c r="K12" s="1069">
        <v>71</v>
      </c>
      <c r="L12" s="1034">
        <v>45312</v>
      </c>
      <c r="M12" s="286">
        <f t="shared" si="1"/>
        <v>17</v>
      </c>
      <c r="N12" s="482">
        <f t="shared" si="11"/>
        <v>340</v>
      </c>
      <c r="O12" s="482">
        <f t="shared" si="8"/>
        <v>18.53</v>
      </c>
      <c r="P12" s="197"/>
      <c r="Q12" s="197"/>
      <c r="R12" s="197">
        <v>3.3</v>
      </c>
      <c r="S12" s="482">
        <f t="shared" si="3"/>
        <v>0.75900000000000001</v>
      </c>
      <c r="T12" s="482">
        <f t="shared" si="4"/>
        <v>74.3</v>
      </c>
      <c r="U12" s="482">
        <f t="shared" si="5"/>
        <v>29.700000000000003</v>
      </c>
      <c r="V12" s="483">
        <f t="shared" si="6"/>
        <v>0.28557692307692312</v>
      </c>
      <c r="W12" s="197"/>
      <c r="X12" s="197"/>
    </row>
    <row r="13" spans="1:24" ht="13.15">
      <c r="A13" s="197" t="s">
        <v>290</v>
      </c>
      <c r="B13" s="197" t="s">
        <v>292</v>
      </c>
      <c r="C13" s="197" t="s">
        <v>276</v>
      </c>
      <c r="D13" s="197">
        <v>22</v>
      </c>
      <c r="E13" s="197">
        <v>2</v>
      </c>
      <c r="F13" s="197">
        <v>2.4</v>
      </c>
      <c r="G13" s="197">
        <f t="shared" si="9"/>
        <v>48</v>
      </c>
      <c r="H13" s="197">
        <f t="shared" si="0"/>
        <v>208</v>
      </c>
      <c r="I13" s="197">
        <f>((26-E13)*F13)-G13</f>
        <v>9.5999999999999943</v>
      </c>
      <c r="J13" s="197">
        <f t="shared" si="7"/>
        <v>104</v>
      </c>
      <c r="K13" s="1033">
        <v>69</v>
      </c>
      <c r="L13" s="1034">
        <v>45312</v>
      </c>
      <c r="M13" s="286">
        <f t="shared" si="1"/>
        <v>16</v>
      </c>
      <c r="N13" s="482">
        <f t="shared" si="11"/>
        <v>320</v>
      </c>
      <c r="O13" s="482">
        <f t="shared" si="8"/>
        <v>17.440000000000001</v>
      </c>
      <c r="P13" s="197"/>
      <c r="Q13" s="197"/>
      <c r="R13" s="197">
        <v>3.3</v>
      </c>
      <c r="S13" s="482">
        <f t="shared" si="3"/>
        <v>0.75900000000000001</v>
      </c>
      <c r="T13" s="482">
        <f t="shared" si="4"/>
        <v>72.3</v>
      </c>
      <c r="U13" s="482">
        <f t="shared" si="5"/>
        <v>31.700000000000003</v>
      </c>
      <c r="V13" s="483">
        <f t="shared" si="6"/>
        <v>0.30480769230769234</v>
      </c>
      <c r="W13" s="197"/>
      <c r="X13" s="197"/>
    </row>
    <row r="14" spans="1:24" ht="13.15">
      <c r="A14" s="197" t="s">
        <v>293</v>
      </c>
      <c r="B14" s="197" t="s">
        <v>294</v>
      </c>
      <c r="C14" s="197" t="s">
        <v>276</v>
      </c>
      <c r="D14" s="197">
        <v>12</v>
      </c>
      <c r="E14" s="197">
        <v>2</v>
      </c>
      <c r="F14" s="197">
        <v>2.4</v>
      </c>
      <c r="G14" s="197">
        <f t="shared" si="9"/>
        <v>24</v>
      </c>
      <c r="H14" s="197">
        <f t="shared" si="0"/>
        <v>104</v>
      </c>
      <c r="I14" s="197">
        <f>((26-E14)*F14)-G14</f>
        <v>33.599999999999994</v>
      </c>
      <c r="J14" s="197">
        <f t="shared" si="7"/>
        <v>52</v>
      </c>
      <c r="K14" s="1035">
        <v>15</v>
      </c>
      <c r="L14" s="1034" t="s">
        <v>295</v>
      </c>
      <c r="M14" s="286">
        <f t="shared" si="1"/>
        <v>4</v>
      </c>
      <c r="N14" s="482">
        <f t="shared" si="11"/>
        <v>80</v>
      </c>
      <c r="O14" s="482">
        <f t="shared" si="8"/>
        <v>4.3600000000000003</v>
      </c>
      <c r="P14" s="197"/>
      <c r="Q14" s="197"/>
      <c r="R14" s="197">
        <v>0</v>
      </c>
      <c r="S14" s="482">
        <f t="shared" si="3"/>
        <v>0</v>
      </c>
      <c r="T14" s="482">
        <f t="shared" si="4"/>
        <v>15</v>
      </c>
      <c r="U14" s="482">
        <f t="shared" si="5"/>
        <v>37</v>
      </c>
      <c r="V14" s="483">
        <f t="shared" si="6"/>
        <v>0.71153846153846156</v>
      </c>
      <c r="W14" s="197"/>
      <c r="X14" s="197"/>
    </row>
    <row r="15" spans="1:24" ht="13.5" customHeight="1">
      <c r="A15" s="197" t="s">
        <v>293</v>
      </c>
      <c r="B15" s="197" t="s">
        <v>296</v>
      </c>
      <c r="C15" s="197" t="s">
        <v>276</v>
      </c>
      <c r="D15" s="197">
        <v>12</v>
      </c>
      <c r="E15" s="197">
        <v>2</v>
      </c>
      <c r="F15" s="197">
        <v>2.4</v>
      </c>
      <c r="G15" s="197">
        <f t="shared" si="9"/>
        <v>24</v>
      </c>
      <c r="H15" s="197">
        <f t="shared" si="0"/>
        <v>104</v>
      </c>
      <c r="I15" s="197">
        <f>((26-E15)*F15)-G15</f>
        <v>33.599999999999994</v>
      </c>
      <c r="J15" s="197">
        <f t="shared" si="7"/>
        <v>52</v>
      </c>
      <c r="K15" s="1033">
        <v>11</v>
      </c>
      <c r="L15" s="1034">
        <v>45347</v>
      </c>
      <c r="M15" s="286">
        <f t="shared" si="1"/>
        <v>3</v>
      </c>
      <c r="N15" s="482">
        <f t="shared" si="11"/>
        <v>60.000000000000007</v>
      </c>
      <c r="O15" s="482">
        <f t="shared" si="8"/>
        <v>3.2700000000000005</v>
      </c>
      <c r="P15" s="197"/>
      <c r="Q15" s="197"/>
      <c r="R15" s="197">
        <v>0</v>
      </c>
      <c r="S15" s="482">
        <f t="shared" si="3"/>
        <v>0</v>
      </c>
      <c r="T15" s="482">
        <f t="shared" si="4"/>
        <v>11</v>
      </c>
      <c r="U15" s="482">
        <f t="shared" si="5"/>
        <v>41</v>
      </c>
      <c r="V15" s="483">
        <f t="shared" si="6"/>
        <v>0.78846153846153844</v>
      </c>
      <c r="W15" s="197"/>
      <c r="X15" s="197"/>
    </row>
    <row r="16" spans="1:24" ht="13.15">
      <c r="A16" s="197" t="s">
        <v>297</v>
      </c>
      <c r="B16" s="197" t="s">
        <v>298</v>
      </c>
      <c r="C16" s="197" t="s">
        <v>276</v>
      </c>
      <c r="D16" s="197">
        <v>21</v>
      </c>
      <c r="E16" s="197">
        <v>2</v>
      </c>
      <c r="F16" s="197">
        <v>2.4</v>
      </c>
      <c r="G16" s="197">
        <f t="shared" ref="G16:G25" si="12">(D16-E16)*F16</f>
        <v>45.6</v>
      </c>
      <c r="H16" s="197">
        <f t="shared" si="0"/>
        <v>198</v>
      </c>
      <c r="I16" s="197">
        <f>((30-E16)*F16)-G16</f>
        <v>21.6</v>
      </c>
      <c r="J16" s="197">
        <f t="shared" si="7"/>
        <v>99</v>
      </c>
      <c r="K16" s="197">
        <v>51</v>
      </c>
      <c r="L16" s="1034">
        <v>45522</v>
      </c>
      <c r="M16" s="286">
        <f t="shared" si="1"/>
        <v>12</v>
      </c>
      <c r="N16" s="482">
        <f t="shared" si="11"/>
        <v>240.00000000000003</v>
      </c>
      <c r="O16" s="482">
        <f t="shared" ref="O16:O25" si="13">M16*1.09</f>
        <v>13.080000000000002</v>
      </c>
      <c r="P16" s="197"/>
      <c r="Q16" s="197"/>
      <c r="R16" s="197">
        <v>6</v>
      </c>
      <c r="S16" s="482">
        <f t="shared" si="3"/>
        <v>1.38</v>
      </c>
      <c r="T16" s="482">
        <f t="shared" si="4"/>
        <v>57</v>
      </c>
      <c r="U16" s="482">
        <f t="shared" ref="U16:U25" si="14">J16-T16</f>
        <v>42</v>
      </c>
      <c r="V16" s="483">
        <f t="shared" ref="V16:V25" si="15">U16/J16</f>
        <v>0.42424242424242425</v>
      </c>
      <c r="W16" s="520" t="s">
        <v>299</v>
      </c>
      <c r="X16" s="520" t="s">
        <v>300</v>
      </c>
    </row>
    <row r="17" spans="1:24" ht="13.15">
      <c r="A17" s="197" t="s">
        <v>297</v>
      </c>
      <c r="B17" s="197" t="s">
        <v>301</v>
      </c>
      <c r="C17" s="197" t="s">
        <v>276</v>
      </c>
      <c r="D17" s="197">
        <v>21</v>
      </c>
      <c r="E17" s="197">
        <v>2</v>
      </c>
      <c r="F17" s="197">
        <v>2.4</v>
      </c>
      <c r="G17" s="197">
        <f t="shared" si="12"/>
        <v>45.6</v>
      </c>
      <c r="H17" s="197">
        <f t="shared" si="0"/>
        <v>198</v>
      </c>
      <c r="I17" s="197">
        <f>((30-E17)*F17)-G17</f>
        <v>21.6</v>
      </c>
      <c r="J17" s="197">
        <f t="shared" si="7"/>
        <v>99</v>
      </c>
      <c r="K17" s="197">
        <v>42</v>
      </c>
      <c r="L17" s="1034">
        <v>45522</v>
      </c>
      <c r="M17" s="286">
        <f t="shared" si="1"/>
        <v>10</v>
      </c>
      <c r="N17" s="482">
        <f t="shared" si="11"/>
        <v>200</v>
      </c>
      <c r="O17" s="482">
        <f t="shared" si="13"/>
        <v>10.9</v>
      </c>
      <c r="P17" s="197"/>
      <c r="Q17" s="197"/>
      <c r="R17" s="197">
        <v>6</v>
      </c>
      <c r="S17" s="482">
        <f t="shared" si="3"/>
        <v>1.38</v>
      </c>
      <c r="T17" s="482">
        <f t="shared" si="4"/>
        <v>48</v>
      </c>
      <c r="U17" s="482">
        <f t="shared" si="14"/>
        <v>51</v>
      </c>
      <c r="V17" s="483">
        <f t="shared" si="15"/>
        <v>0.51515151515151514</v>
      </c>
      <c r="W17" s="520" t="s">
        <v>299</v>
      </c>
      <c r="X17" s="520" t="s">
        <v>300</v>
      </c>
    </row>
    <row r="18" spans="1:24" ht="13.15">
      <c r="A18" s="197" t="s">
        <v>297</v>
      </c>
      <c r="B18" s="197" t="s">
        <v>302</v>
      </c>
      <c r="C18" s="197" t="s">
        <v>276</v>
      </c>
      <c r="D18" s="197">
        <v>21</v>
      </c>
      <c r="E18" s="197">
        <v>2</v>
      </c>
      <c r="F18" s="197">
        <v>2.4</v>
      </c>
      <c r="G18" s="197">
        <f t="shared" si="12"/>
        <v>45.6</v>
      </c>
      <c r="H18" s="197">
        <f t="shared" si="0"/>
        <v>198</v>
      </c>
      <c r="I18" s="197">
        <f>((30-E18)*F18)-G18</f>
        <v>21.6</v>
      </c>
      <c r="J18" s="197">
        <f t="shared" si="7"/>
        <v>99</v>
      </c>
      <c r="K18" s="197">
        <v>45</v>
      </c>
      <c r="L18" s="1034">
        <v>45522</v>
      </c>
      <c r="M18" s="286">
        <f t="shared" si="1"/>
        <v>11</v>
      </c>
      <c r="N18" s="482">
        <f t="shared" si="11"/>
        <v>220</v>
      </c>
      <c r="O18" s="482">
        <f t="shared" si="13"/>
        <v>11.99</v>
      </c>
      <c r="P18" s="197"/>
      <c r="Q18" s="197"/>
      <c r="R18" s="197">
        <v>2.5</v>
      </c>
      <c r="S18" s="482">
        <f t="shared" si="3"/>
        <v>0.57499999999999996</v>
      </c>
      <c r="T18" s="482">
        <f t="shared" si="4"/>
        <v>47.5</v>
      </c>
      <c r="U18" s="482">
        <f t="shared" si="14"/>
        <v>51.5</v>
      </c>
      <c r="V18" s="483">
        <f t="shared" si="15"/>
        <v>0.52020202020202022</v>
      </c>
      <c r="W18" s="520" t="s">
        <v>277</v>
      </c>
      <c r="X18" s="520" t="s">
        <v>303</v>
      </c>
    </row>
    <row r="19" spans="1:24" ht="13.15">
      <c r="A19" s="197" t="s">
        <v>297</v>
      </c>
      <c r="B19" s="197" t="s">
        <v>304</v>
      </c>
      <c r="C19" s="197" t="s">
        <v>276</v>
      </c>
      <c r="D19" s="197">
        <v>21</v>
      </c>
      <c r="E19" s="197">
        <v>2</v>
      </c>
      <c r="F19" s="197">
        <v>2.4</v>
      </c>
      <c r="G19" s="197">
        <f t="shared" si="12"/>
        <v>45.6</v>
      </c>
      <c r="H19" s="197">
        <f t="shared" si="0"/>
        <v>198</v>
      </c>
      <c r="I19" s="197">
        <f>((30-E19)*F19)-G19</f>
        <v>21.6</v>
      </c>
      <c r="J19" s="197">
        <f t="shared" si="7"/>
        <v>99</v>
      </c>
      <c r="K19" s="197">
        <v>47</v>
      </c>
      <c r="L19" s="1034">
        <v>45522</v>
      </c>
      <c r="M19" s="286">
        <f t="shared" si="1"/>
        <v>11</v>
      </c>
      <c r="N19" s="482">
        <f t="shared" si="11"/>
        <v>220</v>
      </c>
      <c r="O19" s="482">
        <f t="shared" si="13"/>
        <v>11.99</v>
      </c>
      <c r="P19" s="197"/>
      <c r="Q19" s="197"/>
      <c r="R19" s="197">
        <v>2.5</v>
      </c>
      <c r="S19" s="482">
        <f t="shared" si="3"/>
        <v>0.57499999999999996</v>
      </c>
      <c r="T19" s="482">
        <f t="shared" si="4"/>
        <v>49.5</v>
      </c>
      <c r="U19" s="482">
        <f t="shared" si="14"/>
        <v>49.5</v>
      </c>
      <c r="V19" s="483">
        <f t="shared" si="15"/>
        <v>0.5</v>
      </c>
      <c r="W19" s="520" t="s">
        <v>277</v>
      </c>
      <c r="X19" s="520" t="s">
        <v>303</v>
      </c>
    </row>
    <row r="20" spans="1:24" ht="13.15">
      <c r="A20" s="197" t="s">
        <v>305</v>
      </c>
      <c r="B20" s="197" t="s">
        <v>306</v>
      </c>
      <c r="C20" s="197" t="s">
        <v>276</v>
      </c>
      <c r="D20" s="197">
        <v>14</v>
      </c>
      <c r="E20" s="197">
        <v>2</v>
      </c>
      <c r="F20" s="197">
        <v>2.4</v>
      </c>
      <c r="G20" s="197">
        <f t="shared" si="12"/>
        <v>28.799999999999997</v>
      </c>
      <c r="H20" s="197">
        <f t="shared" si="0"/>
        <v>125</v>
      </c>
      <c r="I20" s="197">
        <f>((14-E20)*F20)-G20</f>
        <v>0</v>
      </c>
      <c r="J20" s="197">
        <f t="shared" si="7"/>
        <v>62.5</v>
      </c>
      <c r="K20" s="1033">
        <v>10</v>
      </c>
      <c r="L20" s="1034">
        <v>45410</v>
      </c>
      <c r="M20" s="286">
        <f>((K20*230)/1000)</f>
        <v>2.2999999999999998</v>
      </c>
      <c r="N20" s="482">
        <f t="shared" si="11"/>
        <v>46</v>
      </c>
      <c r="O20" s="482">
        <f t="shared" si="13"/>
        <v>2.5070000000000001</v>
      </c>
      <c r="P20" s="197"/>
      <c r="Q20" s="197"/>
      <c r="R20" s="197">
        <v>10.8</v>
      </c>
      <c r="S20" s="482">
        <f t="shared" si="3"/>
        <v>2.484</v>
      </c>
      <c r="T20" s="482">
        <f t="shared" si="4"/>
        <v>20.8</v>
      </c>
      <c r="U20" s="482">
        <f t="shared" si="14"/>
        <v>41.7</v>
      </c>
      <c r="V20" s="483">
        <f t="shared" si="15"/>
        <v>0.66720000000000002</v>
      </c>
      <c r="W20" s="520" t="s">
        <v>307</v>
      </c>
      <c r="X20" s="520" t="s">
        <v>308</v>
      </c>
    </row>
    <row r="21" spans="1:24" ht="13.15">
      <c r="A21" s="197" t="s">
        <v>305</v>
      </c>
      <c r="B21" s="197" t="s">
        <v>309</v>
      </c>
      <c r="C21" s="197" t="s">
        <v>276</v>
      </c>
      <c r="D21" s="197">
        <v>14</v>
      </c>
      <c r="E21" s="197">
        <v>2</v>
      </c>
      <c r="F21" s="197">
        <v>2.4</v>
      </c>
      <c r="G21" s="197">
        <f t="shared" si="12"/>
        <v>28.799999999999997</v>
      </c>
      <c r="H21" s="197">
        <f t="shared" si="0"/>
        <v>125</v>
      </c>
      <c r="I21" s="197">
        <f>((14-E21)*F21)-G21</f>
        <v>0</v>
      </c>
      <c r="J21" s="197">
        <f t="shared" si="7"/>
        <v>62.5</v>
      </c>
      <c r="K21" s="1033">
        <v>5</v>
      </c>
      <c r="L21" s="1034">
        <v>45410</v>
      </c>
      <c r="M21" s="286">
        <f>((K21*230)/1000)</f>
        <v>1.1499999999999999</v>
      </c>
      <c r="N21" s="482">
        <f t="shared" si="11"/>
        <v>23</v>
      </c>
      <c r="O21" s="482">
        <f t="shared" si="13"/>
        <v>1.2535000000000001</v>
      </c>
      <c r="P21" s="197"/>
      <c r="Q21" s="197"/>
      <c r="R21" s="197">
        <v>10.8</v>
      </c>
      <c r="S21" s="482">
        <f t="shared" si="3"/>
        <v>2.484</v>
      </c>
      <c r="T21" s="482">
        <f t="shared" si="4"/>
        <v>15.8</v>
      </c>
      <c r="U21" s="482">
        <f t="shared" si="14"/>
        <v>46.7</v>
      </c>
      <c r="V21" s="483">
        <f t="shared" si="15"/>
        <v>0.74720000000000009</v>
      </c>
      <c r="W21" s="520" t="s">
        <v>307</v>
      </c>
      <c r="X21" s="520" t="s">
        <v>308</v>
      </c>
    </row>
    <row r="22" spans="1:24" s="873" customFormat="1" ht="13.15">
      <c r="A22" s="520" t="s">
        <v>305</v>
      </c>
      <c r="B22" s="520" t="s">
        <v>310</v>
      </c>
      <c r="C22" s="520" t="s">
        <v>276</v>
      </c>
      <c r="D22" s="520">
        <v>14</v>
      </c>
      <c r="E22" s="520">
        <v>2</v>
      </c>
      <c r="F22" s="520">
        <v>2.4</v>
      </c>
      <c r="G22" s="520">
        <f t="shared" si="12"/>
        <v>28.799999999999997</v>
      </c>
      <c r="H22" s="520">
        <f t="shared" ref="H22:H23" si="16">INT((G22*1000)/230)</f>
        <v>125</v>
      </c>
      <c r="I22" s="520">
        <f>((14-E22)*F22)-G22</f>
        <v>0</v>
      </c>
      <c r="J22" s="520">
        <f t="shared" ref="J22:J23" si="17">H22/2</f>
        <v>62.5</v>
      </c>
      <c r="K22" s="1035">
        <v>53.6</v>
      </c>
      <c r="L22" s="1034">
        <v>45019</v>
      </c>
      <c r="M22" s="286">
        <f t="shared" ref="M22:M23" si="18">((K22*230)/1000)</f>
        <v>12.327999999999999</v>
      </c>
      <c r="N22" s="768">
        <f t="shared" ref="N22:N23" si="19">(O22*1000)/54.5</f>
        <v>246.56</v>
      </c>
      <c r="O22" s="768">
        <f t="shared" ref="O22:O23" si="20">M22*1.09</f>
        <v>13.437520000000001</v>
      </c>
      <c r="P22" s="520"/>
      <c r="Q22" s="520"/>
      <c r="R22" s="520">
        <v>3.5</v>
      </c>
      <c r="S22" s="768">
        <f t="shared" ref="S22:S23" si="21">(R22*230)/1000</f>
        <v>0.80500000000000005</v>
      </c>
      <c r="T22" s="482">
        <f>K22+P22+R22</f>
        <v>57.1</v>
      </c>
      <c r="U22" s="768">
        <f t="shared" ref="U22:U23" si="22">J22-T22</f>
        <v>5.3999999999999986</v>
      </c>
      <c r="V22" s="872">
        <f t="shared" si="15"/>
        <v>8.6399999999999977E-2</v>
      </c>
      <c r="W22" s="516"/>
      <c r="X22" s="516"/>
    </row>
    <row r="23" spans="1:24" s="873" customFormat="1" ht="13.15">
      <c r="A23" s="520" t="s">
        <v>305</v>
      </c>
      <c r="B23" s="520" t="s">
        <v>311</v>
      </c>
      <c r="C23" s="520" t="s">
        <v>276</v>
      </c>
      <c r="D23" s="520">
        <v>14</v>
      </c>
      <c r="E23" s="520">
        <v>2</v>
      </c>
      <c r="F23" s="520">
        <v>2.4</v>
      </c>
      <c r="G23" s="520">
        <f t="shared" si="12"/>
        <v>28.799999999999997</v>
      </c>
      <c r="H23" s="520">
        <f t="shared" si="16"/>
        <v>125</v>
      </c>
      <c r="I23" s="520">
        <f>((14-E23)*F23)-G23</f>
        <v>0</v>
      </c>
      <c r="J23" s="520">
        <f t="shared" si="17"/>
        <v>62.5</v>
      </c>
      <c r="K23" s="1035">
        <v>53.7</v>
      </c>
      <c r="L23" s="1034">
        <v>45019</v>
      </c>
      <c r="M23" s="286">
        <f t="shared" si="18"/>
        <v>12.351000000000001</v>
      </c>
      <c r="N23" s="768">
        <f t="shared" si="19"/>
        <v>247.02000000000004</v>
      </c>
      <c r="O23" s="768">
        <f t="shared" si="20"/>
        <v>13.462590000000002</v>
      </c>
      <c r="P23" s="520"/>
      <c r="Q23" s="520"/>
      <c r="R23" s="520">
        <v>3.5</v>
      </c>
      <c r="S23" s="768">
        <f t="shared" si="21"/>
        <v>0.80500000000000005</v>
      </c>
      <c r="T23" s="482">
        <f>K23+P23+R23</f>
        <v>57.2</v>
      </c>
      <c r="U23" s="768">
        <f t="shared" si="22"/>
        <v>5.2999999999999972</v>
      </c>
      <c r="V23" s="872">
        <f t="shared" si="15"/>
        <v>8.4799999999999959E-2</v>
      </c>
      <c r="W23" s="516"/>
      <c r="X23" s="516"/>
    </row>
    <row r="24" spans="1:24" ht="13.15">
      <c r="A24" s="197" t="s">
        <v>312</v>
      </c>
      <c r="B24" s="197" t="s">
        <v>313</v>
      </c>
      <c r="C24" s="197" t="s">
        <v>276</v>
      </c>
      <c r="D24" s="197">
        <v>24</v>
      </c>
      <c r="E24" s="197">
        <v>2</v>
      </c>
      <c r="F24" s="197">
        <v>2.4</v>
      </c>
      <c r="G24" s="197">
        <f t="shared" si="12"/>
        <v>52.8</v>
      </c>
      <c r="H24" s="197">
        <f t="shared" si="0"/>
        <v>229</v>
      </c>
      <c r="I24" s="197">
        <f>((26-E24)*F24)-G24</f>
        <v>4.7999999999999972</v>
      </c>
      <c r="J24" s="197">
        <f t="shared" si="7"/>
        <v>114.5</v>
      </c>
      <c r="K24" s="197">
        <v>76</v>
      </c>
      <c r="L24" s="1034">
        <v>45522</v>
      </c>
      <c r="M24" s="286">
        <f t="shared" si="1"/>
        <v>18</v>
      </c>
      <c r="N24" s="482">
        <f t="shared" si="11"/>
        <v>360</v>
      </c>
      <c r="O24" s="482">
        <f t="shared" si="13"/>
        <v>19.62</v>
      </c>
      <c r="P24" s="197"/>
      <c r="Q24" s="197"/>
      <c r="R24" s="197">
        <v>0</v>
      </c>
      <c r="S24" s="482">
        <f t="shared" si="3"/>
        <v>0</v>
      </c>
      <c r="T24" s="482">
        <f t="shared" si="4"/>
        <v>76</v>
      </c>
      <c r="U24" s="482">
        <f t="shared" si="14"/>
        <v>38.5</v>
      </c>
      <c r="V24" s="483">
        <f t="shared" si="15"/>
        <v>0.33624454148471616</v>
      </c>
      <c r="W24" s="520"/>
      <c r="X24" s="520"/>
    </row>
    <row r="25" spans="1:24" ht="13.15">
      <c r="A25" s="197" t="s">
        <v>312</v>
      </c>
      <c r="B25" s="197" t="s">
        <v>314</v>
      </c>
      <c r="C25" s="197" t="s">
        <v>276</v>
      </c>
      <c r="D25" s="197">
        <v>24</v>
      </c>
      <c r="E25" s="197">
        <v>2</v>
      </c>
      <c r="F25" s="197">
        <v>2.4</v>
      </c>
      <c r="G25" s="197">
        <f t="shared" si="12"/>
        <v>52.8</v>
      </c>
      <c r="H25" s="197">
        <f t="shared" si="0"/>
        <v>229</v>
      </c>
      <c r="I25" s="197">
        <f>((26-E25)*F25)-G25</f>
        <v>4.7999999999999972</v>
      </c>
      <c r="J25" s="197">
        <f t="shared" si="7"/>
        <v>114.5</v>
      </c>
      <c r="K25" s="1033">
        <v>77</v>
      </c>
      <c r="L25" s="1034">
        <v>45347</v>
      </c>
      <c r="M25" s="286">
        <f t="shared" si="1"/>
        <v>18</v>
      </c>
      <c r="N25" s="482">
        <f t="shared" si="11"/>
        <v>360</v>
      </c>
      <c r="O25" s="482">
        <f t="shared" si="13"/>
        <v>19.62</v>
      </c>
      <c r="P25" s="197"/>
      <c r="Q25" s="197"/>
      <c r="R25" s="197">
        <v>0</v>
      </c>
      <c r="S25" s="482">
        <f t="shared" si="3"/>
        <v>0</v>
      </c>
      <c r="T25" s="482">
        <f t="shared" si="4"/>
        <v>77</v>
      </c>
      <c r="U25" s="482">
        <f t="shared" si="14"/>
        <v>37.5</v>
      </c>
      <c r="V25" s="483">
        <f t="shared" si="15"/>
        <v>0.32751091703056767</v>
      </c>
      <c r="W25" s="520"/>
      <c r="X25" s="520"/>
    </row>
    <row r="26" spans="1:24" ht="13.15">
      <c r="A26" s="197" t="s">
        <v>315</v>
      </c>
      <c r="B26" s="197" t="s">
        <v>316</v>
      </c>
      <c r="C26" s="197" t="s">
        <v>276</v>
      </c>
      <c r="D26" s="197">
        <v>26</v>
      </c>
      <c r="E26" s="197">
        <v>2</v>
      </c>
      <c r="F26" s="197">
        <v>2.4</v>
      </c>
      <c r="G26" s="197">
        <f>(D26-E26)*F26</f>
        <v>57.599999999999994</v>
      </c>
      <c r="H26" s="197">
        <f t="shared" si="0"/>
        <v>250</v>
      </c>
      <c r="I26" s="197">
        <f>((26-E26)*F26)-G26</f>
        <v>0</v>
      </c>
      <c r="J26" s="197">
        <f t="shared" si="7"/>
        <v>125</v>
      </c>
      <c r="K26" s="197">
        <v>96</v>
      </c>
      <c r="L26" s="1034">
        <v>45522</v>
      </c>
      <c r="M26" s="286">
        <f t="shared" si="1"/>
        <v>23</v>
      </c>
      <c r="N26" s="482">
        <f t="shared" si="11"/>
        <v>460</v>
      </c>
      <c r="O26" s="482">
        <f>M26*1.09</f>
        <v>25.07</v>
      </c>
      <c r="P26" s="197"/>
      <c r="Q26" s="197"/>
      <c r="R26" s="197">
        <v>10</v>
      </c>
      <c r="S26" s="482">
        <f t="shared" si="3"/>
        <v>2.2999999999999998</v>
      </c>
      <c r="T26" s="482">
        <f t="shared" si="4"/>
        <v>106</v>
      </c>
      <c r="U26" s="482">
        <f>J26-T26</f>
        <v>19</v>
      </c>
      <c r="V26" s="483">
        <f>U26/J26</f>
        <v>0.152</v>
      </c>
      <c r="W26" s="197" t="s">
        <v>317</v>
      </c>
      <c r="X26" s="197" t="s">
        <v>318</v>
      </c>
    </row>
    <row r="27" spans="1:24" ht="13.15">
      <c r="A27" s="197" t="s">
        <v>315</v>
      </c>
      <c r="B27" s="197" t="s">
        <v>319</v>
      </c>
      <c r="C27" s="197" t="s">
        <v>276</v>
      </c>
      <c r="D27" s="197">
        <v>26</v>
      </c>
      <c r="E27" s="197">
        <v>2</v>
      </c>
      <c r="F27" s="197">
        <v>2.4</v>
      </c>
      <c r="G27" s="197">
        <f>(D27-E27)*F27</f>
        <v>57.599999999999994</v>
      </c>
      <c r="H27" s="197">
        <f t="shared" si="0"/>
        <v>250</v>
      </c>
      <c r="I27" s="197">
        <f>((26-E27)*F27)-G27</f>
        <v>0</v>
      </c>
      <c r="J27" s="197">
        <f t="shared" si="7"/>
        <v>125</v>
      </c>
      <c r="K27" s="1033">
        <v>96</v>
      </c>
      <c r="L27" s="1034">
        <v>45494</v>
      </c>
      <c r="M27" s="286">
        <f t="shared" si="1"/>
        <v>23</v>
      </c>
      <c r="N27" s="482">
        <f t="shared" si="11"/>
        <v>460</v>
      </c>
      <c r="O27" s="482">
        <f>M27*1.09</f>
        <v>25.07</v>
      </c>
      <c r="P27" s="197"/>
      <c r="Q27" s="197"/>
      <c r="R27" s="197">
        <v>10</v>
      </c>
      <c r="S27" s="482">
        <f t="shared" si="3"/>
        <v>2.2999999999999998</v>
      </c>
      <c r="T27" s="482">
        <f t="shared" si="4"/>
        <v>106</v>
      </c>
      <c r="U27" s="482">
        <f>J27-T27</f>
        <v>19</v>
      </c>
      <c r="V27" s="483">
        <f>U27/J27</f>
        <v>0.152</v>
      </c>
      <c r="W27" s="197" t="s">
        <v>317</v>
      </c>
      <c r="X27" s="197" t="s">
        <v>318</v>
      </c>
    </row>
    <row r="28" spans="1:24" s="413" customFormat="1" ht="13.15">
      <c r="A28" s="520" t="s">
        <v>320</v>
      </c>
      <c r="B28" s="520" t="s">
        <v>321</v>
      </c>
      <c r="C28" s="520" t="s">
        <v>322</v>
      </c>
      <c r="D28" s="520">
        <v>21</v>
      </c>
      <c r="E28" s="520">
        <v>6</v>
      </c>
      <c r="F28" s="520">
        <v>2</v>
      </c>
      <c r="G28" s="520">
        <f t="shared" ref="G28:G29" si="23">(D28-E28)*2</f>
        <v>30</v>
      </c>
      <c r="H28" s="520">
        <f t="shared" si="0"/>
        <v>130</v>
      </c>
      <c r="I28" s="520">
        <f>48-G28</f>
        <v>18</v>
      </c>
      <c r="J28" s="520"/>
      <c r="K28" s="1035">
        <v>23</v>
      </c>
      <c r="L28" s="1034">
        <v>45522</v>
      </c>
      <c r="M28" s="1052">
        <f t="shared" si="1"/>
        <v>6</v>
      </c>
      <c r="N28" s="768">
        <f t="shared" si="11"/>
        <v>120.00000000000001</v>
      </c>
      <c r="O28" s="768">
        <f t="shared" ref="O28:O41" si="24">M28*1.09</f>
        <v>6.5400000000000009</v>
      </c>
      <c r="P28" s="520"/>
      <c r="Q28" s="520"/>
      <c r="R28" s="520">
        <v>0</v>
      </c>
      <c r="S28" s="768">
        <f t="shared" si="3"/>
        <v>0</v>
      </c>
      <c r="T28" s="768">
        <f t="shared" si="4"/>
        <v>23</v>
      </c>
      <c r="U28" s="768">
        <f>H28-T28</f>
        <v>107</v>
      </c>
      <c r="V28" s="483"/>
      <c r="W28" s="197"/>
      <c r="X28" s="414"/>
    </row>
    <row r="29" spans="1:24" s="413" customFormat="1" ht="13.15">
      <c r="A29" s="520" t="s">
        <v>320</v>
      </c>
      <c r="B29" s="520" t="s">
        <v>323</v>
      </c>
      <c r="C29" s="520" t="s">
        <v>322</v>
      </c>
      <c r="D29" s="520">
        <v>21</v>
      </c>
      <c r="E29" s="520">
        <v>6</v>
      </c>
      <c r="F29" s="520">
        <v>2</v>
      </c>
      <c r="G29" s="520">
        <f t="shared" si="23"/>
        <v>30</v>
      </c>
      <c r="H29" s="520">
        <f t="shared" si="0"/>
        <v>130</v>
      </c>
      <c r="I29" s="520">
        <f>48-G29</f>
        <v>18</v>
      </c>
      <c r="J29" s="520"/>
      <c r="K29" s="1035">
        <v>23</v>
      </c>
      <c r="L29" s="1034">
        <v>45522</v>
      </c>
      <c r="M29" s="1052">
        <f t="shared" si="1"/>
        <v>6</v>
      </c>
      <c r="N29" s="768">
        <f t="shared" si="11"/>
        <v>120.00000000000001</v>
      </c>
      <c r="O29" s="768">
        <f t="shared" si="24"/>
        <v>6.5400000000000009</v>
      </c>
      <c r="P29" s="520"/>
      <c r="Q29" s="520"/>
      <c r="R29" s="520">
        <v>0</v>
      </c>
      <c r="S29" s="768">
        <f t="shared" si="3"/>
        <v>0</v>
      </c>
      <c r="T29" s="768">
        <f t="shared" si="4"/>
        <v>23</v>
      </c>
      <c r="U29" s="768">
        <f>H29-T29</f>
        <v>107</v>
      </c>
      <c r="V29" s="483"/>
      <c r="W29" s="414"/>
      <c r="X29" s="414"/>
    </row>
    <row r="30" spans="1:24" ht="13.15">
      <c r="A30" s="197" t="s">
        <v>320</v>
      </c>
      <c r="B30" s="197" t="s">
        <v>324</v>
      </c>
      <c r="C30" s="197" t="s">
        <v>276</v>
      </c>
      <c r="D30" s="197">
        <v>19</v>
      </c>
      <c r="E30" s="197">
        <v>2</v>
      </c>
      <c r="F30" s="197">
        <v>2.4</v>
      </c>
      <c r="G30" s="197">
        <f>(D30-E30)*F30</f>
        <v>40.799999999999997</v>
      </c>
      <c r="H30" s="197">
        <f>INT((G30*1000)/230)</f>
        <v>177</v>
      </c>
      <c r="I30" s="197">
        <f>((30-E30)*F30)-G30</f>
        <v>26.400000000000006</v>
      </c>
      <c r="J30" s="197">
        <f>H30/2</f>
        <v>88.5</v>
      </c>
      <c r="K30" s="1033">
        <v>64</v>
      </c>
      <c r="L30" s="1034">
        <v>45312</v>
      </c>
      <c r="M30" s="286">
        <f>ROUNDUP(((K30*230)/1000),0)</f>
        <v>15</v>
      </c>
      <c r="N30" s="482">
        <f>(O30*1000)/54.5</f>
        <v>300.00000000000006</v>
      </c>
      <c r="O30" s="482">
        <f>M30*1.09</f>
        <v>16.350000000000001</v>
      </c>
      <c r="P30" s="197"/>
      <c r="Q30" s="197"/>
      <c r="R30" s="197">
        <v>0</v>
      </c>
      <c r="S30" s="482">
        <f>(R30*230)/1000</f>
        <v>0</v>
      </c>
      <c r="T30" s="482">
        <f>K30+P30+R30</f>
        <v>64</v>
      </c>
      <c r="U30" s="482">
        <f>J30-T30</f>
        <v>24.5</v>
      </c>
      <c r="V30" s="483">
        <f>U30/J30</f>
        <v>0.2768361581920904</v>
      </c>
      <c r="W30" s="197"/>
      <c r="X30" s="197"/>
    </row>
    <row r="31" spans="1:24" ht="13.15">
      <c r="A31" s="197" t="s">
        <v>320</v>
      </c>
      <c r="B31" s="197" t="s">
        <v>325</v>
      </c>
      <c r="C31" s="197" t="s">
        <v>276</v>
      </c>
      <c r="D31" s="197">
        <v>19</v>
      </c>
      <c r="E31" s="197">
        <v>2</v>
      </c>
      <c r="F31" s="197">
        <v>2.4</v>
      </c>
      <c r="G31" s="197">
        <f t="shared" ref="G31:G37" si="25">(D31-E31)*F31</f>
        <v>40.799999999999997</v>
      </c>
      <c r="H31" s="197">
        <f t="shared" si="0"/>
        <v>177</v>
      </c>
      <c r="I31" s="197">
        <f>((30-E31)*F31)-G31</f>
        <v>26.400000000000006</v>
      </c>
      <c r="J31" s="197">
        <f t="shared" si="7"/>
        <v>88.5</v>
      </c>
      <c r="K31" s="1033">
        <v>62</v>
      </c>
      <c r="L31" s="1034">
        <v>45312</v>
      </c>
      <c r="M31" s="286">
        <f t="shared" si="1"/>
        <v>15</v>
      </c>
      <c r="N31" s="482">
        <f t="shared" si="11"/>
        <v>300.00000000000006</v>
      </c>
      <c r="O31" s="482">
        <f t="shared" si="24"/>
        <v>16.350000000000001</v>
      </c>
      <c r="P31" s="197"/>
      <c r="Q31" s="197"/>
      <c r="R31" s="197">
        <v>0</v>
      </c>
      <c r="S31" s="482">
        <f t="shared" si="3"/>
        <v>0</v>
      </c>
      <c r="T31" s="482">
        <f t="shared" si="4"/>
        <v>62</v>
      </c>
      <c r="U31" s="482">
        <f t="shared" ref="U31:U41" si="26">J31-T31</f>
        <v>26.5</v>
      </c>
      <c r="V31" s="483">
        <f t="shared" ref="V31:V41" si="27">U31/J31</f>
        <v>0.29943502824858759</v>
      </c>
      <c r="W31" s="197"/>
      <c r="X31" s="197"/>
    </row>
    <row r="32" spans="1:24" ht="13.15">
      <c r="A32" s="197" t="s">
        <v>320</v>
      </c>
      <c r="B32" s="197" t="s">
        <v>326</v>
      </c>
      <c r="C32" s="197" t="s">
        <v>276</v>
      </c>
      <c r="D32" s="197">
        <v>25</v>
      </c>
      <c r="E32" s="197">
        <v>2</v>
      </c>
      <c r="F32" s="197">
        <v>2.4</v>
      </c>
      <c r="G32" s="197">
        <f t="shared" si="25"/>
        <v>55.199999999999996</v>
      </c>
      <c r="H32" s="197">
        <f t="shared" si="0"/>
        <v>240</v>
      </c>
      <c r="I32" s="197">
        <f>((30-E32)*F32)-G32</f>
        <v>12.000000000000007</v>
      </c>
      <c r="J32" s="197">
        <f t="shared" si="7"/>
        <v>120</v>
      </c>
      <c r="K32" s="1033">
        <v>50</v>
      </c>
      <c r="L32" s="1034">
        <v>45312</v>
      </c>
      <c r="M32" s="286">
        <f t="shared" si="1"/>
        <v>12</v>
      </c>
      <c r="N32" s="482">
        <f t="shared" si="11"/>
        <v>240.00000000000003</v>
      </c>
      <c r="O32" s="482">
        <f t="shared" si="24"/>
        <v>13.080000000000002</v>
      </c>
      <c r="P32" s="197"/>
      <c r="Q32" s="197"/>
      <c r="R32" s="197">
        <v>0</v>
      </c>
      <c r="S32" s="482">
        <f t="shared" si="3"/>
        <v>0</v>
      </c>
      <c r="T32" s="482">
        <f>K32+P32+R32</f>
        <v>50</v>
      </c>
      <c r="U32" s="482">
        <f>J32-T32</f>
        <v>70</v>
      </c>
      <c r="V32" s="483">
        <f t="shared" si="27"/>
        <v>0.58333333333333337</v>
      </c>
      <c r="W32" s="516"/>
      <c r="X32" s="516"/>
    </row>
    <row r="33" spans="1:24" ht="13.15">
      <c r="A33" s="197" t="s">
        <v>320</v>
      </c>
      <c r="B33" s="197" t="s">
        <v>327</v>
      </c>
      <c r="C33" s="197" t="s">
        <v>276</v>
      </c>
      <c r="D33" s="197">
        <v>25</v>
      </c>
      <c r="E33" s="197">
        <v>2</v>
      </c>
      <c r="F33" s="197">
        <v>2.4</v>
      </c>
      <c r="G33" s="197">
        <f t="shared" si="25"/>
        <v>55.199999999999996</v>
      </c>
      <c r="H33" s="197">
        <f t="shared" si="0"/>
        <v>240</v>
      </c>
      <c r="I33" s="197">
        <f>((30-E33)*F33)-G33</f>
        <v>12.000000000000007</v>
      </c>
      <c r="J33" s="197">
        <f t="shared" si="7"/>
        <v>120</v>
      </c>
      <c r="K33" s="1033">
        <v>50</v>
      </c>
      <c r="L33" s="1034">
        <v>45312</v>
      </c>
      <c r="M33" s="286">
        <f t="shared" si="1"/>
        <v>12</v>
      </c>
      <c r="N33" s="482">
        <f t="shared" si="11"/>
        <v>240.00000000000003</v>
      </c>
      <c r="O33" s="482">
        <f t="shared" si="24"/>
        <v>13.080000000000002</v>
      </c>
      <c r="P33" s="197"/>
      <c r="Q33" s="197"/>
      <c r="R33" s="197">
        <v>0</v>
      </c>
      <c r="S33" s="482">
        <f t="shared" si="3"/>
        <v>0</v>
      </c>
      <c r="T33" s="482">
        <f>K33+P33+R33</f>
        <v>50</v>
      </c>
      <c r="U33" s="482">
        <f>J33-T33</f>
        <v>70</v>
      </c>
      <c r="V33" s="483">
        <f t="shared" si="27"/>
        <v>0.58333333333333337</v>
      </c>
      <c r="W33" s="516"/>
      <c r="X33" s="516"/>
    </row>
    <row r="34" spans="1:24" ht="13.15">
      <c r="A34" s="197" t="s">
        <v>328</v>
      </c>
      <c r="B34" s="197" t="s">
        <v>329</v>
      </c>
      <c r="C34" s="197" t="s">
        <v>276</v>
      </c>
      <c r="D34" s="197">
        <v>26</v>
      </c>
      <c r="E34" s="197">
        <v>2</v>
      </c>
      <c r="F34" s="197">
        <v>2.4</v>
      </c>
      <c r="G34" s="197">
        <f t="shared" si="25"/>
        <v>57.599999999999994</v>
      </c>
      <c r="H34" s="197">
        <f t="shared" si="0"/>
        <v>250</v>
      </c>
      <c r="I34" s="197">
        <f>((26-E34)*F34)-G34</f>
        <v>0</v>
      </c>
      <c r="J34" s="197">
        <f t="shared" si="7"/>
        <v>125</v>
      </c>
      <c r="K34" s="197">
        <v>99</v>
      </c>
      <c r="L34" s="1034">
        <v>45522</v>
      </c>
      <c r="M34" s="286">
        <f t="shared" si="1"/>
        <v>23</v>
      </c>
      <c r="N34" s="482">
        <f t="shared" si="11"/>
        <v>460</v>
      </c>
      <c r="O34" s="482">
        <f t="shared" si="24"/>
        <v>25.07</v>
      </c>
      <c r="P34" s="197"/>
      <c r="Q34" s="197"/>
      <c r="R34" s="197">
        <v>4.8</v>
      </c>
      <c r="S34" s="482">
        <f t="shared" si="3"/>
        <v>1.1040000000000001</v>
      </c>
      <c r="T34" s="482">
        <f>K34+P34+R34</f>
        <v>103.8</v>
      </c>
      <c r="U34" s="482">
        <f>J34-T34</f>
        <v>21.200000000000003</v>
      </c>
      <c r="V34" s="483">
        <f>U34/J34</f>
        <v>0.16960000000000003</v>
      </c>
      <c r="W34" s="520" t="s">
        <v>330</v>
      </c>
      <c r="X34" s="520" t="s">
        <v>331</v>
      </c>
    </row>
    <row r="35" spans="1:24" ht="13.15">
      <c r="A35" s="197" t="s">
        <v>328</v>
      </c>
      <c r="B35" s="197" t="s">
        <v>332</v>
      </c>
      <c r="C35" s="197" t="s">
        <v>276</v>
      </c>
      <c r="D35" s="197">
        <v>26</v>
      </c>
      <c r="E35" s="197">
        <v>2</v>
      </c>
      <c r="F35" s="197">
        <v>2.4</v>
      </c>
      <c r="G35" s="197">
        <f t="shared" si="25"/>
        <v>57.599999999999994</v>
      </c>
      <c r="H35" s="197">
        <f t="shared" si="0"/>
        <v>250</v>
      </c>
      <c r="I35" s="197">
        <f>((26-E35)*F35)-G35</f>
        <v>0</v>
      </c>
      <c r="J35" s="197">
        <f t="shared" si="7"/>
        <v>125</v>
      </c>
      <c r="K35" s="197">
        <v>97</v>
      </c>
      <c r="L35" s="1034">
        <v>45522</v>
      </c>
      <c r="M35" s="286">
        <f t="shared" si="1"/>
        <v>23</v>
      </c>
      <c r="N35" s="482">
        <f t="shared" si="11"/>
        <v>460</v>
      </c>
      <c r="O35" s="482">
        <f t="shared" si="24"/>
        <v>25.07</v>
      </c>
      <c r="P35" s="197"/>
      <c r="Q35" s="197"/>
      <c r="R35" s="197">
        <v>4.8</v>
      </c>
      <c r="S35" s="482">
        <f t="shared" si="3"/>
        <v>1.1040000000000001</v>
      </c>
      <c r="T35" s="482">
        <f>K35+P35+R35</f>
        <v>101.8</v>
      </c>
      <c r="U35" s="482">
        <f>J35-T35</f>
        <v>23.200000000000003</v>
      </c>
      <c r="V35" s="483">
        <f>U35/J35</f>
        <v>0.18560000000000001</v>
      </c>
      <c r="W35" s="520" t="s">
        <v>330</v>
      </c>
      <c r="X35" s="520" t="s">
        <v>331</v>
      </c>
    </row>
    <row r="36" spans="1:24" ht="13.15">
      <c r="A36" s="197" t="s">
        <v>333</v>
      </c>
      <c r="B36" s="197" t="s">
        <v>334</v>
      </c>
      <c r="C36" s="197" t="s">
        <v>276</v>
      </c>
      <c r="D36" s="197">
        <v>12</v>
      </c>
      <c r="E36" s="197">
        <v>2</v>
      </c>
      <c r="F36" s="197">
        <v>2.4</v>
      </c>
      <c r="G36" s="197">
        <f t="shared" si="25"/>
        <v>24</v>
      </c>
      <c r="H36" s="197">
        <f t="shared" si="0"/>
        <v>104</v>
      </c>
      <c r="I36" s="197">
        <f>((14-E36)*F36)-G36</f>
        <v>4.7999999999999972</v>
      </c>
      <c r="J36" s="197">
        <f t="shared" si="7"/>
        <v>52</v>
      </c>
      <c r="K36" s="1033">
        <v>18</v>
      </c>
      <c r="L36" s="1034">
        <v>45494</v>
      </c>
      <c r="M36" s="286">
        <f t="shared" si="1"/>
        <v>5</v>
      </c>
      <c r="N36" s="482">
        <f t="shared" si="11"/>
        <v>100</v>
      </c>
      <c r="O36" s="482">
        <f t="shared" si="24"/>
        <v>5.45</v>
      </c>
      <c r="P36" s="197"/>
      <c r="Q36" s="197"/>
      <c r="R36" s="197"/>
      <c r="S36" s="482">
        <f t="shared" si="3"/>
        <v>0</v>
      </c>
      <c r="T36" s="482">
        <f t="shared" si="4"/>
        <v>18</v>
      </c>
      <c r="U36" s="482">
        <f>J36-T36</f>
        <v>34</v>
      </c>
      <c r="V36" s="483">
        <f t="shared" si="27"/>
        <v>0.65384615384615385</v>
      </c>
      <c r="W36" s="197"/>
      <c r="X36" s="197"/>
    </row>
    <row r="37" spans="1:24" ht="13.15">
      <c r="A37" s="197" t="s">
        <v>333</v>
      </c>
      <c r="B37" s="197" t="s">
        <v>335</v>
      </c>
      <c r="C37" s="197" t="s">
        <v>276</v>
      </c>
      <c r="D37" s="197">
        <v>12</v>
      </c>
      <c r="E37" s="197">
        <v>2</v>
      </c>
      <c r="F37" s="197">
        <v>2.4</v>
      </c>
      <c r="G37" s="197">
        <f t="shared" si="25"/>
        <v>24</v>
      </c>
      <c r="H37" s="197">
        <f t="shared" si="0"/>
        <v>104</v>
      </c>
      <c r="I37" s="197">
        <f>((14-E37)*F37)-G37</f>
        <v>4.7999999999999972</v>
      </c>
      <c r="J37" s="197">
        <f t="shared" si="7"/>
        <v>52</v>
      </c>
      <c r="K37" s="197">
        <v>12</v>
      </c>
      <c r="L37" s="1034">
        <v>45522</v>
      </c>
      <c r="M37" s="286">
        <f t="shared" si="1"/>
        <v>3</v>
      </c>
      <c r="N37" s="482">
        <f t="shared" si="11"/>
        <v>60.000000000000007</v>
      </c>
      <c r="O37" s="482">
        <f t="shared" si="24"/>
        <v>3.2700000000000005</v>
      </c>
      <c r="P37" s="197"/>
      <c r="Q37" s="197"/>
      <c r="R37" s="197"/>
      <c r="S37" s="482">
        <f t="shared" si="3"/>
        <v>0</v>
      </c>
      <c r="T37" s="482">
        <f t="shared" si="4"/>
        <v>12</v>
      </c>
      <c r="U37" s="482">
        <f t="shared" si="26"/>
        <v>40</v>
      </c>
      <c r="V37" s="483">
        <f t="shared" si="27"/>
        <v>0.76923076923076927</v>
      </c>
      <c r="W37" s="197"/>
      <c r="X37" s="197"/>
    </row>
    <row r="38" spans="1:24" ht="13.15">
      <c r="A38" s="197" t="s">
        <v>336</v>
      </c>
      <c r="B38" s="197" t="s">
        <v>337</v>
      </c>
      <c r="C38" s="197" t="s">
        <v>276</v>
      </c>
      <c r="D38" s="197">
        <v>12</v>
      </c>
      <c r="E38" s="197">
        <v>2</v>
      </c>
      <c r="F38" s="197">
        <v>2.4</v>
      </c>
      <c r="G38" s="197">
        <f>(D38-E38)*F38</f>
        <v>24</v>
      </c>
      <c r="H38" s="197">
        <f>INT((G38*1000)/230)</f>
        <v>104</v>
      </c>
      <c r="I38" s="197">
        <f>((26-E38)*F38)-G38</f>
        <v>33.599999999999994</v>
      </c>
      <c r="J38" s="197">
        <f t="shared" si="7"/>
        <v>52</v>
      </c>
      <c r="K38" s="1033">
        <v>14</v>
      </c>
      <c r="L38" s="1034">
        <v>45312</v>
      </c>
      <c r="M38" s="286">
        <f t="shared" si="1"/>
        <v>4</v>
      </c>
      <c r="N38" s="482">
        <f t="shared" si="11"/>
        <v>80</v>
      </c>
      <c r="O38" s="482">
        <f t="shared" si="24"/>
        <v>4.3600000000000003</v>
      </c>
      <c r="P38" s="197"/>
      <c r="Q38" s="197"/>
      <c r="R38" s="197">
        <v>0</v>
      </c>
      <c r="S38" s="482">
        <f t="shared" si="3"/>
        <v>0</v>
      </c>
      <c r="T38" s="482">
        <f t="shared" si="4"/>
        <v>14</v>
      </c>
      <c r="U38" s="482">
        <f t="shared" si="26"/>
        <v>38</v>
      </c>
      <c r="V38" s="483">
        <f t="shared" si="27"/>
        <v>0.73076923076923073</v>
      </c>
      <c r="W38" s="197"/>
      <c r="X38" s="197"/>
    </row>
    <row r="39" spans="1:24" ht="13.15">
      <c r="A39" s="197" t="s">
        <v>336</v>
      </c>
      <c r="B39" s="197" t="s">
        <v>338</v>
      </c>
      <c r="C39" s="197" t="s">
        <v>276</v>
      </c>
      <c r="D39" s="197">
        <v>12</v>
      </c>
      <c r="E39" s="197">
        <v>2</v>
      </c>
      <c r="F39" s="197">
        <v>2.4</v>
      </c>
      <c r="G39" s="197">
        <f>(D39-E39)*F39</f>
        <v>24</v>
      </c>
      <c r="H39" s="197">
        <f>INT((G39*1000)/230)</f>
        <v>104</v>
      </c>
      <c r="I39" s="197">
        <f>((26-E39)*F39)-G39</f>
        <v>33.599999999999994</v>
      </c>
      <c r="J39" s="197">
        <f t="shared" si="7"/>
        <v>52</v>
      </c>
      <c r="K39" s="1033">
        <v>11</v>
      </c>
      <c r="L39" s="1034">
        <v>45312</v>
      </c>
      <c r="M39" s="286">
        <f t="shared" si="1"/>
        <v>3</v>
      </c>
      <c r="N39" s="482">
        <f t="shared" si="11"/>
        <v>60.000000000000007</v>
      </c>
      <c r="O39" s="482">
        <f t="shared" si="24"/>
        <v>3.2700000000000005</v>
      </c>
      <c r="P39" s="197"/>
      <c r="Q39" s="197"/>
      <c r="R39" s="197">
        <v>0</v>
      </c>
      <c r="S39" s="482">
        <f t="shared" si="3"/>
        <v>0</v>
      </c>
      <c r="T39" s="482">
        <f t="shared" si="4"/>
        <v>11</v>
      </c>
      <c r="U39" s="482">
        <f t="shared" si="26"/>
        <v>41</v>
      </c>
      <c r="V39" s="483">
        <f t="shared" si="27"/>
        <v>0.78846153846153844</v>
      </c>
      <c r="W39" s="197"/>
      <c r="X39" s="197"/>
    </row>
    <row r="40" spans="1:24" ht="13.15">
      <c r="A40" s="197" t="s">
        <v>339</v>
      </c>
      <c r="B40" s="197" t="s">
        <v>340</v>
      </c>
      <c r="C40" s="197" t="s">
        <v>276</v>
      </c>
      <c r="D40" s="197">
        <v>12</v>
      </c>
      <c r="E40" s="197">
        <v>2</v>
      </c>
      <c r="F40" s="197">
        <v>2.4</v>
      </c>
      <c r="G40" s="197">
        <f>(D40-E40)*F40</f>
        <v>24</v>
      </c>
      <c r="H40" s="197">
        <f t="shared" si="0"/>
        <v>104</v>
      </c>
      <c r="I40" s="197">
        <f>((14-E40)*F40)-G40</f>
        <v>4.7999999999999972</v>
      </c>
      <c r="J40" s="197">
        <f t="shared" si="7"/>
        <v>52</v>
      </c>
      <c r="K40" s="1033">
        <v>16</v>
      </c>
      <c r="L40" s="1034">
        <v>45312</v>
      </c>
      <c r="M40" s="286">
        <f t="shared" si="1"/>
        <v>4</v>
      </c>
      <c r="N40" s="482">
        <f t="shared" si="11"/>
        <v>80</v>
      </c>
      <c r="O40" s="482">
        <f t="shared" si="24"/>
        <v>4.3600000000000003</v>
      </c>
      <c r="P40" s="197"/>
      <c r="Q40" s="197"/>
      <c r="R40" s="197">
        <v>0</v>
      </c>
      <c r="S40" s="482">
        <f t="shared" si="3"/>
        <v>0</v>
      </c>
      <c r="T40" s="482">
        <f t="shared" si="4"/>
        <v>16</v>
      </c>
      <c r="U40" s="482">
        <f t="shared" si="26"/>
        <v>36</v>
      </c>
      <c r="V40" s="483">
        <f t="shared" si="27"/>
        <v>0.69230769230769229</v>
      </c>
      <c r="W40" s="197"/>
      <c r="X40" s="197"/>
    </row>
    <row r="41" spans="1:24" ht="13.15">
      <c r="A41" s="197" t="s">
        <v>339</v>
      </c>
      <c r="B41" s="197" t="s">
        <v>341</v>
      </c>
      <c r="C41" s="197" t="s">
        <v>276</v>
      </c>
      <c r="D41" s="197">
        <v>12</v>
      </c>
      <c r="E41" s="197">
        <v>2</v>
      </c>
      <c r="F41" s="197">
        <v>2.4</v>
      </c>
      <c r="G41" s="197">
        <f>(D41-E41)*F41</f>
        <v>24</v>
      </c>
      <c r="H41" s="197">
        <f t="shared" si="0"/>
        <v>104</v>
      </c>
      <c r="I41" s="197">
        <f>((14-E41)*F41)-G41</f>
        <v>4.7999999999999972</v>
      </c>
      <c r="J41" s="197">
        <f t="shared" si="7"/>
        <v>52</v>
      </c>
      <c r="K41" s="197">
        <v>12</v>
      </c>
      <c r="L41" s="1034">
        <v>45522</v>
      </c>
      <c r="M41" s="286">
        <f t="shared" si="1"/>
        <v>3</v>
      </c>
      <c r="N41" s="482">
        <f t="shared" si="11"/>
        <v>60.000000000000007</v>
      </c>
      <c r="O41" s="482">
        <f t="shared" si="24"/>
        <v>3.2700000000000005</v>
      </c>
      <c r="P41" s="197"/>
      <c r="Q41" s="197"/>
      <c r="R41" s="197">
        <v>0</v>
      </c>
      <c r="S41" s="482">
        <f t="shared" si="3"/>
        <v>0</v>
      </c>
      <c r="T41" s="482">
        <f t="shared" si="4"/>
        <v>12</v>
      </c>
      <c r="U41" s="482">
        <f t="shared" si="26"/>
        <v>40</v>
      </c>
      <c r="V41" s="483">
        <f t="shared" si="27"/>
        <v>0.76923076923076927</v>
      </c>
      <c r="W41" s="197"/>
      <c r="X41" s="197"/>
    </row>
    <row r="42" spans="1:24" ht="13.15">
      <c r="A42" s="756" t="s">
        <v>342</v>
      </c>
      <c r="B42" s="197"/>
      <c r="C42" s="197"/>
      <c r="D42" s="197"/>
      <c r="E42" s="197"/>
      <c r="F42" s="197"/>
      <c r="G42" s="197"/>
      <c r="H42" s="197"/>
      <c r="I42" s="197"/>
      <c r="J42" s="197"/>
      <c r="K42" s="197"/>
      <c r="L42" s="197"/>
      <c r="M42" s="286"/>
      <c r="N42" s="197"/>
      <c r="O42" s="197"/>
      <c r="P42" s="197"/>
      <c r="Q42" s="197"/>
      <c r="R42" s="197"/>
      <c r="S42" s="197"/>
      <c r="T42" s="197"/>
      <c r="U42" s="197"/>
      <c r="V42" s="197"/>
      <c r="W42" s="197"/>
      <c r="X42" s="197"/>
    </row>
    <row r="43" spans="1:24" ht="52.9">
      <c r="A43" s="296" t="s">
        <v>7</v>
      </c>
      <c r="B43" s="297" t="s">
        <v>343</v>
      </c>
      <c r="C43" s="297" t="s">
        <v>344</v>
      </c>
      <c r="D43" s="298" t="s">
        <v>255</v>
      </c>
      <c r="E43" s="298" t="s">
        <v>256</v>
      </c>
      <c r="F43" s="298" t="str">
        <f>F1</f>
        <v>Inverter Module Capacity (kW)</v>
      </c>
      <c r="G43" s="298" t="s">
        <v>258</v>
      </c>
      <c r="H43" s="297" t="s">
        <v>259</v>
      </c>
      <c r="I43" s="297" t="s">
        <v>260</v>
      </c>
      <c r="J43" s="297" t="str">
        <f>J1</f>
        <v>Available Capability (A)</v>
      </c>
      <c r="K43" s="297" t="str">
        <f>K1</f>
        <v>Element Load (A)</v>
      </c>
      <c r="L43" s="297" t="s">
        <v>262</v>
      </c>
      <c r="M43" s="1051" t="str">
        <f>M1</f>
        <v>Element Load (kW)</v>
      </c>
      <c r="N43" s="297" t="str">
        <f>N1</f>
        <v>Total Load on DC power plants (A)</v>
      </c>
      <c r="O43" s="297" t="s">
        <v>265</v>
      </c>
      <c r="P43" s="297" t="str">
        <f>P1</f>
        <v>Inverter Reserved Load (A)</v>
      </c>
      <c r="Q43" s="297" t="s">
        <v>345</v>
      </c>
      <c r="R43" s="297" t="s">
        <v>268</v>
      </c>
      <c r="S43" s="297" t="s">
        <v>269</v>
      </c>
      <c r="T43" s="297" t="str">
        <f>T1</f>
        <v>Element Load+Reserved+Forecast (A)</v>
      </c>
      <c r="U43" s="297" t="str">
        <f>U1</f>
        <v>Remaining Element Capability (A)</v>
      </c>
      <c r="V43" s="297" t="s">
        <v>271</v>
      </c>
      <c r="W43" s="297" t="s">
        <v>346</v>
      </c>
      <c r="X43" s="297" t="s">
        <v>347</v>
      </c>
    </row>
    <row r="44" spans="1:24" ht="13.15">
      <c r="A44" s="197" t="s">
        <v>348</v>
      </c>
      <c r="B44" s="197" t="s">
        <v>349</v>
      </c>
      <c r="C44" s="197" t="s">
        <v>276</v>
      </c>
      <c r="D44" s="197">
        <v>6</v>
      </c>
      <c r="E44" s="197">
        <v>2</v>
      </c>
      <c r="F44" s="197">
        <v>2.4</v>
      </c>
      <c r="G44" s="197">
        <f>(D44-E44)*F44</f>
        <v>9.6</v>
      </c>
      <c r="H44" s="197">
        <f t="shared" ref="H44:H56" si="28">INT((G44*1000)/230)</f>
        <v>41</v>
      </c>
      <c r="I44" s="197">
        <f>42-G44</f>
        <v>32.4</v>
      </c>
      <c r="J44" s="197">
        <f>H44</f>
        <v>41</v>
      </c>
      <c r="K44" s="197">
        <v>5</v>
      </c>
      <c r="L44" s="1034">
        <v>45522</v>
      </c>
      <c r="M44" s="286">
        <f t="shared" ref="M44:M51" si="29">((K44*230)/1000)</f>
        <v>1.1499999999999999</v>
      </c>
      <c r="N44" s="482">
        <f>(O44*1000)/54.5</f>
        <v>23</v>
      </c>
      <c r="O44" s="299">
        <f t="shared" ref="O44:O49" si="30">M44*1.09</f>
        <v>1.2535000000000001</v>
      </c>
      <c r="P44" s="299"/>
      <c r="Q44" s="299"/>
      <c r="R44" s="197">
        <v>0</v>
      </c>
      <c r="S44" s="286">
        <f t="shared" ref="S44:S55" si="31">(R44*230)/1000</f>
        <v>0</v>
      </c>
      <c r="T44" s="286">
        <f t="shared" ref="T44:T55" si="32">K44+P44+R44</f>
        <v>5</v>
      </c>
      <c r="U44" s="286">
        <f t="shared" ref="U44:U55" si="33">J44-T44</f>
        <v>36</v>
      </c>
      <c r="V44" s="286">
        <f t="shared" ref="V44:V55" si="34">U44/J44</f>
        <v>0.87804878048780488</v>
      </c>
      <c r="W44" s="197"/>
      <c r="X44" s="197"/>
    </row>
    <row r="45" spans="1:24" ht="13.15">
      <c r="A45" s="197" t="s">
        <v>350</v>
      </c>
      <c r="B45" s="197" t="s">
        <v>351</v>
      </c>
      <c r="C45" s="197" t="s">
        <v>352</v>
      </c>
      <c r="D45" s="197">
        <v>6</v>
      </c>
      <c r="E45" s="197">
        <v>3</v>
      </c>
      <c r="F45" s="197">
        <v>3</v>
      </c>
      <c r="G45" s="197">
        <f>(D45-E45)*F45</f>
        <v>9</v>
      </c>
      <c r="H45" s="197">
        <f>INT((G45*1000)/230)</f>
        <v>39</v>
      </c>
      <c r="I45" s="197">
        <f>42-G45</f>
        <v>33</v>
      </c>
      <c r="J45" s="197">
        <f>H45</f>
        <v>39</v>
      </c>
      <c r="K45" s="1033">
        <v>1</v>
      </c>
      <c r="L45" s="1034" t="s">
        <v>295</v>
      </c>
      <c r="M45" s="286">
        <f t="shared" si="29"/>
        <v>0.23</v>
      </c>
      <c r="N45" s="482">
        <f>(O45*1000)/54.5</f>
        <v>4.6000000000000005</v>
      </c>
      <c r="O45" s="299">
        <f>M45*1.09</f>
        <v>0.25070000000000003</v>
      </c>
      <c r="P45" s="299"/>
      <c r="Q45" s="299"/>
      <c r="R45" s="197">
        <v>0</v>
      </c>
      <c r="S45" s="286">
        <f>(R45*230)/1000</f>
        <v>0</v>
      </c>
      <c r="T45" s="286">
        <f t="shared" si="32"/>
        <v>1</v>
      </c>
      <c r="U45" s="286">
        <f t="shared" si="33"/>
        <v>38</v>
      </c>
      <c r="V45" s="286">
        <f t="shared" si="34"/>
        <v>0.97435897435897434</v>
      </c>
      <c r="W45" s="197"/>
      <c r="X45" s="197"/>
    </row>
    <row r="46" spans="1:24" ht="13.15">
      <c r="A46" s="197" t="s">
        <v>353</v>
      </c>
      <c r="B46" s="197" t="s">
        <v>354</v>
      </c>
      <c r="C46" s="197" t="s">
        <v>276</v>
      </c>
      <c r="D46" s="197">
        <v>6</v>
      </c>
      <c r="E46" s="197">
        <v>2</v>
      </c>
      <c r="F46" s="197">
        <v>2.4</v>
      </c>
      <c r="G46" s="197">
        <f t="shared" ref="G46:G51" si="35">(D46-E46)*F46</f>
        <v>9.6</v>
      </c>
      <c r="H46" s="197">
        <f t="shared" si="28"/>
        <v>41</v>
      </c>
      <c r="I46" s="197">
        <f>42-G46</f>
        <v>32.4</v>
      </c>
      <c r="J46" s="197">
        <f t="shared" ref="J46:J55" si="36">H46</f>
        <v>41</v>
      </c>
      <c r="K46" s="197">
        <v>5</v>
      </c>
      <c r="L46" s="1034">
        <v>45522</v>
      </c>
      <c r="M46" s="286">
        <f t="shared" si="29"/>
        <v>1.1499999999999999</v>
      </c>
      <c r="N46" s="482">
        <f t="shared" ref="N46:N55" si="37">(O46*1000)/54.5</f>
        <v>23</v>
      </c>
      <c r="O46" s="299">
        <f t="shared" si="30"/>
        <v>1.2535000000000001</v>
      </c>
      <c r="P46" s="299"/>
      <c r="Q46" s="299"/>
      <c r="R46" s="197">
        <v>0</v>
      </c>
      <c r="S46" s="286">
        <f t="shared" si="31"/>
        <v>0</v>
      </c>
      <c r="T46" s="286">
        <f t="shared" si="32"/>
        <v>5</v>
      </c>
      <c r="U46" s="286">
        <f t="shared" si="33"/>
        <v>36</v>
      </c>
      <c r="V46" s="286">
        <f t="shared" si="34"/>
        <v>0.87804878048780488</v>
      </c>
      <c r="W46" s="197"/>
      <c r="X46" s="197"/>
    </row>
    <row r="47" spans="1:24" ht="13.15">
      <c r="A47" s="197" t="s">
        <v>355</v>
      </c>
      <c r="B47" s="197" t="s">
        <v>356</v>
      </c>
      <c r="C47" s="197" t="s">
        <v>276</v>
      </c>
      <c r="D47" s="197">
        <v>6</v>
      </c>
      <c r="E47" s="197">
        <v>2</v>
      </c>
      <c r="F47" s="197">
        <v>2.4</v>
      </c>
      <c r="G47" s="197">
        <f t="shared" si="35"/>
        <v>9.6</v>
      </c>
      <c r="H47" s="197">
        <f t="shared" si="28"/>
        <v>41</v>
      </c>
      <c r="I47" s="197">
        <f>42-G47</f>
        <v>32.4</v>
      </c>
      <c r="J47" s="197">
        <f t="shared" si="36"/>
        <v>41</v>
      </c>
      <c r="K47" s="197">
        <v>7</v>
      </c>
      <c r="L47" s="1034">
        <v>45522</v>
      </c>
      <c r="M47" s="286">
        <f t="shared" si="29"/>
        <v>1.61</v>
      </c>
      <c r="N47" s="482">
        <f t="shared" si="37"/>
        <v>32.200000000000003</v>
      </c>
      <c r="O47" s="299">
        <f t="shared" si="30"/>
        <v>1.7549000000000001</v>
      </c>
      <c r="P47" s="299"/>
      <c r="Q47" s="299"/>
      <c r="R47" s="197">
        <v>0</v>
      </c>
      <c r="S47" s="286">
        <f t="shared" si="31"/>
        <v>0</v>
      </c>
      <c r="T47" s="286">
        <f t="shared" si="32"/>
        <v>7</v>
      </c>
      <c r="U47" s="286">
        <f t="shared" si="33"/>
        <v>34</v>
      </c>
      <c r="V47" s="286">
        <f t="shared" si="34"/>
        <v>0.82926829268292679</v>
      </c>
      <c r="W47" s="197"/>
      <c r="X47" s="197"/>
    </row>
    <row r="48" spans="1:24" ht="13.15">
      <c r="A48" s="197" t="s">
        <v>357</v>
      </c>
      <c r="B48" s="197" t="s">
        <v>358</v>
      </c>
      <c r="C48" s="197" t="s">
        <v>322</v>
      </c>
      <c r="D48" s="197">
        <v>3</v>
      </c>
      <c r="E48" s="197">
        <v>1</v>
      </c>
      <c r="F48" s="197">
        <v>0.52500000000000002</v>
      </c>
      <c r="G48" s="197">
        <f t="shared" si="35"/>
        <v>1.05</v>
      </c>
      <c r="H48" s="197">
        <f t="shared" si="28"/>
        <v>4</v>
      </c>
      <c r="I48" s="197">
        <v>0</v>
      </c>
      <c r="J48" s="197">
        <f t="shared" si="36"/>
        <v>4</v>
      </c>
      <c r="K48" s="197">
        <v>2</v>
      </c>
      <c r="L48" s="1034">
        <v>45522</v>
      </c>
      <c r="M48" s="286">
        <f t="shared" si="29"/>
        <v>0.46</v>
      </c>
      <c r="N48" s="482">
        <f t="shared" si="37"/>
        <v>9.2000000000000011</v>
      </c>
      <c r="O48" s="299">
        <f t="shared" si="30"/>
        <v>0.50140000000000007</v>
      </c>
      <c r="P48" s="299"/>
      <c r="Q48" s="299"/>
      <c r="R48" s="197">
        <v>0</v>
      </c>
      <c r="S48" s="286">
        <f t="shared" si="31"/>
        <v>0</v>
      </c>
      <c r="T48" s="286">
        <f t="shared" si="32"/>
        <v>2</v>
      </c>
      <c r="U48" s="286">
        <f t="shared" si="33"/>
        <v>2</v>
      </c>
      <c r="V48" s="286">
        <f t="shared" si="34"/>
        <v>0.5</v>
      </c>
      <c r="W48" s="197"/>
      <c r="X48" s="197"/>
    </row>
    <row r="49" spans="1:24" ht="13.15">
      <c r="A49" s="197" t="s">
        <v>359</v>
      </c>
      <c r="B49" s="197" t="s">
        <v>360</v>
      </c>
      <c r="C49" s="197" t="s">
        <v>276</v>
      </c>
      <c r="D49" s="197">
        <v>6</v>
      </c>
      <c r="E49" s="197">
        <v>2</v>
      </c>
      <c r="F49" s="197">
        <v>2.4</v>
      </c>
      <c r="G49" s="197">
        <f t="shared" si="35"/>
        <v>9.6</v>
      </c>
      <c r="H49" s="197">
        <f t="shared" si="28"/>
        <v>41</v>
      </c>
      <c r="I49" s="197">
        <f>42-G49</f>
        <v>32.4</v>
      </c>
      <c r="J49" s="197">
        <f t="shared" si="36"/>
        <v>41</v>
      </c>
      <c r="K49" s="197">
        <v>7</v>
      </c>
      <c r="L49" s="1034">
        <v>45522</v>
      </c>
      <c r="M49" s="286">
        <f t="shared" si="29"/>
        <v>1.61</v>
      </c>
      <c r="N49" s="482">
        <f t="shared" si="37"/>
        <v>32.200000000000003</v>
      </c>
      <c r="O49" s="299">
        <f t="shared" si="30"/>
        <v>1.7549000000000001</v>
      </c>
      <c r="P49" s="299"/>
      <c r="Q49" s="299"/>
      <c r="R49" s="197">
        <v>0</v>
      </c>
      <c r="S49" s="286">
        <f t="shared" si="31"/>
        <v>0</v>
      </c>
      <c r="T49" s="286">
        <f t="shared" si="32"/>
        <v>7</v>
      </c>
      <c r="U49" s="286">
        <f t="shared" si="33"/>
        <v>34</v>
      </c>
      <c r="V49" s="286">
        <f t="shared" si="34"/>
        <v>0.82926829268292679</v>
      </c>
      <c r="W49" s="197"/>
      <c r="X49" s="197"/>
    </row>
    <row r="50" spans="1:24" ht="13.15">
      <c r="A50" s="197" t="s">
        <v>361</v>
      </c>
      <c r="B50" s="197" t="s">
        <v>362</v>
      </c>
      <c r="C50" s="197" t="s">
        <v>276</v>
      </c>
      <c r="D50" s="197">
        <v>6</v>
      </c>
      <c r="E50" s="197">
        <v>2</v>
      </c>
      <c r="F50" s="197">
        <v>2.4</v>
      </c>
      <c r="G50" s="197">
        <f t="shared" si="35"/>
        <v>9.6</v>
      </c>
      <c r="H50" s="197">
        <f t="shared" si="28"/>
        <v>41</v>
      </c>
      <c r="I50" s="197">
        <f>42-G50</f>
        <v>32.4</v>
      </c>
      <c r="J50" s="197">
        <f t="shared" si="36"/>
        <v>41</v>
      </c>
      <c r="K50" s="197">
        <v>6</v>
      </c>
      <c r="L50" s="1034">
        <v>45522</v>
      </c>
      <c r="M50" s="286">
        <f t="shared" si="29"/>
        <v>1.38</v>
      </c>
      <c r="N50" s="482">
        <f t="shared" si="37"/>
        <v>27.6</v>
      </c>
      <c r="O50" s="299">
        <f>M50*1.09</f>
        <v>1.5042</v>
      </c>
      <c r="P50" s="299"/>
      <c r="Q50" s="299"/>
      <c r="R50" s="197">
        <v>0</v>
      </c>
      <c r="S50" s="286">
        <f t="shared" si="31"/>
        <v>0</v>
      </c>
      <c r="T50" s="286">
        <f t="shared" si="32"/>
        <v>6</v>
      </c>
      <c r="U50" s="286">
        <f t="shared" si="33"/>
        <v>35</v>
      </c>
      <c r="V50" s="286">
        <f t="shared" si="34"/>
        <v>0.85365853658536583</v>
      </c>
      <c r="W50" s="197"/>
      <c r="X50" s="197"/>
    </row>
    <row r="51" spans="1:24" ht="13.15">
      <c r="A51" s="197" t="s">
        <v>363</v>
      </c>
      <c r="B51" s="197" t="s">
        <v>364</v>
      </c>
      <c r="C51" s="197" t="s">
        <v>276</v>
      </c>
      <c r="D51" s="197">
        <v>8</v>
      </c>
      <c r="E51" s="197">
        <v>2</v>
      </c>
      <c r="F51" s="197">
        <v>2.4</v>
      </c>
      <c r="G51" s="197">
        <f t="shared" si="35"/>
        <v>14.399999999999999</v>
      </c>
      <c r="H51" s="197">
        <f t="shared" si="28"/>
        <v>62</v>
      </c>
      <c r="I51" s="197">
        <f>42-G51</f>
        <v>27.6</v>
      </c>
      <c r="J51" s="197">
        <f t="shared" si="36"/>
        <v>62</v>
      </c>
      <c r="K51" s="1033">
        <v>41</v>
      </c>
      <c r="L51" s="1034" t="s">
        <v>295</v>
      </c>
      <c r="M51" s="286">
        <f t="shared" si="29"/>
        <v>9.43</v>
      </c>
      <c r="N51" s="482">
        <f t="shared" si="37"/>
        <v>188.60000000000002</v>
      </c>
      <c r="O51" s="299">
        <f>M51*1.09</f>
        <v>10.278700000000001</v>
      </c>
      <c r="P51" s="299"/>
      <c r="Q51" s="299"/>
      <c r="R51" s="197">
        <v>0</v>
      </c>
      <c r="S51" s="286">
        <f t="shared" si="31"/>
        <v>0</v>
      </c>
      <c r="T51" s="286">
        <f t="shared" si="32"/>
        <v>41</v>
      </c>
      <c r="U51" s="286">
        <f t="shared" si="33"/>
        <v>21</v>
      </c>
      <c r="V51" s="286">
        <f t="shared" si="34"/>
        <v>0.33870967741935482</v>
      </c>
      <c r="W51" s="197"/>
      <c r="X51" s="197"/>
    </row>
    <row r="52" spans="1:24" ht="13.15">
      <c r="A52" s="197" t="s">
        <v>363</v>
      </c>
      <c r="B52" s="197" t="s">
        <v>365</v>
      </c>
      <c r="C52" s="197" t="s">
        <v>366</v>
      </c>
      <c r="D52" s="414">
        <v>2</v>
      </c>
      <c r="E52" s="414">
        <v>1</v>
      </c>
      <c r="F52" s="414">
        <v>75</v>
      </c>
      <c r="G52" s="197">
        <v>75</v>
      </c>
      <c r="H52" s="197">
        <f t="shared" si="28"/>
        <v>326</v>
      </c>
      <c r="I52" s="197">
        <v>0</v>
      </c>
      <c r="J52" s="197">
        <f t="shared" si="36"/>
        <v>326</v>
      </c>
      <c r="K52" s="1062">
        <v>143</v>
      </c>
      <c r="L52" s="1034">
        <v>45523</v>
      </c>
      <c r="M52" s="286">
        <v>31</v>
      </c>
      <c r="N52" s="482"/>
      <c r="O52" s="299"/>
      <c r="P52" s="299"/>
      <c r="Q52" s="299"/>
      <c r="R52" s="197">
        <v>0</v>
      </c>
      <c r="S52" s="286">
        <f t="shared" si="31"/>
        <v>0</v>
      </c>
      <c r="T52" s="286">
        <f t="shared" si="32"/>
        <v>143</v>
      </c>
      <c r="U52" s="286">
        <f t="shared" si="33"/>
        <v>183</v>
      </c>
      <c r="V52" s="286">
        <f t="shared" si="34"/>
        <v>0.56134969325153372</v>
      </c>
      <c r="W52" s="477"/>
      <c r="X52" s="197"/>
    </row>
    <row r="53" spans="1:24" ht="13.15">
      <c r="A53" s="197" t="s">
        <v>367</v>
      </c>
      <c r="B53" s="197" t="s">
        <v>368</v>
      </c>
      <c r="C53" s="197" t="s">
        <v>276</v>
      </c>
      <c r="D53" s="197">
        <v>6</v>
      </c>
      <c r="E53" s="197">
        <v>2</v>
      </c>
      <c r="F53" s="197">
        <v>2.4</v>
      </c>
      <c r="G53" s="197">
        <f>(D53-E53)*F53</f>
        <v>9.6</v>
      </c>
      <c r="H53" s="197">
        <f t="shared" si="28"/>
        <v>41</v>
      </c>
      <c r="I53" s="197">
        <f>42-G53</f>
        <v>32.4</v>
      </c>
      <c r="J53" s="197">
        <f t="shared" si="36"/>
        <v>41</v>
      </c>
      <c r="K53" s="197">
        <v>4</v>
      </c>
      <c r="L53" s="1034">
        <v>45522</v>
      </c>
      <c r="M53" s="286">
        <f>((K53*230)/1000)</f>
        <v>0.92</v>
      </c>
      <c r="N53" s="482">
        <f t="shared" si="37"/>
        <v>18.400000000000002</v>
      </c>
      <c r="O53" s="299">
        <f>M53*1.09</f>
        <v>1.0028000000000001</v>
      </c>
      <c r="P53" s="299"/>
      <c r="Q53" s="299"/>
      <c r="R53" s="197">
        <v>0</v>
      </c>
      <c r="S53" s="286">
        <f t="shared" si="31"/>
        <v>0</v>
      </c>
      <c r="T53" s="286">
        <f t="shared" si="32"/>
        <v>4</v>
      </c>
      <c r="U53" s="286">
        <f t="shared" si="33"/>
        <v>37</v>
      </c>
      <c r="V53" s="286">
        <f t="shared" si="34"/>
        <v>0.90243902439024393</v>
      </c>
      <c r="W53" s="197"/>
      <c r="X53" s="197"/>
    </row>
    <row r="54" spans="1:24" ht="13.15">
      <c r="A54" s="197" t="s">
        <v>369</v>
      </c>
      <c r="B54" s="197" t="s">
        <v>370</v>
      </c>
      <c r="C54" s="197" t="s">
        <v>276</v>
      </c>
      <c r="D54" s="197">
        <v>6</v>
      </c>
      <c r="E54" s="197">
        <v>2</v>
      </c>
      <c r="F54" s="197">
        <v>2.4</v>
      </c>
      <c r="G54" s="197">
        <f>(D54-E54)*F54</f>
        <v>9.6</v>
      </c>
      <c r="H54" s="197">
        <f t="shared" si="28"/>
        <v>41</v>
      </c>
      <c r="I54" s="197">
        <f>42-G54</f>
        <v>32.4</v>
      </c>
      <c r="J54" s="197">
        <f t="shared" si="36"/>
        <v>41</v>
      </c>
      <c r="K54" s="197">
        <v>7</v>
      </c>
      <c r="L54" s="1034">
        <v>45522</v>
      </c>
      <c r="M54" s="286">
        <f>((K54*230)/1000)</f>
        <v>1.61</v>
      </c>
      <c r="N54" s="482">
        <f t="shared" si="37"/>
        <v>32.200000000000003</v>
      </c>
      <c r="O54" s="299">
        <f>M54*1.09</f>
        <v>1.7549000000000001</v>
      </c>
      <c r="P54" s="299"/>
      <c r="Q54" s="299"/>
      <c r="R54" s="197">
        <v>0</v>
      </c>
      <c r="S54" s="286">
        <f t="shared" si="31"/>
        <v>0</v>
      </c>
      <c r="T54" s="286">
        <f t="shared" si="32"/>
        <v>7</v>
      </c>
      <c r="U54" s="286">
        <f t="shared" si="33"/>
        <v>34</v>
      </c>
      <c r="V54" s="286">
        <f t="shared" si="34"/>
        <v>0.82926829268292679</v>
      </c>
      <c r="W54" s="197"/>
      <c r="X54" s="197"/>
    </row>
    <row r="55" spans="1:24" ht="13.15">
      <c r="A55" s="197" t="s">
        <v>371</v>
      </c>
      <c r="B55" s="197" t="s">
        <v>372</v>
      </c>
      <c r="C55" s="197" t="s">
        <v>322</v>
      </c>
      <c r="D55" s="197">
        <v>3</v>
      </c>
      <c r="E55" s="197">
        <v>1</v>
      </c>
      <c r="F55" s="197">
        <v>2</v>
      </c>
      <c r="G55" s="197">
        <f>(D55-E55)*F55</f>
        <v>4</v>
      </c>
      <c r="H55" s="197">
        <f t="shared" si="28"/>
        <v>17</v>
      </c>
      <c r="I55" s="197">
        <f>0</f>
        <v>0</v>
      </c>
      <c r="J55" s="197">
        <f t="shared" si="36"/>
        <v>17</v>
      </c>
      <c r="K55" s="197">
        <v>3</v>
      </c>
      <c r="L55" s="1034">
        <v>45522</v>
      </c>
      <c r="M55" s="286">
        <f>((K55*230)/1000)</f>
        <v>0.69</v>
      </c>
      <c r="N55" s="482">
        <f t="shared" si="37"/>
        <v>0</v>
      </c>
      <c r="O55" s="299">
        <f>0</f>
        <v>0</v>
      </c>
      <c r="P55" s="299"/>
      <c r="Q55" s="299"/>
      <c r="R55" s="197">
        <v>0</v>
      </c>
      <c r="S55" s="286">
        <f t="shared" si="31"/>
        <v>0</v>
      </c>
      <c r="T55" s="286">
        <f t="shared" si="32"/>
        <v>3</v>
      </c>
      <c r="U55" s="286">
        <f t="shared" si="33"/>
        <v>14</v>
      </c>
      <c r="V55" s="286">
        <f t="shared" si="34"/>
        <v>0.82352941176470584</v>
      </c>
      <c r="W55" s="197"/>
      <c r="X55" s="197"/>
    </row>
    <row r="56" spans="1:24" ht="13.15">
      <c r="A56" s="197" t="s">
        <v>293</v>
      </c>
      <c r="B56" s="197" t="s">
        <v>373</v>
      </c>
      <c r="C56" s="197" t="s">
        <v>352</v>
      </c>
      <c r="D56" s="197">
        <v>8</v>
      </c>
      <c r="E56" s="197">
        <v>3</v>
      </c>
      <c r="F56" s="197">
        <v>3</v>
      </c>
      <c r="G56" s="197">
        <f>(D56-E56)*3</f>
        <v>15</v>
      </c>
      <c r="H56" s="197">
        <f t="shared" si="28"/>
        <v>65</v>
      </c>
      <c r="I56" s="197">
        <f>42-G56</f>
        <v>27</v>
      </c>
      <c r="J56" s="197">
        <v>10</v>
      </c>
      <c r="K56" s="197">
        <f t="shared" ref="K56" si="38">ROUNDUP(((J56*230)/1000),0)</f>
        <v>3</v>
      </c>
      <c r="L56" s="197">
        <f t="shared" ref="L56" si="39">K56*1.09</f>
        <v>3.2700000000000005</v>
      </c>
      <c r="M56" s="197"/>
      <c r="N56" s="197">
        <v>0</v>
      </c>
      <c r="O56" s="197">
        <f t="shared" ref="O56" si="40">(N56*230)/1000</f>
        <v>0</v>
      </c>
      <c r="P56" s="197"/>
      <c r="Q56" s="197"/>
      <c r="R56" s="197"/>
      <c r="S56" s="197"/>
      <c r="T56" s="197"/>
      <c r="U56" s="197"/>
      <c r="V56" s="197"/>
      <c r="W56" s="197"/>
      <c r="X56" s="197"/>
    </row>
    <row r="57" spans="1:24" ht="13.15">
      <c r="A57" s="197"/>
      <c r="B57" s="197"/>
      <c r="C57" s="197"/>
      <c r="D57" s="197"/>
      <c r="E57" s="197"/>
      <c r="F57" s="197"/>
      <c r="G57" s="197"/>
      <c r="H57" s="197"/>
      <c r="I57" s="197"/>
      <c r="J57" s="197"/>
      <c r="K57" s="197"/>
      <c r="L57" s="197"/>
      <c r="M57" s="286"/>
      <c r="N57" s="197"/>
      <c r="O57" s="197"/>
      <c r="P57" s="197"/>
      <c r="Q57" s="197"/>
      <c r="R57" s="197"/>
      <c r="S57" s="197"/>
      <c r="T57" s="197"/>
      <c r="U57" s="197"/>
      <c r="V57" s="197"/>
      <c r="W57" s="197"/>
      <c r="X57" s="197"/>
    </row>
    <row r="58" spans="1:24" ht="13.15">
      <c r="A58" s="197"/>
      <c r="B58" s="197"/>
      <c r="C58" s="197"/>
      <c r="D58" s="197"/>
      <c r="E58" s="197"/>
      <c r="F58" s="197"/>
      <c r="G58" s="197"/>
      <c r="H58" s="197"/>
      <c r="I58" s="197"/>
      <c r="J58" s="197"/>
      <c r="K58" s="197"/>
      <c r="L58" s="197"/>
      <c r="M58" s="286"/>
      <c r="N58" s="197"/>
      <c r="O58" s="197"/>
      <c r="P58" s="197"/>
      <c r="Q58" s="197"/>
      <c r="R58" s="197"/>
      <c r="S58" s="197"/>
      <c r="T58" s="197"/>
      <c r="U58" s="197"/>
      <c r="V58" s="197"/>
      <c r="W58" s="197"/>
      <c r="X58" s="197"/>
    </row>
    <row r="59" spans="1:24" ht="13.15">
      <c r="A59" s="197"/>
      <c r="B59" s="197"/>
      <c r="C59" s="197"/>
      <c r="D59" s="197"/>
      <c r="E59" s="197"/>
      <c r="F59" s="197"/>
      <c r="G59" s="197"/>
      <c r="H59" s="197"/>
      <c r="I59" s="197"/>
      <c r="J59" s="197"/>
      <c r="K59" s="197"/>
      <c r="L59" s="197"/>
      <c r="M59" s="286"/>
      <c r="N59" s="197"/>
      <c r="O59" s="197"/>
      <c r="P59" s="197"/>
      <c r="Q59" s="197"/>
      <c r="R59" s="197"/>
      <c r="S59" s="197"/>
      <c r="T59" s="197"/>
      <c r="U59" s="197"/>
      <c r="V59" s="197"/>
      <c r="W59" s="197"/>
      <c r="X59" s="197"/>
    </row>
    <row r="60" spans="1:24" ht="13.15">
      <c r="A60" s="295" t="s">
        <v>374</v>
      </c>
    </row>
    <row r="61" spans="1:24" ht="52.9">
      <c r="A61" s="453" t="s">
        <v>343</v>
      </c>
      <c r="B61" s="453" t="s">
        <v>375</v>
      </c>
      <c r="C61" s="453" t="s">
        <v>376</v>
      </c>
      <c r="D61" s="453" t="s">
        <v>377</v>
      </c>
      <c r="E61" s="453" t="s">
        <v>258</v>
      </c>
      <c r="F61" s="453"/>
      <c r="G61" s="453" t="s">
        <v>378</v>
      </c>
      <c r="H61" s="453" t="s">
        <v>379</v>
      </c>
    </row>
    <row r="62" spans="1:24" ht="13.15">
      <c r="A62" s="212" t="s">
        <v>380</v>
      </c>
      <c r="B62" s="226">
        <f>M2+M3</f>
        <v>28</v>
      </c>
      <c r="C62" s="226">
        <v>16</v>
      </c>
      <c r="D62" s="226">
        <f>S2</f>
        <v>0.57499999999999996</v>
      </c>
      <c r="E62" s="226">
        <f>((G2+G3)/2)-(B62+C62+D62)</f>
        <v>-3.7750000000000057</v>
      </c>
      <c r="F62" s="226"/>
      <c r="G62" s="226">
        <f>SUM(I2:I3)/2</f>
        <v>16.799999999999997</v>
      </c>
      <c r="H62" s="454">
        <f t="shared" ref="H62:H83" si="41">E62/(SUM(B62:E62))</f>
        <v>-9.2524509803921712E-2</v>
      </c>
      <c r="I62" s="197"/>
      <c r="J62" s="197"/>
      <c r="K62" s="197"/>
      <c r="L62" s="197"/>
    </row>
    <row r="63" spans="1:24" ht="13.15">
      <c r="A63" s="212" t="s">
        <v>381</v>
      </c>
      <c r="B63" s="226">
        <f>M4+M5</f>
        <v>33</v>
      </c>
      <c r="C63" s="226">
        <f>SUM(Q4:Q5)</f>
        <v>0</v>
      </c>
      <c r="D63" s="226">
        <f>S4+S5</f>
        <v>0</v>
      </c>
      <c r="E63" s="226">
        <f>((G4+G5)/2)-(B63+C63+D63)</f>
        <v>24.599999999999994</v>
      </c>
      <c r="F63" s="226"/>
      <c r="G63" s="226">
        <f>SUM(I4:I5)/2</f>
        <v>0</v>
      </c>
      <c r="H63" s="454">
        <f t="shared" si="41"/>
        <v>0.42708333333333326</v>
      </c>
    </row>
    <row r="64" spans="1:24" ht="13.15">
      <c r="A64" s="212" t="s">
        <v>382</v>
      </c>
      <c r="B64" s="226">
        <f>M6+M7</f>
        <v>30</v>
      </c>
      <c r="C64" s="226">
        <f>SUM(Q6:Q7)</f>
        <v>0</v>
      </c>
      <c r="D64" s="226">
        <f>S6+S7</f>
        <v>0</v>
      </c>
      <c r="E64" s="226">
        <f>((G6+G7)/2)-(B64+C64+D64)</f>
        <v>27.599999999999994</v>
      </c>
      <c r="F64" s="226"/>
      <c r="G64" s="226">
        <f>SUM(I6:I7)/2</f>
        <v>0</v>
      </c>
      <c r="H64" s="454">
        <f t="shared" si="41"/>
        <v>0.47916666666666663</v>
      </c>
    </row>
    <row r="65" spans="1:8" ht="13.15">
      <c r="A65" s="212" t="s">
        <v>383</v>
      </c>
      <c r="B65" s="226">
        <f>SUM(M10:M11)</f>
        <v>16</v>
      </c>
      <c r="C65" s="226">
        <f>SUM(Q10,Q11)</f>
        <v>0</v>
      </c>
      <c r="D65" s="226">
        <f>SUM(S10:S11)</f>
        <v>0</v>
      </c>
      <c r="E65" s="226">
        <f>((G10+G11)/2)-(B65+C65+D65)</f>
        <v>8</v>
      </c>
      <c r="F65" s="226"/>
      <c r="G65" s="226">
        <f>I10</f>
        <v>4.7999999999999972</v>
      </c>
      <c r="H65" s="454">
        <f t="shared" si="41"/>
        <v>0.33333333333333331</v>
      </c>
    </row>
    <row r="66" spans="1:8" ht="13.15">
      <c r="A66" s="212" t="e">
        <f>#REF!</f>
        <v>#REF!</v>
      </c>
      <c r="B66" s="226" t="e">
        <f>#REF!</f>
        <v>#REF!</v>
      </c>
      <c r="C66" s="226"/>
      <c r="D66" s="226" t="e">
        <f>#REF!</f>
        <v>#REF!</v>
      </c>
      <c r="E66" s="226" t="e">
        <f>#REF!-(B66+C66+D66)</f>
        <v>#REF!</v>
      </c>
      <c r="F66" s="226"/>
      <c r="G66" s="226" t="e">
        <f>#REF!</f>
        <v>#REF!</v>
      </c>
      <c r="H66" s="454" t="e">
        <f t="shared" si="41"/>
        <v>#REF!</v>
      </c>
    </row>
    <row r="67" spans="1:8" ht="13.15">
      <c r="A67" s="212" t="e">
        <f>#REF!</f>
        <v>#REF!</v>
      </c>
      <c r="B67" s="226" t="e">
        <f>#REF!</f>
        <v>#REF!</v>
      </c>
      <c r="C67" s="226"/>
      <c r="D67" s="226" t="e">
        <f>#REF!</f>
        <v>#REF!</v>
      </c>
      <c r="E67" s="226" t="e">
        <f>#REF!-(B67+C67+D67)</f>
        <v>#REF!</v>
      </c>
      <c r="F67" s="226"/>
      <c r="G67" s="226" t="e">
        <f>#REF!</f>
        <v>#REF!</v>
      </c>
      <c r="H67" s="454" t="e">
        <f t="shared" si="41"/>
        <v>#REF!</v>
      </c>
    </row>
    <row r="68" spans="1:8" ht="13.15">
      <c r="A68" s="455" t="s">
        <v>384</v>
      </c>
      <c r="B68" s="311" t="e">
        <f>#REF!</f>
        <v>#REF!</v>
      </c>
      <c r="C68" s="311"/>
      <c r="D68" s="311" t="e">
        <f>#REF!</f>
        <v>#REF!</v>
      </c>
      <c r="E68" s="311" t="e">
        <f>#REF!-(B68+C68+D68)</f>
        <v>#REF!</v>
      </c>
      <c r="F68" s="311"/>
      <c r="G68" s="311" t="e">
        <f>#REF!</f>
        <v>#REF!</v>
      </c>
      <c r="H68" s="454" t="e">
        <f t="shared" si="41"/>
        <v>#REF!</v>
      </c>
    </row>
    <row r="69" spans="1:8" ht="13.15">
      <c r="A69" s="455" t="s">
        <v>385</v>
      </c>
      <c r="B69" s="311" t="e">
        <f>#REF!</f>
        <v>#REF!</v>
      </c>
      <c r="C69" s="311"/>
      <c r="D69" s="311" t="e">
        <f>#REF!</f>
        <v>#REF!</v>
      </c>
      <c r="E69" s="311" t="e">
        <f>#REF!-(B69+C69+D69)</f>
        <v>#REF!</v>
      </c>
      <c r="F69" s="311"/>
      <c r="G69" s="311" t="e">
        <f>#REF!</f>
        <v>#REF!</v>
      </c>
      <c r="H69" s="454" t="e">
        <f t="shared" si="41"/>
        <v>#REF!</v>
      </c>
    </row>
    <row r="70" spans="1:8" ht="13.15">
      <c r="A70" s="212" t="s">
        <v>386</v>
      </c>
      <c r="B70" s="226">
        <f>M16+M17</f>
        <v>22</v>
      </c>
      <c r="C70" s="226">
        <f>SUM(Q16:Q17)</f>
        <v>0</v>
      </c>
      <c r="D70" s="226">
        <f>S16+S17</f>
        <v>2.76</v>
      </c>
      <c r="E70" s="226">
        <f>((G16+G17)/2)-(B70+C70+D70)</f>
        <v>20.840000000000003</v>
      </c>
      <c r="F70" s="226"/>
      <c r="G70" s="226">
        <f>SUM(I16:I17)/2</f>
        <v>21.6</v>
      </c>
      <c r="H70" s="454">
        <f t="shared" si="41"/>
        <v>0.45701754385964916</v>
      </c>
    </row>
    <row r="71" spans="1:8" ht="13.15">
      <c r="A71" s="212" t="s">
        <v>387</v>
      </c>
      <c r="B71" s="226">
        <f>M18+M19</f>
        <v>22</v>
      </c>
      <c r="C71" s="226">
        <f>SUM(Q18:Q19)</f>
        <v>0</v>
      </c>
      <c r="D71" s="226">
        <f>S18+S19</f>
        <v>1.1499999999999999</v>
      </c>
      <c r="E71" s="226">
        <f>((G18+G19)/2)-(B71+C71+D71)</f>
        <v>22.450000000000003</v>
      </c>
      <c r="F71" s="226"/>
      <c r="G71" s="226">
        <f>SUM(I18:I19)/2</f>
        <v>21.6</v>
      </c>
      <c r="H71" s="454">
        <f t="shared" si="41"/>
        <v>0.49232456140350883</v>
      </c>
    </row>
    <row r="72" spans="1:8" ht="13.15">
      <c r="A72" s="212" t="s">
        <v>388</v>
      </c>
      <c r="B72" s="226">
        <f>SUM(M20:M21)</f>
        <v>3.4499999999999997</v>
      </c>
      <c r="C72" s="226">
        <f>SUM(Q20:Q21)</f>
        <v>0</v>
      </c>
      <c r="D72" s="226">
        <f>SUM(S20:S21)</f>
        <v>4.968</v>
      </c>
      <c r="E72" s="226">
        <f>(G20+G21)/2-(B72+C72+D72)</f>
        <v>20.381999999999998</v>
      </c>
      <c r="F72" s="226"/>
      <c r="G72" s="226">
        <f>SUM(I20:I21)/2</f>
        <v>0</v>
      </c>
      <c r="H72" s="454">
        <f t="shared" si="41"/>
        <v>0.70770833333333338</v>
      </c>
    </row>
    <row r="73" spans="1:8" ht="13.15">
      <c r="A73" s="212" t="s">
        <v>389</v>
      </c>
      <c r="B73" s="226">
        <f>SUM(M24:M25)</f>
        <v>36</v>
      </c>
      <c r="C73" s="226">
        <f>SUM(Q24:Q25)</f>
        <v>0</v>
      </c>
      <c r="D73" s="226">
        <f>SUM(S24:S25)</f>
        <v>0</v>
      </c>
      <c r="E73" s="226">
        <f>(G24+G25)/2-(B73+C73+D73)</f>
        <v>16.799999999999997</v>
      </c>
      <c r="F73" s="226"/>
      <c r="G73" s="226">
        <f>SUM(I21:I24)/2</f>
        <v>2.3999999999999986</v>
      </c>
      <c r="H73" s="454">
        <f t="shared" si="41"/>
        <v>0.31818181818181812</v>
      </c>
    </row>
    <row r="74" spans="1:8" s="413" customFormat="1" ht="13.15">
      <c r="A74" s="455" t="s">
        <v>390</v>
      </c>
      <c r="B74" s="311" t="e">
        <f>#REF!</f>
        <v>#REF!</v>
      </c>
      <c r="C74" s="311"/>
      <c r="D74" s="311" t="e">
        <f>#REF!</f>
        <v>#REF!</v>
      </c>
      <c r="E74" s="311" t="e">
        <f>#REF!-(B74+C74+D74)</f>
        <v>#REF!</v>
      </c>
      <c r="F74" s="311"/>
      <c r="G74" s="311" t="e">
        <f>#REF!</f>
        <v>#REF!</v>
      </c>
      <c r="H74" s="454" t="e">
        <f t="shared" si="41"/>
        <v>#REF!</v>
      </c>
    </row>
    <row r="75" spans="1:8" s="413" customFormat="1" ht="13.15">
      <c r="A75" s="455" t="s">
        <v>391</v>
      </c>
      <c r="B75" s="311" t="e">
        <f>#REF!</f>
        <v>#REF!</v>
      </c>
      <c r="C75" s="311"/>
      <c r="D75" s="311" t="e">
        <f>#REF!</f>
        <v>#REF!</v>
      </c>
      <c r="E75" s="311" t="e">
        <f>#REF!-(B75+C75+D75)</f>
        <v>#REF!</v>
      </c>
      <c r="F75" s="311"/>
      <c r="G75" s="311" t="e">
        <f>#REF!</f>
        <v>#REF!</v>
      </c>
      <c r="H75" s="454" t="e">
        <f t="shared" si="41"/>
        <v>#REF!</v>
      </c>
    </row>
    <row r="76" spans="1:8" ht="13.15">
      <c r="A76" s="212" t="s">
        <v>392</v>
      </c>
      <c r="B76" s="226">
        <f>M26+M27</f>
        <v>46</v>
      </c>
      <c r="C76" s="226">
        <f>SUM(Q26:Q27)</f>
        <v>0</v>
      </c>
      <c r="D76" s="226">
        <f>S26+S27</f>
        <v>4.5999999999999996</v>
      </c>
      <c r="E76" s="226">
        <f>((G26+G27)/2)-(B76+C76+D76)</f>
        <v>6.9999999999999929</v>
      </c>
      <c r="F76" s="226"/>
      <c r="G76" s="226">
        <f>SUM(I26:I27)/2</f>
        <v>0</v>
      </c>
      <c r="H76" s="454">
        <f t="shared" si="41"/>
        <v>0.12152777777777767</v>
      </c>
    </row>
    <row r="77" spans="1:8" s="413" customFormat="1" ht="13.15">
      <c r="A77" s="455" t="s">
        <v>393</v>
      </c>
      <c r="B77" s="311">
        <f>M28+M29</f>
        <v>12</v>
      </c>
      <c r="C77" s="311"/>
      <c r="D77" s="311">
        <f>S28+S29</f>
        <v>0</v>
      </c>
      <c r="E77" s="311">
        <f>((G28+G29)/2)-(B77+C77+D77)</f>
        <v>18</v>
      </c>
      <c r="F77" s="311"/>
      <c r="G77" s="311">
        <f>SUM(I28:I29)/2</f>
        <v>18</v>
      </c>
      <c r="H77" s="454">
        <f t="shared" si="41"/>
        <v>0.6</v>
      </c>
    </row>
    <row r="78" spans="1:8" ht="13.15">
      <c r="A78" s="212" t="s">
        <v>394</v>
      </c>
      <c r="B78" s="226">
        <f>M30+M31</f>
        <v>30</v>
      </c>
      <c r="C78" s="226">
        <f>SUM(Q30:Q31)</f>
        <v>0</v>
      </c>
      <c r="D78" s="226">
        <f>S30+S31</f>
        <v>0</v>
      </c>
      <c r="E78" s="226">
        <f>((G30+G31)/2)-(B78+C78+D78)</f>
        <v>10.799999999999997</v>
      </c>
      <c r="F78" s="226"/>
      <c r="G78" s="226">
        <f>SUM(I30:I31)/2</f>
        <v>26.400000000000006</v>
      </c>
      <c r="H78" s="454">
        <f t="shared" si="41"/>
        <v>0.26470588235294112</v>
      </c>
    </row>
    <row r="79" spans="1:8" ht="13.15">
      <c r="A79" s="212" t="s">
        <v>395</v>
      </c>
      <c r="B79" s="226">
        <f>M32+M33</f>
        <v>24</v>
      </c>
      <c r="C79" s="226">
        <f>SUM(Q32:Q33)</f>
        <v>0</v>
      </c>
      <c r="D79" s="226">
        <f>S32+S33</f>
        <v>0</v>
      </c>
      <c r="E79" s="226">
        <f>((G32+G33)/2)-(B79+C79+D79)</f>
        <v>31.199999999999996</v>
      </c>
      <c r="F79" s="226"/>
      <c r="G79" s="226">
        <f>SUM(I32:I33)/2</f>
        <v>12.000000000000007</v>
      </c>
      <c r="H79" s="454">
        <f t="shared" si="41"/>
        <v>0.56521739130434778</v>
      </c>
    </row>
    <row r="80" spans="1:8" ht="13.15">
      <c r="A80" s="212" t="s">
        <v>396</v>
      </c>
      <c r="B80" s="226">
        <f>M34+M35</f>
        <v>46</v>
      </c>
      <c r="C80" s="226">
        <f>SUM(Q34:Q35)</f>
        <v>0</v>
      </c>
      <c r="D80" s="226">
        <f>S34+S35</f>
        <v>2.2080000000000002</v>
      </c>
      <c r="E80" s="226">
        <f>((G34+G35)/2)-(B80+C80+D80)</f>
        <v>9.3919999999999959</v>
      </c>
      <c r="F80" s="226"/>
      <c r="G80" s="226">
        <f>SUM(I34:I35)/2</f>
        <v>0</v>
      </c>
      <c r="H80" s="454">
        <f t="shared" si="41"/>
        <v>0.16305555555555551</v>
      </c>
    </row>
    <row r="81" spans="1:8" ht="13.15">
      <c r="A81" s="212" t="s">
        <v>397</v>
      </c>
      <c r="B81" s="226">
        <f>SUM(M36:M37)</f>
        <v>8</v>
      </c>
      <c r="C81" s="226">
        <f>SUM(Q36:Q37)</f>
        <v>0</v>
      </c>
      <c r="D81" s="226">
        <f>SUM(S36:S37)</f>
        <v>0</v>
      </c>
      <c r="E81" s="226">
        <f>((G36+G37)/2)-(B81+C81+D81)</f>
        <v>16</v>
      </c>
      <c r="F81" s="226"/>
      <c r="G81" s="226">
        <f>I36</f>
        <v>4.7999999999999972</v>
      </c>
      <c r="H81" s="454">
        <f t="shared" si="41"/>
        <v>0.66666666666666663</v>
      </c>
    </row>
    <row r="82" spans="1:8" ht="13.15">
      <c r="A82" s="212" t="e">
        <f>#REF!</f>
        <v>#REF!</v>
      </c>
      <c r="B82" s="226" t="e">
        <f>#REF!</f>
        <v>#REF!</v>
      </c>
      <c r="C82" s="226"/>
      <c r="D82" s="226" t="e">
        <f>#REF!</f>
        <v>#REF!</v>
      </c>
      <c r="E82" s="226" t="e">
        <f>#REF!-(B82+C82+D82)</f>
        <v>#REF!</v>
      </c>
      <c r="F82" s="226"/>
      <c r="G82" s="226" t="e">
        <f>#REF!</f>
        <v>#REF!</v>
      </c>
      <c r="H82" s="454" t="e">
        <f t="shared" si="41"/>
        <v>#REF!</v>
      </c>
    </row>
    <row r="83" spans="1:8" ht="13.15">
      <c r="A83" s="212" t="s">
        <v>398</v>
      </c>
      <c r="B83" s="226">
        <f>SUM(M40:M41)</f>
        <v>7</v>
      </c>
      <c r="C83" s="226">
        <f>SUM(Q40:Q41)</f>
        <v>0</v>
      </c>
      <c r="D83" s="226">
        <f>SUM(S40:S41)</f>
        <v>0</v>
      </c>
      <c r="E83" s="226">
        <f>(G40+G41)/2-(B83+C83+D83)</f>
        <v>17</v>
      </c>
      <c r="F83" s="226"/>
      <c r="G83" s="226">
        <f>SUM(I40:I41)/2</f>
        <v>4.7999999999999972</v>
      </c>
      <c r="H83" s="454">
        <f t="shared" si="41"/>
        <v>0.70833333333333337</v>
      </c>
    </row>
    <row r="84" spans="1:8" ht="13.15">
      <c r="B84" s="197"/>
      <c r="C84" s="197"/>
      <c r="D84" s="197"/>
      <c r="E84" s="197"/>
      <c r="F84" s="197"/>
    </row>
    <row r="85" spans="1:8" ht="13.15">
      <c r="A85" s="295" t="s">
        <v>399</v>
      </c>
    </row>
    <row r="86" spans="1:8" ht="13.15">
      <c r="A86" s="198" t="s">
        <v>343</v>
      </c>
      <c r="B86" s="198" t="s">
        <v>375</v>
      </c>
      <c r="C86" s="198" t="s">
        <v>377</v>
      </c>
      <c r="D86" s="198" t="s">
        <v>258</v>
      </c>
      <c r="E86" s="198" t="s">
        <v>378</v>
      </c>
    </row>
    <row r="87" spans="1:8" ht="13.15">
      <c r="A87" s="198" t="s">
        <v>400</v>
      </c>
      <c r="B87" s="197">
        <f>SUM(B63:B64)</f>
        <v>63</v>
      </c>
      <c r="C87" s="197">
        <f>SUM(D63:D64)</f>
        <v>0</v>
      </c>
      <c r="D87" s="197">
        <f>SUM(E63:E64)</f>
        <v>52.199999999999989</v>
      </c>
      <c r="E87" s="197">
        <f>SUM(G63:G64)</f>
        <v>0</v>
      </c>
      <c r="F87" s="197"/>
    </row>
    <row r="88" spans="1:8" ht="13.15">
      <c r="A88" s="198" t="s">
        <v>401</v>
      </c>
      <c r="B88" s="197">
        <f>SUM(B70:B71)</f>
        <v>44</v>
      </c>
      <c r="C88" s="197">
        <f>SUM(D70:D71)</f>
        <v>3.9099999999999997</v>
      </c>
      <c r="D88" s="197">
        <f>SUM(E70:E71)</f>
        <v>43.290000000000006</v>
      </c>
      <c r="E88" s="197">
        <f>SUM(G70:G71)</f>
        <v>43.2</v>
      </c>
      <c r="F88" s="197"/>
    </row>
    <row r="89" spans="1:8" ht="13.15">
      <c r="A89" s="198" t="s">
        <v>402</v>
      </c>
      <c r="B89" s="197">
        <f>SUM(B76:B76)</f>
        <v>46</v>
      </c>
      <c r="C89" s="197">
        <f>SUM(D76:D76)</f>
        <v>4.5999999999999996</v>
      </c>
      <c r="D89" s="197">
        <f>SUM(E76:E76)</f>
        <v>6.9999999999999929</v>
      </c>
      <c r="E89" s="197">
        <f>SUM(G76:G76)</f>
        <v>0</v>
      </c>
      <c r="F89" s="197"/>
    </row>
    <row r="90" spans="1:8" ht="13.15">
      <c r="A90" s="198" t="s">
        <v>403</v>
      </c>
      <c r="B90" s="197">
        <f>SUM(B78:B79)</f>
        <v>54</v>
      </c>
      <c r="C90" s="197">
        <f>SUM(D78:D79)</f>
        <v>0</v>
      </c>
      <c r="D90" s="197">
        <f>SUM(E78:E79)</f>
        <v>41.999999999999993</v>
      </c>
      <c r="E90" s="197">
        <f>SUM(G78:G79)</f>
        <v>38.400000000000013</v>
      </c>
      <c r="F90" s="197"/>
    </row>
    <row r="93" spans="1:8" ht="13.15">
      <c r="A93" s="295" t="s">
        <v>404</v>
      </c>
    </row>
    <row r="94" spans="1:8" ht="13.15">
      <c r="A94" s="198" t="s">
        <v>343</v>
      </c>
      <c r="B94" s="198" t="s">
        <v>375</v>
      </c>
      <c r="C94" s="198" t="s">
        <v>377</v>
      </c>
      <c r="D94" s="198" t="s">
        <v>258</v>
      </c>
      <c r="E94" s="198" t="s">
        <v>378</v>
      </c>
    </row>
    <row r="95" spans="1:8" ht="13.15">
      <c r="A95" s="198" t="str">
        <f>B44</f>
        <v>IC2BL</v>
      </c>
      <c r="B95" s="197">
        <f>M44</f>
        <v>1.1499999999999999</v>
      </c>
      <c r="C95" s="197">
        <f>S44</f>
        <v>0</v>
      </c>
      <c r="D95" s="197">
        <f>G44-(B95+C95)</f>
        <v>8.4499999999999993</v>
      </c>
      <c r="E95" s="197">
        <f>I44</f>
        <v>32.4</v>
      </c>
      <c r="F95" s="197"/>
    </row>
    <row r="96" spans="1:8" ht="13.15">
      <c r="A96" s="198" t="str">
        <f>B46</f>
        <v>IC2CE</v>
      </c>
      <c r="B96" s="197">
        <f>M46</f>
        <v>1.1499999999999999</v>
      </c>
      <c r="C96" s="197">
        <f>S46</f>
        <v>0</v>
      </c>
      <c r="D96" s="197">
        <f>G46-(B96+C96)</f>
        <v>8.4499999999999993</v>
      </c>
      <c r="E96" s="197">
        <f>I46</f>
        <v>32.4</v>
      </c>
      <c r="F96" s="197"/>
    </row>
    <row r="97" spans="1:23" ht="13.15">
      <c r="A97" s="198" t="str">
        <f>B45</f>
        <v>IC2CF</v>
      </c>
      <c r="B97" s="197">
        <f>M45</f>
        <v>0.23</v>
      </c>
      <c r="C97" s="197">
        <f>S45</f>
        <v>0</v>
      </c>
      <c r="D97" s="197">
        <f>G45-(B97+C97)</f>
        <v>8.77</v>
      </c>
      <c r="E97" s="197">
        <f>I45</f>
        <v>33</v>
      </c>
      <c r="F97" s="197"/>
    </row>
    <row r="98" spans="1:23" ht="13.15">
      <c r="A98" s="198" t="str">
        <f>B47</f>
        <v>IC3CN</v>
      </c>
      <c r="B98" s="197">
        <f>M47</f>
        <v>1.61</v>
      </c>
      <c r="C98" s="197">
        <f>S47</f>
        <v>0</v>
      </c>
      <c r="D98" s="197">
        <f>G47-(B98+C98)</f>
        <v>7.9899999999999993</v>
      </c>
      <c r="E98" s="197">
        <f>I47</f>
        <v>32.4</v>
      </c>
      <c r="F98" s="197"/>
    </row>
    <row r="99" spans="1:23" ht="13.15">
      <c r="A99" s="198" t="str">
        <f>B48</f>
        <v>IC1GW</v>
      </c>
      <c r="B99" s="197">
        <f>M48</f>
        <v>0.46</v>
      </c>
      <c r="C99" s="197">
        <f>S48</f>
        <v>0</v>
      </c>
      <c r="D99" s="197">
        <f>G48-(B99+C99)</f>
        <v>0.59000000000000008</v>
      </c>
      <c r="E99" s="197">
        <f>I48</f>
        <v>0</v>
      </c>
      <c r="F99" s="197"/>
    </row>
    <row r="100" spans="1:23" ht="13.15">
      <c r="A100" s="198" t="e">
        <f>#REF!</f>
        <v>#REF!</v>
      </c>
      <c r="B100" s="197" t="e">
        <f>#REF!</f>
        <v>#REF!</v>
      </c>
      <c r="C100" s="197" t="e">
        <f>#REF!</f>
        <v>#REF!</v>
      </c>
      <c r="D100" s="197" t="e">
        <f>#REF!-(B100+C100)</f>
        <v>#REF!</v>
      </c>
      <c r="E100" s="197" t="e">
        <f>#REF!</f>
        <v>#REF!</v>
      </c>
      <c r="F100" s="197"/>
    </row>
    <row r="101" spans="1:23" ht="13.15">
      <c r="A101" s="198" t="str">
        <f>B49</f>
        <v>IC3LR</v>
      </c>
      <c r="B101" s="197">
        <f>M49</f>
        <v>1.61</v>
      </c>
      <c r="C101" s="197">
        <f>S49</f>
        <v>0</v>
      </c>
      <c r="D101" s="197">
        <f>G49-(B101+C101)</f>
        <v>7.9899999999999993</v>
      </c>
      <c r="E101" s="197">
        <f>I49</f>
        <v>32.4</v>
      </c>
      <c r="F101" s="197"/>
    </row>
    <row r="102" spans="1:23" ht="13.15">
      <c r="A102" s="198" t="s">
        <v>405</v>
      </c>
      <c r="B102" s="197" t="e">
        <f>#REF!</f>
        <v>#REF!</v>
      </c>
      <c r="C102" s="197" t="e">
        <f>#REF!</f>
        <v>#REF!</v>
      </c>
      <c r="D102" s="299" t="e">
        <f>#REF!-(B102+C102)</f>
        <v>#REF!</v>
      </c>
      <c r="E102" s="197" t="e">
        <f>#REF!</f>
        <v>#REF!</v>
      </c>
      <c r="F102" s="197"/>
    </row>
    <row r="103" spans="1:23" ht="13.15">
      <c r="A103" s="198" t="str">
        <f>B50</f>
        <v>IC3NE</v>
      </c>
      <c r="B103" s="197">
        <f>M50</f>
        <v>1.38</v>
      </c>
      <c r="C103" s="197">
        <f>S50</f>
        <v>0</v>
      </c>
      <c r="D103" s="197">
        <f>G50-(B103+C103)</f>
        <v>8.2199999999999989</v>
      </c>
      <c r="E103" s="197">
        <f>I50</f>
        <v>32.4</v>
      </c>
      <c r="F103" s="197"/>
    </row>
    <row r="104" spans="1:23" ht="13.15">
      <c r="A104" s="198" t="str">
        <f>B51</f>
        <v>IC4NY</v>
      </c>
      <c r="B104" s="197">
        <f>M51</f>
        <v>9.43</v>
      </c>
      <c r="C104" s="197">
        <f>S51</f>
        <v>0</v>
      </c>
      <c r="D104" s="197">
        <f>G51-(B104+C104)</f>
        <v>4.9699999999999989</v>
      </c>
      <c r="E104" s="197">
        <f>I51</f>
        <v>27.6</v>
      </c>
      <c r="F104" s="197"/>
    </row>
    <row r="105" spans="1:23" ht="13.15">
      <c r="A105" s="198" t="str">
        <f>B53</f>
        <v>IC2OD</v>
      </c>
      <c r="B105" s="197">
        <f>M53</f>
        <v>0.92</v>
      </c>
      <c r="C105" s="197">
        <f>S53</f>
        <v>0</v>
      </c>
      <c r="D105" s="197">
        <f>G53-(B105+C105)</f>
        <v>8.68</v>
      </c>
      <c r="E105" s="197">
        <f>I53</f>
        <v>32.4</v>
      </c>
      <c r="F105" s="197"/>
    </row>
    <row r="106" spans="1:23" ht="13.15">
      <c r="A106" s="198" t="str">
        <f>B54</f>
        <v>IC3SD</v>
      </c>
      <c r="B106" s="197">
        <f>M54</f>
        <v>1.61</v>
      </c>
      <c r="C106" s="197">
        <f>S54</f>
        <v>0</v>
      </c>
      <c r="D106" s="197">
        <f>G54-(B106+C106)</f>
        <v>7.9899999999999993</v>
      </c>
      <c r="E106" s="197">
        <f>I54</f>
        <v>32.4</v>
      </c>
      <c r="F106" s="197"/>
    </row>
    <row r="107" spans="1:23" ht="13.15">
      <c r="A107" s="198" t="str">
        <f>B55</f>
        <v>IC3WN</v>
      </c>
      <c r="B107" s="197">
        <f>M55</f>
        <v>0.69</v>
      </c>
      <c r="C107" s="197">
        <f>S55</f>
        <v>0</v>
      </c>
      <c r="D107" s="197">
        <f>G55-(B107+C107)</f>
        <v>3.31</v>
      </c>
      <c r="E107" s="197">
        <f>I55</f>
        <v>0</v>
      </c>
      <c r="F107" s="197"/>
    </row>
    <row r="108" spans="1:23" ht="13.15">
      <c r="A108" s="198" t="s">
        <v>406</v>
      </c>
      <c r="B108" s="197" t="e">
        <f>#REF!</f>
        <v>#REF!</v>
      </c>
      <c r="C108" s="197" t="e">
        <f>#REF!</f>
        <v>#REF!</v>
      </c>
      <c r="D108" s="197" t="e">
        <f>#REF!-(B108+C108)</f>
        <v>#REF!</v>
      </c>
      <c r="E108" s="197" t="e">
        <f>#REF!</f>
        <v>#REF!</v>
      </c>
      <c r="F108" s="197"/>
    </row>
    <row r="110" spans="1:23" ht="13.15">
      <c r="B110" s="197">
        <f>M52</f>
        <v>31</v>
      </c>
      <c r="C110" s="197">
        <f>S52</f>
        <v>0</v>
      </c>
      <c r="D110" s="197">
        <f>G52-(B110+C110)</f>
        <v>44</v>
      </c>
      <c r="E110" s="197">
        <f>I52</f>
        <v>0</v>
      </c>
      <c r="F110" s="197"/>
    </row>
    <row r="112" spans="1:23" ht="13.15">
      <c r="A112" s="198" t="s">
        <v>407</v>
      </c>
      <c r="B112" s="198" t="s">
        <v>408</v>
      </c>
      <c r="C112" s="198" t="s">
        <v>23</v>
      </c>
      <c r="D112" s="198" t="s">
        <v>409</v>
      </c>
      <c r="W112" s="435" t="s">
        <v>410</v>
      </c>
    </row>
    <row r="113" spans="1:23" ht="13.15">
      <c r="A113" s="198" t="s">
        <v>411</v>
      </c>
      <c r="B113" s="198">
        <v>50</v>
      </c>
      <c r="C113" s="198">
        <v>0</v>
      </c>
      <c r="D113" s="198">
        <f>130-B113-C113</f>
        <v>80</v>
      </c>
      <c r="W113" s="198" t="s">
        <v>412</v>
      </c>
    </row>
    <row r="114" spans="1:23" ht="13.15">
      <c r="A114" s="198" t="s">
        <v>413</v>
      </c>
      <c r="B114" s="198">
        <v>39</v>
      </c>
      <c r="C114" s="198">
        <v>0</v>
      </c>
      <c r="D114" s="198">
        <f>130-B114-C114</f>
        <v>91</v>
      </c>
    </row>
    <row r="115" spans="1:23" ht="13.15">
      <c r="A115" s="198" t="s">
        <v>414</v>
      </c>
      <c r="B115" s="198">
        <v>55</v>
      </c>
      <c r="C115" s="198">
        <v>0</v>
      </c>
      <c r="D115" s="198">
        <f>130-B115-C115</f>
        <v>75</v>
      </c>
      <c r="F115" s="198" t="s">
        <v>152</v>
      </c>
    </row>
    <row r="116" spans="1:23" ht="13.15">
      <c r="A116" s="198" t="s">
        <v>415</v>
      </c>
      <c r="B116" s="198">
        <f>SUM(B113:B115)</f>
        <v>144</v>
      </c>
      <c r="W116" s="197"/>
    </row>
    <row r="117" spans="1:23" ht="13.15">
      <c r="A117" s="198" t="s">
        <v>416</v>
      </c>
      <c r="B117" s="198">
        <f>ROUNDUP(((B116*230)/1000),0)</f>
        <v>34</v>
      </c>
    </row>
    <row r="118" spans="1:23" ht="13.15">
      <c r="A118" s="198" t="s">
        <v>417</v>
      </c>
    </row>
  </sheetData>
  <phoneticPr fontId="0" type="noConversion"/>
  <conditionalFormatting sqref="H62:H83">
    <cfRule type="cellIs" dxfId="99" priority="9" operator="lessThanOrEqual">
      <formula>0.05</formula>
    </cfRule>
    <cfRule type="cellIs" dxfId="98" priority="10" operator="between">
      <formula>0.06</formula>
      <formula>0.2</formula>
    </cfRule>
    <cfRule type="cellIs" dxfId="97" priority="12" operator="greaterThan">
      <formula>0.21</formula>
    </cfRule>
  </conditionalFormatting>
  <conditionalFormatting sqref="V2:V27 V30:V41 V44:V55">
    <cfRule type="cellIs" dxfId="96" priority="1" stopIfTrue="1" operator="lessThanOrEqual">
      <formula>0</formula>
    </cfRule>
    <cfRule type="cellIs" dxfId="95" priority="2" stopIfTrue="1" operator="lessThan">
      <formula>0.06</formula>
    </cfRule>
    <cfRule type="cellIs" dxfId="94" priority="3" stopIfTrue="1" operator="between">
      <formula>0.06</formula>
      <formula>0.195</formula>
    </cfRule>
    <cfRule type="cellIs" dxfId="93" priority="5" stopIfTrue="1" operator="greaterThanOrEqual">
      <formula>0.195</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B423-0EC1-4BC6-A894-30C362D79255}">
  <sheetPr codeName="Sheet10"/>
  <dimension ref="A2:L152"/>
  <sheetViews>
    <sheetView zoomScale="80" zoomScaleNormal="80" workbookViewId="0">
      <selection activeCell="B25" sqref="B25"/>
    </sheetView>
  </sheetViews>
  <sheetFormatPr defaultColWidth="8.6640625" defaultRowHeight="10.15"/>
  <cols>
    <col min="1" max="1" width="26.6640625" bestFit="1" customWidth="1"/>
    <col min="2" max="2" width="25.6640625" bestFit="1" customWidth="1"/>
    <col min="3" max="3" width="41.6640625" bestFit="1" customWidth="1"/>
    <col min="4" max="4" width="44.5" bestFit="1" customWidth="1"/>
    <col min="5" max="5" width="27.5" bestFit="1" customWidth="1"/>
    <col min="6" max="6" width="33.5" bestFit="1" customWidth="1"/>
    <col min="7" max="7" width="36" bestFit="1" customWidth="1"/>
    <col min="8" max="8" width="37.6640625" bestFit="1" customWidth="1"/>
    <col min="9" max="9" width="29.1640625" bestFit="1" customWidth="1"/>
    <col min="10" max="10" width="29.6640625" bestFit="1" customWidth="1"/>
    <col min="11" max="11" width="33.5" bestFit="1" customWidth="1"/>
    <col min="12" max="12" width="32" bestFit="1" customWidth="1"/>
    <col min="13" max="13" width="3.5" bestFit="1" customWidth="1"/>
  </cols>
  <sheetData>
    <row r="2" spans="2:12" ht="24.6">
      <c r="B2" s="1379" t="s">
        <v>418</v>
      </c>
      <c r="C2" s="1379"/>
      <c r="D2" s="1379"/>
      <c r="E2" s="1379"/>
    </row>
    <row r="4" spans="2:12">
      <c r="B4" s="13" t="s">
        <v>419</v>
      </c>
    </row>
    <row r="5" spans="2:12" ht="10.9" thickBot="1"/>
    <row r="6" spans="2:12">
      <c r="B6" s="675" t="s">
        <v>7</v>
      </c>
      <c r="C6" s="676" t="s">
        <v>420</v>
      </c>
      <c r="D6" s="676" t="s">
        <v>421</v>
      </c>
      <c r="E6" s="676" t="s">
        <v>422</v>
      </c>
      <c r="F6" s="677" t="s">
        <v>423</v>
      </c>
      <c r="G6" s="13"/>
      <c r="H6" s="13"/>
    </row>
    <row r="7" spans="2:12">
      <c r="B7" s="678" t="s">
        <v>274</v>
      </c>
      <c r="C7" s="42">
        <f>'Plant loading'!G4</f>
        <v>170.91200000000001</v>
      </c>
      <c r="D7" s="42">
        <f>('Plant loading'!P4)+('Plant loading'!R4)</f>
        <v>14.987500000000001</v>
      </c>
      <c r="E7" s="42">
        <f>'Power figures'!G2</f>
        <v>315</v>
      </c>
      <c r="F7" s="679">
        <f>'Power figures'!I2</f>
        <v>315</v>
      </c>
      <c r="G7" s="680"/>
      <c r="H7" s="10"/>
    </row>
    <row r="8" spans="2:12" ht="10.9" thickBot="1">
      <c r="B8" s="678" t="s">
        <v>280</v>
      </c>
      <c r="C8" s="42">
        <f>'Plant loading'!G9</f>
        <v>386.95</v>
      </c>
      <c r="D8" s="42">
        <f>('Plant loading'!P9)+('Plant loading'!R9)</f>
        <v>77.062999999999988</v>
      </c>
      <c r="E8" s="42">
        <f>'Power figures'!G3</f>
        <v>504</v>
      </c>
      <c r="F8" s="679">
        <f>'Power figures'!I3</f>
        <v>504</v>
      </c>
      <c r="G8" s="680"/>
      <c r="H8" s="10"/>
      <c r="I8" s="1380" t="s">
        <v>424</v>
      </c>
      <c r="J8" s="1380"/>
    </row>
    <row r="9" spans="2:12">
      <c r="B9" s="678" t="s">
        <v>287</v>
      </c>
      <c r="C9" s="42">
        <f>'Plant loading'!G17</f>
        <v>123.4425</v>
      </c>
      <c r="D9" s="42">
        <f>('Plant loading'!P17)+('Plant loading'!R17)</f>
        <v>5.7770000000000001</v>
      </c>
      <c r="E9" s="42">
        <f>'Power figures'!G4</f>
        <v>315</v>
      </c>
      <c r="F9" s="679">
        <f>'Power figures'!I4</f>
        <v>315</v>
      </c>
      <c r="G9" s="680"/>
      <c r="H9" s="675" t="s">
        <v>7</v>
      </c>
      <c r="I9" s="676" t="s">
        <v>425</v>
      </c>
      <c r="J9" s="676" t="s">
        <v>426</v>
      </c>
      <c r="K9" s="676" t="s">
        <v>422</v>
      </c>
      <c r="L9" s="677" t="s">
        <v>423</v>
      </c>
    </row>
    <row r="10" spans="2:12">
      <c r="B10" s="678" t="s">
        <v>290</v>
      </c>
      <c r="C10" s="42">
        <f>'Plant loading'!G22</f>
        <v>288.14150000000001</v>
      </c>
      <c r="D10" s="42">
        <f>('Plant loading'!P22)+('Plant loading'!R22)</f>
        <v>71.340500000000006</v>
      </c>
      <c r="E10" s="42">
        <f>'Power figures'!G5</f>
        <v>378</v>
      </c>
      <c r="F10" s="679">
        <f>'Power figures'!I5</f>
        <v>378</v>
      </c>
      <c r="G10" s="680"/>
      <c r="H10" s="678" t="s">
        <v>427</v>
      </c>
      <c r="I10" s="681">
        <f>'Power figures'!C77</f>
        <v>36.624000000000002</v>
      </c>
      <c r="J10" s="681">
        <f>'Power figures'!E77</f>
        <v>0</v>
      </c>
      <c r="K10" s="681">
        <f>'Power figures'!G77</f>
        <v>115.5</v>
      </c>
      <c r="L10" s="682">
        <f>'Power figures'!H77</f>
        <v>120</v>
      </c>
    </row>
    <row r="11" spans="2:12">
      <c r="B11" s="678" t="s">
        <v>293</v>
      </c>
      <c r="C11" s="42">
        <f>'Plant loading'!G28</f>
        <v>82.622</v>
      </c>
      <c r="D11" s="42">
        <f>('Plant loading'!P28)+('Plant loading'!R28)</f>
        <v>0</v>
      </c>
      <c r="E11" s="42">
        <f>'Power figures'!G6</f>
        <v>252</v>
      </c>
      <c r="F11" s="679">
        <f>'Power figures'!I6</f>
        <v>300</v>
      </c>
      <c r="G11" s="680"/>
      <c r="H11" s="678" t="s">
        <v>428</v>
      </c>
      <c r="I11" s="681">
        <f>'Power figures'!C78</f>
        <v>64.582499999999996</v>
      </c>
      <c r="J11" s="681">
        <f>'Power figures'!E78</f>
        <v>0</v>
      </c>
      <c r="K11" s="681">
        <f>'Power figures'!G78</f>
        <v>178.5</v>
      </c>
      <c r="L11" s="682">
        <f>'Power figures'!H78</f>
        <v>120</v>
      </c>
    </row>
    <row r="12" spans="2:12" ht="10.9" thickBot="1">
      <c r="B12" s="678" t="s">
        <v>305</v>
      </c>
      <c r="C12" s="42">
        <f>'Plant loading'!G32</f>
        <v>274.84350000000001</v>
      </c>
      <c r="D12" s="42">
        <f>('Plant loading'!P32)+('Plant loading'!R32)</f>
        <v>120.2706</v>
      </c>
      <c r="E12" s="42">
        <f>'Power figures'!G7</f>
        <v>468</v>
      </c>
      <c r="F12" s="679">
        <f>'Power figures'!I7</f>
        <v>465</v>
      </c>
      <c r="G12" s="680"/>
      <c r="H12" s="683" t="s">
        <v>429</v>
      </c>
      <c r="I12" s="684">
        <f>'Power figures'!C79</f>
        <v>21.582000000000001</v>
      </c>
      <c r="J12" s="684">
        <f>'Power figures'!E79</f>
        <v>0</v>
      </c>
      <c r="K12" s="684">
        <f>'Power figures'!G79</f>
        <v>105</v>
      </c>
      <c r="L12" s="710">
        <f>'Power figures'!H79</f>
        <v>120</v>
      </c>
    </row>
    <row r="13" spans="2:12">
      <c r="B13" s="678" t="s">
        <v>297</v>
      </c>
      <c r="C13" s="42">
        <f>'Plant loading'!G39</f>
        <v>285.08949999999999</v>
      </c>
      <c r="D13" s="42">
        <f>('Plant loading'!P39)+('Plant loading'!R39)</f>
        <v>87.695950000000011</v>
      </c>
      <c r="E13" s="42">
        <f>'Power figures'!G8</f>
        <v>483</v>
      </c>
      <c r="F13" s="679">
        <f>'Power figures'!I8</f>
        <v>480</v>
      </c>
      <c r="G13" s="680"/>
      <c r="H13" s="10"/>
    </row>
    <row r="14" spans="2:12">
      <c r="B14" s="678" t="s">
        <v>312</v>
      </c>
      <c r="C14" s="42">
        <f>'Plant loading'!G47</f>
        <v>122.7885</v>
      </c>
      <c r="D14" s="42">
        <f>('Plant loading'!P47)+('Plant loading'!R47)</f>
        <v>0</v>
      </c>
      <c r="E14" s="42">
        <f>'Power figures'!G9</f>
        <v>399</v>
      </c>
      <c r="F14" s="679">
        <f>'Power figures'!I9</f>
        <v>483</v>
      </c>
      <c r="G14" s="680"/>
      <c r="H14" s="10"/>
    </row>
    <row r="15" spans="2:12">
      <c r="B15" s="678" t="s">
        <v>315</v>
      </c>
      <c r="C15" s="42">
        <f>'Plant loading'!G56</f>
        <v>333.976</v>
      </c>
      <c r="D15" s="42">
        <f>('Plant loading'!P56)+('Plant loading'!R56)</f>
        <v>62.021000000000001</v>
      </c>
      <c r="E15" s="42">
        <f>'Power figures'!G10</f>
        <v>501</v>
      </c>
      <c r="F15" s="679">
        <f>'Power figures'!I10</f>
        <v>478</v>
      </c>
      <c r="G15" s="680"/>
      <c r="H15" s="10"/>
    </row>
    <row r="16" spans="2:12">
      <c r="B16" s="678" t="s">
        <v>320</v>
      </c>
      <c r="C16" s="42">
        <f>'Plant loading'!G64</f>
        <v>389.18450000000001</v>
      </c>
      <c r="D16" s="42">
        <f>('Plant loading'!P64)+('Plant loading'!R64)</f>
        <v>63.765000000000001</v>
      </c>
      <c r="E16" s="42">
        <f>'Power figures'!G11</f>
        <v>483</v>
      </c>
      <c r="F16" s="679">
        <f>'Power figures'!I11</f>
        <v>480</v>
      </c>
      <c r="G16" s="680"/>
      <c r="H16" s="10"/>
    </row>
    <row r="17" spans="2:6">
      <c r="B17" s="678" t="s">
        <v>328</v>
      </c>
      <c r="C17" s="42">
        <f>'Plant loading'!G72</f>
        <v>278.22250000000003</v>
      </c>
      <c r="D17" s="42">
        <f>('Plant loading'!P72)+('Plant loading'!R72)</f>
        <v>112.76050000000001</v>
      </c>
      <c r="E17" s="42">
        <f>'Power figures'!G12</f>
        <v>489</v>
      </c>
      <c r="F17" s="679">
        <f>'Power figures'!I12</f>
        <v>473</v>
      </c>
    </row>
    <row r="18" spans="2:6">
      <c r="B18" s="678" t="s">
        <v>333</v>
      </c>
      <c r="C18" s="42">
        <f>'Plant loading'!G80</f>
        <v>106.384</v>
      </c>
      <c r="D18" s="42">
        <f>('Plant loading'!P80)+('Plant loading'!R80)</f>
        <v>12.06085</v>
      </c>
      <c r="E18" s="42">
        <f>'Power figures'!G13</f>
        <v>315</v>
      </c>
      <c r="F18" s="679">
        <f>'Power figures'!I13</f>
        <v>315</v>
      </c>
    </row>
    <row r="19" spans="2:6">
      <c r="B19" s="678" t="s">
        <v>336</v>
      </c>
      <c r="C19" s="42">
        <f>'Plant loading'!G85</f>
        <v>92.867999999999995</v>
      </c>
      <c r="D19" s="42">
        <f>('Plant loading'!P85)+('Plant loading'!R85)</f>
        <v>19.292999999999999</v>
      </c>
      <c r="E19" s="42">
        <f>'Power figures'!G14</f>
        <v>252</v>
      </c>
      <c r="F19" s="679">
        <f>'Power figures'!I14</f>
        <v>300</v>
      </c>
    </row>
    <row r="20" spans="2:6" ht="10.9" thickBot="1">
      <c r="B20" s="683" t="s">
        <v>339</v>
      </c>
      <c r="C20" s="685">
        <f>'Plant loading'!G89</f>
        <v>109.8175</v>
      </c>
      <c r="D20" s="685">
        <f>('Plant loading'!P89)+('Plant loading'!R89)</f>
        <v>0</v>
      </c>
      <c r="E20" s="685">
        <f>'Power figures'!G15</f>
        <v>304.5</v>
      </c>
      <c r="F20" s="716">
        <f>'Power figures'!I15</f>
        <v>304.5</v>
      </c>
    </row>
    <row r="22" spans="2:6">
      <c r="B22" s="13" t="s">
        <v>430</v>
      </c>
    </row>
    <row r="23" spans="2:6" ht="10.9" thickBot="1"/>
    <row r="24" spans="2:6">
      <c r="B24" s="675" t="s">
        <v>7</v>
      </c>
      <c r="C24" s="676" t="s">
        <v>420</v>
      </c>
      <c r="D24" s="676" t="s">
        <v>421</v>
      </c>
      <c r="E24" s="676" t="s">
        <v>422</v>
      </c>
      <c r="F24" s="677" t="s">
        <v>423</v>
      </c>
    </row>
    <row r="25" spans="2:6">
      <c r="B25" s="678" t="s">
        <v>348</v>
      </c>
      <c r="C25" s="42">
        <f>'Plant loading'!G94</f>
        <v>40.548000000000002</v>
      </c>
      <c r="D25" s="42">
        <f>('Plant loading'!P94)+('Plant loading'!R94)</f>
        <v>5.0685000000000002</v>
      </c>
      <c r="E25" s="42">
        <f>'Power figures'!G46</f>
        <v>115</v>
      </c>
      <c r="F25" s="686" t="s">
        <v>431</v>
      </c>
    </row>
    <row r="26" spans="2:6">
      <c r="B26" s="678" t="s">
        <v>350</v>
      </c>
      <c r="C26" s="42">
        <f>'Plant loading'!G96</f>
        <v>39.185499999999998</v>
      </c>
      <c r="D26" s="42">
        <f>('Plant loading'!P96)+('Plant loading'!R96)</f>
        <v>4.7960000000000003</v>
      </c>
      <c r="E26" s="42">
        <f>'Power figures'!G48</f>
        <v>115</v>
      </c>
      <c r="F26" s="686" t="s">
        <v>431</v>
      </c>
    </row>
    <row r="27" spans="2:6">
      <c r="B27" s="678" t="s">
        <v>353</v>
      </c>
      <c r="C27" s="42">
        <f>'Plant loading'!G99</f>
        <v>45.9435</v>
      </c>
      <c r="D27" s="42">
        <f>('Plant loading'!P99)+('Plant loading'!R99)</f>
        <v>14.606</v>
      </c>
      <c r="E27" s="42">
        <f ca="1">'Power figures'!G47</f>
        <v>114.5</v>
      </c>
      <c r="F27" s="686" t="s">
        <v>431</v>
      </c>
    </row>
    <row r="28" spans="2:6">
      <c r="B28" s="678" t="s">
        <v>355</v>
      </c>
      <c r="C28" s="42">
        <f>'Plant loading'!G101</f>
        <v>32.917999999999999</v>
      </c>
      <c r="D28" s="42">
        <f>('Plant loading'!P101)+('Plant loading'!R101)</f>
        <v>4.7960000000000003</v>
      </c>
      <c r="E28" s="42">
        <f>'Power figures'!G49</f>
        <v>115</v>
      </c>
      <c r="F28" s="686" t="s">
        <v>431</v>
      </c>
    </row>
    <row r="29" spans="2:6">
      <c r="B29" s="678" t="s">
        <v>357</v>
      </c>
      <c r="C29" s="42">
        <f>'Plant loading'!G103</f>
        <v>9.5374999999999996</v>
      </c>
      <c r="D29" s="42">
        <f>('Plant loading'!P103)+('Plant loading'!R103)</f>
        <v>0.54500000000000004</v>
      </c>
      <c r="E29" s="42">
        <f>'Power figures'!G50</f>
        <v>31</v>
      </c>
      <c r="F29" s="686" t="s">
        <v>431</v>
      </c>
    </row>
    <row r="30" spans="2:6">
      <c r="B30" s="678" t="s">
        <v>359</v>
      </c>
      <c r="C30" s="42">
        <f>'Plant loading'!G105</f>
        <v>61.094499999999996</v>
      </c>
      <c r="D30" s="42">
        <f>('Plant loading'!P105)+('Plant loading'!R105)</f>
        <v>0</v>
      </c>
      <c r="E30" s="42">
        <f>'Power figures'!G51</f>
        <v>115</v>
      </c>
      <c r="F30" s="686" t="s">
        <v>431</v>
      </c>
    </row>
    <row r="31" spans="2:6">
      <c r="B31" s="678" t="s">
        <v>363</v>
      </c>
      <c r="C31" s="42">
        <f>'Plant loading'!G107</f>
        <v>33.244999999999997</v>
      </c>
      <c r="D31" s="42">
        <f>('Plant loading'!P107)+('Plant loading'!R107)</f>
        <v>0.54500000000000004</v>
      </c>
      <c r="E31" s="42">
        <f>'Power figures'!G53</f>
        <v>115</v>
      </c>
      <c r="F31" s="686" t="s">
        <v>431</v>
      </c>
    </row>
    <row r="32" spans="2:6">
      <c r="B32" s="678" t="s">
        <v>361</v>
      </c>
      <c r="C32" s="42">
        <f>'Plant loading'!G109</f>
        <v>43.927</v>
      </c>
      <c r="D32" s="42">
        <f>('Plant loading'!P109)+('Plant loading'!R109)</f>
        <v>8.6110000000000007</v>
      </c>
      <c r="E32" s="42">
        <f>'Power figures'!G52</f>
        <v>143.5</v>
      </c>
      <c r="F32" s="686" t="s">
        <v>431</v>
      </c>
    </row>
    <row r="33" spans="1:8">
      <c r="B33" s="678" t="s">
        <v>367</v>
      </c>
      <c r="C33" s="42">
        <f>'Plant loading'!G112</f>
        <v>19.1295</v>
      </c>
      <c r="D33" s="42">
        <f>('Plant loading'!P112)+('Plant loading'!R112)</f>
        <v>11.663</v>
      </c>
      <c r="E33" s="42">
        <f>'Power figures'!G54</f>
        <v>105.5</v>
      </c>
      <c r="F33" s="686" t="s">
        <v>431</v>
      </c>
      <c r="G33" s="799"/>
    </row>
    <row r="34" spans="1:8">
      <c r="B34" s="678" t="s">
        <v>369</v>
      </c>
      <c r="C34" s="42">
        <f>'Plant loading'!G114</f>
        <v>44.253999999999998</v>
      </c>
      <c r="D34" s="42">
        <f>('Plant loading'!P114)+('Plant loading'!R114)</f>
        <v>0</v>
      </c>
      <c r="E34" s="42">
        <f>'Power figures'!G55</f>
        <v>115</v>
      </c>
      <c r="F34" s="686" t="s">
        <v>431</v>
      </c>
      <c r="G34" s="799"/>
    </row>
    <row r="35" spans="1:8" ht="10.9" thickBot="1">
      <c r="B35" s="683" t="s">
        <v>371</v>
      </c>
      <c r="C35" s="685">
        <f>'Plant loading'!G116</f>
        <v>39.567</v>
      </c>
      <c r="D35" s="685">
        <f>('Plant loading'!P116)+('Plant loading'!R116)</f>
        <v>0.54500000000000004</v>
      </c>
      <c r="E35" s="685">
        <f>'Power figures'!G56</f>
        <v>85.5</v>
      </c>
      <c r="F35" s="717" t="s">
        <v>431</v>
      </c>
      <c r="G35" s="799"/>
    </row>
    <row r="36" spans="1:8" ht="10.9" thickBot="1"/>
    <row r="37" spans="1:8" ht="10.9" thickBot="1">
      <c r="A37" s="687" t="s">
        <v>8</v>
      </c>
      <c r="B37" s="688" t="s">
        <v>9</v>
      </c>
      <c r="C37" s="689" t="s">
        <v>432</v>
      </c>
      <c r="D37" s="689" t="s">
        <v>433</v>
      </c>
      <c r="E37" s="690" t="s">
        <v>14</v>
      </c>
      <c r="F37" s="690" t="s">
        <v>15</v>
      </c>
      <c r="G37" s="690" t="s">
        <v>434</v>
      </c>
      <c r="H37" s="691" t="s">
        <v>435</v>
      </c>
    </row>
    <row r="38" spans="1:8">
      <c r="A38" s="692" t="str">
        <f>'Plant loading'!B4</f>
        <v>PEAAN</v>
      </c>
      <c r="B38" s="693" t="str">
        <f>'Plant loading'!C4</f>
        <v>eSure</v>
      </c>
      <c r="C38" s="694">
        <f>('Plant loading'!E4)*(54.5/1000)</f>
        <v>34.335000000000001</v>
      </c>
      <c r="D38" s="695">
        <f>('Plant loading'!N4+'Plant loading'!Q4)*(54.5/1000)</f>
        <v>3.488</v>
      </c>
      <c r="E38" s="696">
        <f>'Plant loading'!H4</f>
        <v>36</v>
      </c>
      <c r="F38" s="697">
        <f>'Plant loading'!I4</f>
        <v>3.5</v>
      </c>
      <c r="G38" s="697">
        <f>'Plant loading'!L4</f>
        <v>63</v>
      </c>
      <c r="H38" s="698">
        <f>'Plant loading'!J4</f>
        <v>126</v>
      </c>
    </row>
    <row r="39" spans="1:8">
      <c r="A39" s="699" t="str">
        <f>'Plant loading'!B5</f>
        <v>PEBAN</v>
      </c>
      <c r="B39" s="718" t="str">
        <f>'Plant loading'!C5</f>
        <v>eSure</v>
      </c>
      <c r="C39" s="715">
        <f>('Plant loading'!E5)*(54.5/1000)</f>
        <v>33.081499999999998</v>
      </c>
      <c r="D39" s="719">
        <f>('Plant loading'!N5+'Plant loading'!Q5)*(54.5/1000)</f>
        <v>2.9430000000000001</v>
      </c>
      <c r="E39" s="720">
        <f>'Plant loading'!H5</f>
        <v>36</v>
      </c>
      <c r="F39" s="721">
        <f>'Plant loading'!I5</f>
        <v>3.5</v>
      </c>
      <c r="G39" s="721">
        <f>'Plant loading'!L5</f>
        <v>63</v>
      </c>
      <c r="H39" s="700">
        <f>'Plant loading'!J5</f>
        <v>126</v>
      </c>
    </row>
    <row r="40" spans="1:8">
      <c r="A40" s="699" t="str">
        <f>'Plant loading'!B6</f>
        <v>PECAN</v>
      </c>
      <c r="B40" s="718" t="str">
        <f>'Plant loading'!C6</f>
        <v>eSure</v>
      </c>
      <c r="C40" s="715">
        <f>('Plant loading'!E6)*(54.5/1000)</f>
        <v>25.942</v>
      </c>
      <c r="D40" s="719">
        <f>('Plant loading'!N6+'Plant loading'!Q6)*(54.5/1000)</f>
        <v>3.161</v>
      </c>
      <c r="E40" s="720">
        <f>'Plant loading'!H6</f>
        <v>36</v>
      </c>
      <c r="F40" s="721">
        <f>'Plant loading'!I6</f>
        <v>3.5</v>
      </c>
      <c r="G40" s="721">
        <f>'Plant loading'!L6</f>
        <v>63</v>
      </c>
      <c r="H40" s="700">
        <f>'Plant loading'!J6</f>
        <v>126</v>
      </c>
    </row>
    <row r="41" spans="1:8">
      <c r="A41" s="699" t="str">
        <f>'Plant loading'!B7</f>
        <v>PEFAN</v>
      </c>
      <c r="B41" s="718" t="str">
        <f>'Plant loading'!C7</f>
        <v>eSure</v>
      </c>
      <c r="C41" s="715">
        <f>('Plant loading'!E7)*(54.5/1000)</f>
        <v>37.932000000000002</v>
      </c>
      <c r="D41" s="719">
        <f>('Plant loading'!N7+'Plant loading'!Q7)*(54.5/1000)</f>
        <v>2.7250000000000001</v>
      </c>
      <c r="E41" s="720">
        <f>'Plant loading'!H7</f>
        <v>36</v>
      </c>
      <c r="F41" s="721">
        <f>'Plant loading'!I7</f>
        <v>3.5</v>
      </c>
      <c r="G41" s="721">
        <f>'Plant loading'!L7</f>
        <v>63</v>
      </c>
      <c r="H41" s="700">
        <f>'Plant loading'!J7</f>
        <v>126</v>
      </c>
    </row>
    <row r="42" spans="1:8" ht="10.9" thickBot="1">
      <c r="A42" s="701" t="str">
        <f>'Plant loading'!B8</f>
        <v>PEGAN</v>
      </c>
      <c r="B42" s="702" t="str">
        <f>'Plant loading'!C8</f>
        <v>eSure</v>
      </c>
      <c r="C42" s="703">
        <f>('Plant loading'!E8)*(54.5/1000)</f>
        <v>39.621499999999997</v>
      </c>
      <c r="D42" s="704">
        <f>('Plant loading'!N8+'Plant loading'!Q8)*(54.5/1000)</f>
        <v>2.6705000000000001</v>
      </c>
      <c r="E42" s="705">
        <f>'Plant loading'!H8</f>
        <v>36</v>
      </c>
      <c r="F42" s="706">
        <f>'Plant loading'!I8</f>
        <v>3.5</v>
      </c>
      <c r="G42" s="706">
        <f>'Plant loading'!L8</f>
        <v>63</v>
      </c>
      <c r="H42" s="707">
        <f>'Plant loading'!J8</f>
        <v>126</v>
      </c>
    </row>
    <row r="43" spans="1:8">
      <c r="A43" s="692" t="str">
        <f>'Plant loading'!B9</f>
        <v>PEABE</v>
      </c>
      <c r="B43" s="693" t="str">
        <f>'Plant loading'!C9</f>
        <v>eSure</v>
      </c>
      <c r="C43" s="694">
        <f>('Plant loading'!E9)*(54.5/1000)</f>
        <v>43.817999999999998</v>
      </c>
      <c r="D43" s="695">
        <f>('Plant loading'!N9+'Plant loading'!Q9)*(54.5/1000)</f>
        <v>7.5209999999999999</v>
      </c>
      <c r="E43" s="696">
        <f>'Plant loading'!H9</f>
        <v>36</v>
      </c>
      <c r="F43" s="697">
        <f>'Plant loading'!I9</f>
        <v>3.5</v>
      </c>
      <c r="G43" s="697">
        <f>'Plant loading'!L9</f>
        <v>63</v>
      </c>
      <c r="H43" s="698">
        <f>'Plant loading'!J9</f>
        <v>126</v>
      </c>
    </row>
    <row r="44" spans="1:8">
      <c r="A44" s="699" t="str">
        <f>'Plant loading'!B10</f>
        <v>PEBBE</v>
      </c>
      <c r="B44" s="718" t="str">
        <f>'Plant loading'!C10</f>
        <v>eSure</v>
      </c>
      <c r="C44" s="715">
        <f>('Plant loading'!E10)*(54.5/1000)</f>
        <v>49.704000000000001</v>
      </c>
      <c r="D44" s="719">
        <f>('Plant loading'!N10+'Plant loading'!Q10)*(54.5/1000)</f>
        <v>11.172499999999999</v>
      </c>
      <c r="E44" s="720">
        <f>'Plant loading'!H10</f>
        <v>36</v>
      </c>
      <c r="F44" s="721">
        <f>'Plant loading'!I10</f>
        <v>3.5</v>
      </c>
      <c r="G44" s="721">
        <f>'Plant loading'!L10</f>
        <v>63</v>
      </c>
      <c r="H44" s="700">
        <f>'Plant loading'!J10</f>
        <v>126</v>
      </c>
    </row>
    <row r="45" spans="1:8">
      <c r="A45" s="699" t="str">
        <f>'Plant loading'!B11</f>
        <v>PECBE</v>
      </c>
      <c r="B45" s="718" t="str">
        <f>'Plant loading'!C11</f>
        <v>eSure</v>
      </c>
      <c r="C45" s="715">
        <f>('Plant loading'!E11)*(54.5/1000)</f>
        <v>46.761000000000003</v>
      </c>
      <c r="D45" s="719">
        <f>('Plant loading'!N11+'Plant loading'!Q11)*(54.5/1000)</f>
        <v>6.7035</v>
      </c>
      <c r="E45" s="720">
        <f>'Plant loading'!H11</f>
        <v>36</v>
      </c>
      <c r="F45" s="721">
        <f>'Plant loading'!I11</f>
        <v>3.5</v>
      </c>
      <c r="G45" s="721">
        <f>'Plant loading'!L11</f>
        <v>63</v>
      </c>
      <c r="H45" s="700">
        <f>'Plant loading'!J11</f>
        <v>126</v>
      </c>
    </row>
    <row r="46" spans="1:8">
      <c r="A46" s="699" t="str">
        <f>'Plant loading'!B12</f>
        <v>PEEBE</v>
      </c>
      <c r="B46" s="718" t="str">
        <f>'Plant loading'!C12</f>
        <v>eSure</v>
      </c>
      <c r="C46" s="715">
        <f>('Plant loading'!E12)*(54.5/1000)</f>
        <v>48.505000000000003</v>
      </c>
      <c r="D46" s="719">
        <f>('Plant loading'!N12+'Plant loading'!Q12)*(54.5/1000)</f>
        <v>9.5920000000000005</v>
      </c>
      <c r="E46" s="720">
        <f>'Plant loading'!H12</f>
        <v>36</v>
      </c>
      <c r="F46" s="721">
        <f>'Plant loading'!I12</f>
        <v>3.5</v>
      </c>
      <c r="G46" s="721">
        <f>'Plant loading'!L12</f>
        <v>63</v>
      </c>
      <c r="H46" s="700">
        <f>'Plant loading'!J12</f>
        <v>126</v>
      </c>
    </row>
    <row r="47" spans="1:8">
      <c r="A47" s="699" t="str">
        <f>'Plant loading'!B13</f>
        <v>PEFBE</v>
      </c>
      <c r="B47" s="718" t="str">
        <f>'Plant loading'!C13</f>
        <v>eSure</v>
      </c>
      <c r="C47" s="715">
        <f>('Plant loading'!E13)*(54.5/1000)</f>
        <v>47.6875</v>
      </c>
      <c r="D47" s="719">
        <f>('Plant loading'!N13+'Plant loading'!Q13)*(54.5/1000)</f>
        <v>16.023</v>
      </c>
      <c r="E47" s="720">
        <f>'Plant loading'!H13</f>
        <v>36</v>
      </c>
      <c r="F47" s="721">
        <f>'Plant loading'!I13</f>
        <v>3.5</v>
      </c>
      <c r="G47" s="721">
        <f>'Plant loading'!L13</f>
        <v>63</v>
      </c>
      <c r="H47" s="700">
        <f>'Plant loading'!J13</f>
        <v>126</v>
      </c>
    </row>
    <row r="48" spans="1:8">
      <c r="A48" s="699" t="str">
        <f>'Plant loading'!B14</f>
        <v>PEGBE</v>
      </c>
      <c r="B48" s="718" t="str">
        <f>'Plant loading'!C14</f>
        <v>eSure</v>
      </c>
      <c r="C48" s="715">
        <f>('Plant loading'!E14)*(54.5/1000)</f>
        <v>51.993000000000002</v>
      </c>
      <c r="D48" s="719">
        <f>('Plant loading'!N14+'Plant loading'!Q14)*(54.5/1000)</f>
        <v>8.2840000000000007</v>
      </c>
      <c r="E48" s="720">
        <f>'Plant loading'!H14</f>
        <v>36</v>
      </c>
      <c r="F48" s="721">
        <f>'Plant loading'!I14</f>
        <v>3.5</v>
      </c>
      <c r="G48" s="721">
        <f>'Plant loading'!L14</f>
        <v>63</v>
      </c>
      <c r="H48" s="700">
        <f>'Plant loading'!J14</f>
        <v>126</v>
      </c>
    </row>
    <row r="49" spans="1:8">
      <c r="A49" s="699" t="str">
        <f>'Plant loading'!B15</f>
        <v>PEHBE</v>
      </c>
      <c r="B49" s="718" t="str">
        <f>'Plant loading'!C15</f>
        <v>eSure</v>
      </c>
      <c r="C49" s="715">
        <f>('Plant loading'!E15)*(54.5/1000)</f>
        <v>47.633000000000003</v>
      </c>
      <c r="D49" s="719">
        <f>('Plant loading'!N15+'Plant loading'!Q15)*(54.5/1000)</f>
        <v>9.1560000000000006</v>
      </c>
      <c r="E49" s="720">
        <f>'Plant loading'!H15</f>
        <v>36</v>
      </c>
      <c r="F49" s="721">
        <f>'Plant loading'!I15</f>
        <v>3.5</v>
      </c>
      <c r="G49" s="721">
        <f>'Plant loading'!L15</f>
        <v>63</v>
      </c>
      <c r="H49" s="700">
        <f>'Plant loading'!J15</f>
        <v>126</v>
      </c>
    </row>
    <row r="50" spans="1:8" ht="10.9" thickBot="1">
      <c r="A50" s="701" t="str">
        <f>'Plant loading'!B16</f>
        <v>PEIBE</v>
      </c>
      <c r="B50" s="702" t="str">
        <f>'Plant loading'!C16</f>
        <v>eSure</v>
      </c>
      <c r="C50" s="703">
        <f>('Plant loading'!E16)*(54.5/1000)</f>
        <v>50.848500000000001</v>
      </c>
      <c r="D50" s="704">
        <f>('Plant loading'!N16+'Plant loading'!Q16)*(54.5/1000)</f>
        <v>8.6110000000000007</v>
      </c>
      <c r="E50" s="705">
        <f>'Plant loading'!H16</f>
        <v>36</v>
      </c>
      <c r="F50" s="706">
        <f>'Plant loading'!I16</f>
        <v>3.5</v>
      </c>
      <c r="G50" s="706">
        <f>'Plant loading'!L16</f>
        <v>63</v>
      </c>
      <c r="H50" s="707">
        <f>'Plant loading'!J16</f>
        <v>126</v>
      </c>
    </row>
    <row r="51" spans="1:8">
      <c r="A51" s="692" t="str">
        <f>'Plant loading'!B17</f>
        <v>PEACY</v>
      </c>
      <c r="B51" s="693" t="str">
        <f>'Plant loading'!C17</f>
        <v>eSure</v>
      </c>
      <c r="C51" s="694">
        <f>('Plant loading'!E17)*(54.5/1000)</f>
        <v>19.7835</v>
      </c>
      <c r="D51" s="695">
        <f>('Plant loading'!N17+'Plant loading'!Q17)*(54.5/1000)</f>
        <v>0</v>
      </c>
      <c r="E51" s="696">
        <f>'Plant loading'!H17</f>
        <v>36</v>
      </c>
      <c r="F51" s="697">
        <f>'Plant loading'!I17</f>
        <v>3.5</v>
      </c>
      <c r="G51" s="697">
        <f>'Plant loading'!L17</f>
        <v>63</v>
      </c>
      <c r="H51" s="698">
        <f>'Plant loading'!J17</f>
        <v>126</v>
      </c>
    </row>
    <row r="52" spans="1:8">
      <c r="A52" s="699" t="str">
        <f>'Plant loading'!B18</f>
        <v>PEBCY</v>
      </c>
      <c r="B52" s="718" t="str">
        <f>'Plant loading'!C18</f>
        <v>eSure</v>
      </c>
      <c r="C52" s="715">
        <f>('Plant loading'!E18)*(54.5/1000)</f>
        <v>26.268999999999998</v>
      </c>
      <c r="D52" s="719">
        <f>('Plant loading'!N18+'Plant loading'!Q18)*(54.5/1000)</f>
        <v>0.49049999999999999</v>
      </c>
      <c r="E52" s="720">
        <f>'Plant loading'!H18</f>
        <v>36</v>
      </c>
      <c r="F52" s="721">
        <f>'Plant loading'!I18</f>
        <v>3.5</v>
      </c>
      <c r="G52" s="721">
        <f>'Plant loading'!L18</f>
        <v>63</v>
      </c>
      <c r="H52" s="700">
        <f>'Plant loading'!J18</f>
        <v>126</v>
      </c>
    </row>
    <row r="53" spans="1:8">
      <c r="A53" s="699" t="str">
        <f>'Plant loading'!B19</f>
        <v>PECCY</v>
      </c>
      <c r="B53" s="718" t="str">
        <f>'Plant loading'!C19</f>
        <v>eSure</v>
      </c>
      <c r="C53" s="715">
        <f>('Plant loading'!E19)*(54.5/1000)</f>
        <v>33.680999999999997</v>
      </c>
      <c r="D53" s="719">
        <f>('Plant loading'!N19+'Plant loading'!Q19)*(54.5/1000)</f>
        <v>0.49049999999999999</v>
      </c>
      <c r="E53" s="720">
        <f>'Plant loading'!H19</f>
        <v>36</v>
      </c>
      <c r="F53" s="721">
        <f>'Plant loading'!I19</f>
        <v>3.5</v>
      </c>
      <c r="G53" s="721">
        <f>'Plant loading'!L19</f>
        <v>63</v>
      </c>
      <c r="H53" s="700">
        <f>'Plant loading'!J19</f>
        <v>126</v>
      </c>
    </row>
    <row r="54" spans="1:8">
      <c r="A54" s="699" t="str">
        <f>'Plant loading'!B20</f>
        <v>PEDCY</v>
      </c>
      <c r="B54" s="718" t="str">
        <f>'Plant loading'!C20</f>
        <v>eSure</v>
      </c>
      <c r="C54" s="715">
        <f>('Plant loading'!E20)*(54.5/1000)</f>
        <v>26.214500000000001</v>
      </c>
      <c r="D54" s="719">
        <f>('Plant loading'!N20+'Plant loading'!Q20)*(54.5/1000)</f>
        <v>2.3980000000000001</v>
      </c>
      <c r="E54" s="720">
        <f>'Plant loading'!H20</f>
        <v>36</v>
      </c>
      <c r="F54" s="721">
        <f>'Plant loading'!I20</f>
        <v>3.5</v>
      </c>
      <c r="G54" s="721">
        <f>'Plant loading'!L20</f>
        <v>63</v>
      </c>
      <c r="H54" s="700">
        <f>'Plant loading'!J20</f>
        <v>126</v>
      </c>
    </row>
    <row r="55" spans="1:8" ht="10.9" thickBot="1">
      <c r="A55" s="701" t="str">
        <f>'Plant loading'!B21</f>
        <v>PEECY</v>
      </c>
      <c r="B55" s="702" t="str">
        <f>'Plant loading'!C21</f>
        <v>eSure</v>
      </c>
      <c r="C55" s="703">
        <f>('Plant loading'!E21)*(54.5/1000)</f>
        <v>17.494499999999999</v>
      </c>
      <c r="D55" s="704">
        <f>('Plant loading'!N21+'Plant loading'!Q21)*(54.5/1000)</f>
        <v>2.3980000000000001</v>
      </c>
      <c r="E55" s="705">
        <f>'Plant loading'!H21</f>
        <v>36</v>
      </c>
      <c r="F55" s="706">
        <f>'Plant loading'!I21</f>
        <v>3.5</v>
      </c>
      <c r="G55" s="706">
        <f>'Plant loading'!L21</f>
        <v>63</v>
      </c>
      <c r="H55" s="707">
        <f>'Plant loading'!J21</f>
        <v>126</v>
      </c>
    </row>
    <row r="56" spans="1:8">
      <c r="A56" s="692" t="str">
        <f>'Plant loading'!B22</f>
        <v>PECEH</v>
      </c>
      <c r="B56" s="693" t="str">
        <f>'Plant loading'!C22</f>
        <v>eSure</v>
      </c>
      <c r="C56" s="694">
        <f>('Plant loading'!E22)*(54.5/1000)</f>
        <v>45.453000000000003</v>
      </c>
      <c r="D56" s="695">
        <f>('Plant loading'!N22+'Plant loading'!Q22)*(54.5/1000)</f>
        <v>12.262499999999999</v>
      </c>
      <c r="E56" s="696">
        <f>'Plant loading'!H22</f>
        <v>36</v>
      </c>
      <c r="F56" s="697">
        <f>'Plant loading'!I22</f>
        <v>3.5</v>
      </c>
      <c r="G56" s="697">
        <f>'Plant loading'!L22</f>
        <v>63</v>
      </c>
      <c r="H56" s="698">
        <f>'Plant loading'!J22</f>
        <v>126</v>
      </c>
    </row>
    <row r="57" spans="1:8">
      <c r="A57" s="699" t="str">
        <f>'Plant loading'!B23</f>
        <v>PEDEH</v>
      </c>
      <c r="B57" s="718" t="str">
        <f>'Plant loading'!C23</f>
        <v>eSure</v>
      </c>
      <c r="C57" s="715">
        <f>('Plant loading'!E23)*(54.5/1000)</f>
        <v>50.14</v>
      </c>
      <c r="D57" s="719">
        <f>('Plant loading'!N23+'Plant loading'!Q23)*(54.5/1000)</f>
        <v>10.246</v>
      </c>
      <c r="E57" s="720">
        <f>'Plant loading'!H23</f>
        <v>36</v>
      </c>
      <c r="F57" s="721">
        <f>'Plant loading'!I23</f>
        <v>3.5</v>
      </c>
      <c r="G57" s="721">
        <f>'Plant loading'!L23</f>
        <v>63</v>
      </c>
      <c r="H57" s="700">
        <f>'Plant loading'!J23</f>
        <v>126</v>
      </c>
    </row>
    <row r="58" spans="1:8">
      <c r="A58" s="699" t="str">
        <f>'Plant loading'!B24</f>
        <v>PEEEH</v>
      </c>
      <c r="B58" s="718" t="str">
        <f>'Plant loading'!C24</f>
        <v>eSure</v>
      </c>
      <c r="C58" s="715">
        <f>('Plant loading'!E24)*(54.5/1000)</f>
        <v>47.96</v>
      </c>
      <c r="D58" s="719">
        <f>('Plant loading'!N24+'Plant loading'!Q24)*(54.5/1000)</f>
        <v>11.772</v>
      </c>
      <c r="E58" s="720">
        <f>'Plant loading'!H24</f>
        <v>36</v>
      </c>
      <c r="F58" s="721">
        <f>'Plant loading'!I24</f>
        <v>3.5</v>
      </c>
      <c r="G58" s="721">
        <f>'Plant loading'!L24</f>
        <v>63</v>
      </c>
      <c r="H58" s="700">
        <f>'Plant loading'!J24</f>
        <v>126</v>
      </c>
    </row>
    <row r="59" spans="1:8">
      <c r="A59" s="699" t="str">
        <f>'Plant loading'!B25</f>
        <v>PEFEH</v>
      </c>
      <c r="B59" s="718" t="str">
        <f>'Plant loading'!C25</f>
        <v>eSure</v>
      </c>
      <c r="C59" s="715">
        <f>('Plant loading'!E25)*(54.5/1000)</f>
        <v>45.561999999999998</v>
      </c>
      <c r="D59" s="719">
        <f>('Plant loading'!N25+'Plant loading'!Q25)*(54.5/1000)</f>
        <v>11.772</v>
      </c>
      <c r="E59" s="720">
        <f>'Plant loading'!H25</f>
        <v>36</v>
      </c>
      <c r="F59" s="721">
        <f>'Plant loading'!I25</f>
        <v>3.5</v>
      </c>
      <c r="G59" s="721">
        <f>'Plant loading'!L25</f>
        <v>63</v>
      </c>
      <c r="H59" s="700">
        <f>'Plant loading'!J25</f>
        <v>126</v>
      </c>
    </row>
    <row r="60" spans="1:8">
      <c r="A60" s="699" t="str">
        <f>'Plant loading'!B26</f>
        <v>PEGEH</v>
      </c>
      <c r="B60" s="718" t="str">
        <f>'Plant loading'!C26</f>
        <v>eSure</v>
      </c>
      <c r="C60" s="715">
        <f>('Plant loading'!E26)*(54.5/1000)</f>
        <v>50.685000000000002</v>
      </c>
      <c r="D60" s="719">
        <f>('Plant loading'!N26+'Plant loading'!Q26)*(54.5/1000)</f>
        <v>10.5185</v>
      </c>
      <c r="E60" s="720">
        <f>'Plant loading'!H26</f>
        <v>36</v>
      </c>
      <c r="F60" s="721">
        <f>'Plant loading'!I26</f>
        <v>3.5</v>
      </c>
      <c r="G60" s="721">
        <f>'Plant loading'!L26</f>
        <v>63</v>
      </c>
      <c r="H60" s="700">
        <f>'Plant loading'!J26</f>
        <v>126</v>
      </c>
    </row>
    <row r="61" spans="1:8" ht="10.9" thickBot="1">
      <c r="A61" s="701" t="str">
        <f>'Plant loading'!B27</f>
        <v>PEHEH</v>
      </c>
      <c r="B61" s="702" t="str">
        <f>'Plant loading'!C27</f>
        <v>eSure</v>
      </c>
      <c r="C61" s="703">
        <f>('Plant loading'!E27)*(54.5/1000)</f>
        <v>48.341499999999996</v>
      </c>
      <c r="D61" s="704">
        <f>('Plant loading'!N27+'Plant loading'!Q27)*(54.5/1000)</f>
        <v>14.769500000000001</v>
      </c>
      <c r="E61" s="705">
        <f>'Plant loading'!H27</f>
        <v>36</v>
      </c>
      <c r="F61" s="706">
        <f>'Plant loading'!I27</f>
        <v>3.5</v>
      </c>
      <c r="G61" s="706">
        <f>'Plant loading'!L27</f>
        <v>63</v>
      </c>
      <c r="H61" s="707">
        <f>'Plant loading'!J27</f>
        <v>126</v>
      </c>
    </row>
    <row r="62" spans="1:8">
      <c r="A62" s="692" t="str">
        <f>'Plant loading'!B28</f>
        <v>PEDER</v>
      </c>
      <c r="B62" s="693" t="str">
        <f>'Plant loading'!C28</f>
        <v>eSure</v>
      </c>
      <c r="C62" s="694">
        <f>('Plant loading'!E28)*(54.5/1000)</f>
        <v>23.108000000000001</v>
      </c>
      <c r="D62" s="695">
        <f>('Plant loading'!N28+'Plant loading'!Q28)*(54.5/1000)</f>
        <v>0</v>
      </c>
      <c r="E62" s="696">
        <f>'Plant loading'!H28</f>
        <v>36</v>
      </c>
      <c r="F62" s="697">
        <f>'Plant loading'!I28</f>
        <v>3.5</v>
      </c>
      <c r="G62" s="697">
        <f>'Plant loading'!L28</f>
        <v>63</v>
      </c>
      <c r="H62" s="698">
        <f>'Plant loading'!J28</f>
        <v>126</v>
      </c>
    </row>
    <row r="63" spans="1:8">
      <c r="A63" s="699" t="str">
        <f>'Plant loading'!B29</f>
        <v>PEEER</v>
      </c>
      <c r="B63" s="718" t="str">
        <f>'Plant loading'!C29</f>
        <v>eSure</v>
      </c>
      <c r="C63" s="715">
        <f>('Plant loading'!E29)*(54.5/1000)</f>
        <v>18.53</v>
      </c>
      <c r="D63" s="719">
        <f>('Plant loading'!N29+'Plant loading'!Q29)*(54.5/1000)</f>
        <v>0</v>
      </c>
      <c r="E63" s="720">
        <f>'Plant loading'!H29</f>
        <v>36</v>
      </c>
      <c r="F63" s="721">
        <f>'Plant loading'!I29</f>
        <v>3.5</v>
      </c>
      <c r="G63" s="721">
        <f>'Plant loading'!L29</f>
        <v>63</v>
      </c>
      <c r="H63" s="700">
        <f>'Plant loading'!J29</f>
        <v>126</v>
      </c>
    </row>
    <row r="64" spans="1:8">
      <c r="A64" s="699" t="str">
        <f>'Plant loading'!B30</f>
        <v>PEFER</v>
      </c>
      <c r="B64" s="718" t="str">
        <f>'Plant loading'!C30</f>
        <v>eSure</v>
      </c>
      <c r="C64" s="715">
        <f>('Plant loading'!E30)*(54.5/1000)</f>
        <v>23.816500000000001</v>
      </c>
      <c r="D64" s="719">
        <f>('Plant loading'!N30+'Plant loading'!Q30)*(54.5/1000)</f>
        <v>0</v>
      </c>
      <c r="E64" s="720">
        <f>'Plant loading'!H30</f>
        <v>36</v>
      </c>
      <c r="F64" s="721">
        <f>'Plant loading'!I30</f>
        <v>3.5</v>
      </c>
      <c r="G64" s="721">
        <f>'Plant loading'!L30</f>
        <v>63</v>
      </c>
      <c r="H64" s="700">
        <f>'Plant loading'!J30</f>
        <v>126</v>
      </c>
    </row>
    <row r="65" spans="1:8" ht="10.9" thickBot="1">
      <c r="A65" s="701" t="str">
        <f>'Plant loading'!B31</f>
        <v>PEGER</v>
      </c>
      <c r="B65" s="702" t="str">
        <f>'Plant loading'!C31</f>
        <v>eSure</v>
      </c>
      <c r="C65" s="703">
        <f>('Plant loading'!E31)*(54.5/1000)</f>
        <v>17.1675</v>
      </c>
      <c r="D65" s="704">
        <f>('Plant loading'!N31+'Plant loading'!Q31)*(54.5/1000)</f>
        <v>0</v>
      </c>
      <c r="E65" s="705">
        <f>'Plant loading'!H31</f>
        <v>36</v>
      </c>
      <c r="F65" s="706">
        <f>'Plant loading'!I31</f>
        <v>3.5</v>
      </c>
      <c r="G65" s="706">
        <f>'Plant loading'!L31</f>
        <v>63</v>
      </c>
      <c r="H65" s="707">
        <f>'Plant loading'!J31</f>
        <v>126</v>
      </c>
    </row>
    <row r="66" spans="1:8">
      <c r="A66" s="692" t="str">
        <f>'Plant loading'!B32</f>
        <v>PEAGR</v>
      </c>
      <c r="B66" s="693" t="str">
        <f>'Plant loading'!C32</f>
        <v>eSure</v>
      </c>
      <c r="C66" s="694">
        <f>('Plant loading'!E32)*(54.5/1000)</f>
        <v>36.188000000000002</v>
      </c>
      <c r="D66" s="695">
        <f>('Plant loading'!N32+'Plant loading'!Q32)*(54.5/1000)</f>
        <v>8.9761499999999987</v>
      </c>
      <c r="E66" s="696">
        <f>'Plant loading'!H32</f>
        <v>36</v>
      </c>
      <c r="F66" s="697">
        <f>'Plant loading'!I32</f>
        <v>3.5</v>
      </c>
      <c r="G66" s="697">
        <f>'Plant loading'!L32</f>
        <v>63</v>
      </c>
      <c r="H66" s="698">
        <f>'Plant loading'!J32</f>
        <v>126</v>
      </c>
    </row>
    <row r="67" spans="1:8">
      <c r="A67" s="699" t="str">
        <f>'Plant loading'!B33</f>
        <v>PEBGR</v>
      </c>
      <c r="B67" s="718" t="str">
        <f>'Plant loading'!C33</f>
        <v>eSure</v>
      </c>
      <c r="C67" s="715">
        <f>('Plant loading'!E33)*(54.5/1000)</f>
        <v>44.1995</v>
      </c>
      <c r="D67" s="719">
        <f>('Plant loading'!N33+'Plant loading'!Q33)*(54.5/1000)</f>
        <v>11.210649999999999</v>
      </c>
      <c r="E67" s="720">
        <f>'Plant loading'!H33</f>
        <v>36</v>
      </c>
      <c r="F67" s="721">
        <f>'Plant loading'!I33</f>
        <v>3.5</v>
      </c>
      <c r="G67" s="721">
        <f>'Plant loading'!L33</f>
        <v>63</v>
      </c>
      <c r="H67" s="700">
        <f>'Plant loading'!J33</f>
        <v>126</v>
      </c>
    </row>
    <row r="68" spans="1:8">
      <c r="A68" s="699" t="str">
        <f>'Plant loading'!B34</f>
        <v>PECGR</v>
      </c>
      <c r="B68" s="718" t="str">
        <f>'Plant loading'!C34</f>
        <v>eSure</v>
      </c>
      <c r="C68" s="715">
        <f>('Plant loading'!E34)*(54.5/1000)</f>
        <v>41.637999999999998</v>
      </c>
      <c r="D68" s="719">
        <f>('Plant loading'!N34+'Plant loading'!Q34)*(54.5/1000)</f>
        <v>14.09915</v>
      </c>
      <c r="E68" s="720">
        <f>'Plant loading'!H34</f>
        <v>36</v>
      </c>
      <c r="F68" s="721">
        <f>'Plant loading'!I34</f>
        <v>3.5</v>
      </c>
      <c r="G68" s="721">
        <f>'Plant loading'!L34</f>
        <v>63</v>
      </c>
      <c r="H68" s="700">
        <f>'Plant loading'!J34</f>
        <v>126</v>
      </c>
    </row>
    <row r="69" spans="1:8">
      <c r="A69" s="699" t="str">
        <f>'Plant loading'!B35</f>
        <v>PEDGR</v>
      </c>
      <c r="B69" s="718" t="str">
        <f>'Plant loading'!C35</f>
        <v>eSure</v>
      </c>
      <c r="C69" s="715">
        <f>('Plant loading'!E35)*(54.5/1000)</f>
        <v>40.548000000000002</v>
      </c>
      <c r="D69" s="719">
        <f>('Plant loading'!N35+'Plant loading'!Q35)*(54.5/1000)</f>
        <v>15.40715</v>
      </c>
      <c r="E69" s="720">
        <f>'Plant loading'!H35</f>
        <v>36</v>
      </c>
      <c r="F69" s="721">
        <f>'Plant loading'!I35</f>
        <v>3.5</v>
      </c>
      <c r="G69" s="721">
        <f>'Plant loading'!L35</f>
        <v>63</v>
      </c>
      <c r="H69" s="700">
        <f>'Plant loading'!J35</f>
        <v>126</v>
      </c>
    </row>
    <row r="70" spans="1:8">
      <c r="A70" s="699" t="str">
        <f>'Plant loading'!B36</f>
        <v>PEEGR</v>
      </c>
      <c r="B70" s="718" t="str">
        <f>'Plant loading'!C36</f>
        <v>eSure</v>
      </c>
      <c r="C70" s="715">
        <f>('Plant loading'!E36)*(54.5/1000)</f>
        <v>39.457999999999998</v>
      </c>
      <c r="D70" s="719">
        <f>('Plant loading'!N36+'Plant loading'!Q36)*(54.5/1000)</f>
        <v>14.442500000000001</v>
      </c>
      <c r="E70" s="720">
        <f>'Plant loading'!H36</f>
        <v>36</v>
      </c>
      <c r="F70" s="721">
        <f>'Plant loading'!I36</f>
        <v>3.5</v>
      </c>
      <c r="G70" s="721">
        <f>'Plant loading'!L36</f>
        <v>63</v>
      </c>
      <c r="H70" s="700">
        <f>'Plant loading'!J36</f>
        <v>126</v>
      </c>
    </row>
    <row r="71" spans="1:8">
      <c r="A71" s="699" t="str">
        <f>'Plant loading'!B37</f>
        <v>GCRMTX-DCSYS06a</v>
      </c>
      <c r="B71" s="718" t="str">
        <f>'Plant loading'!C37</f>
        <v>NPR48-ES</v>
      </c>
      <c r="C71" s="715">
        <f>('Plant loading'!E37)*(54.5/1000)</f>
        <v>37.932000000000002</v>
      </c>
      <c r="D71" s="719">
        <f>('Plant loading'!N37+'Plant loading'!Q37)*(54.5/1000)</f>
        <v>26.378</v>
      </c>
      <c r="E71" s="720">
        <f>'Plant loading'!H37</f>
        <v>51</v>
      </c>
      <c r="F71" s="721">
        <f>'Plant loading'!I37</f>
        <v>3</v>
      </c>
      <c r="G71" s="721">
        <f>'Plant loading'!L37</f>
        <v>75</v>
      </c>
      <c r="H71" s="700">
        <f>'Plant loading'!J37</f>
        <v>153</v>
      </c>
    </row>
    <row r="72" spans="1:8">
      <c r="A72" s="699" t="str">
        <f>'Plant loading'!B38</f>
        <v>GCRMTX-DCSYS06b</v>
      </c>
      <c r="B72" s="718" t="str">
        <f>'Plant loading'!C38</f>
        <v>NPR48-ES</v>
      </c>
      <c r="C72" s="715">
        <f>('Plant loading'!E38)*(54.5/1000)</f>
        <v>34.880000000000003</v>
      </c>
      <c r="D72" s="719">
        <f>('Plant loading'!N38+'Plant loading'!Q38)*(54.5/1000)</f>
        <v>29.757000000000001</v>
      </c>
      <c r="E72" s="720">
        <f>'Plant loading'!H38</f>
        <v>51</v>
      </c>
      <c r="F72" s="721">
        <f>'Plant loading'!I38</f>
        <v>3</v>
      </c>
      <c r="G72" s="721">
        <f>'Plant loading'!L38</f>
        <v>75</v>
      </c>
      <c r="H72" s="700">
        <f>'Plant loading'!J38</f>
        <v>153</v>
      </c>
    </row>
    <row r="73" spans="1:8">
      <c r="A73" s="874" t="str">
        <f>'Plant loading'!B39</f>
        <v>BMGMTX-DCSYS01</v>
      </c>
      <c r="B73" s="875" t="str">
        <f>'Plant loading'!C39</f>
        <v>HDR48-ES</v>
      </c>
      <c r="C73" s="876">
        <f>('Plant loading'!E39)*(54.5/1000)</f>
        <v>40.112000000000002</v>
      </c>
      <c r="D73" s="877">
        <f>('Plant loading'!N39+'Plant loading'!Q39)*(54.5/1000)</f>
        <v>4.0330000000000004</v>
      </c>
      <c r="E73" s="878">
        <f>'Plant loading'!H39</f>
        <v>44</v>
      </c>
      <c r="F73" s="879">
        <f>'Plant loading'!I39</f>
        <v>3</v>
      </c>
      <c r="G73" s="879">
        <f>'Plant loading'!L39</f>
        <v>63</v>
      </c>
      <c r="H73" s="880">
        <f>'Plant loading'!J39</f>
        <v>132</v>
      </c>
    </row>
    <row r="74" spans="1:8">
      <c r="A74" s="881" t="str">
        <f>'Plant loading'!B40</f>
        <v>BMGMTX-DCSYS02</v>
      </c>
      <c r="B74" s="718" t="str">
        <f>'Plant loading'!C40</f>
        <v>HDR48-ES</v>
      </c>
      <c r="C74" s="715">
        <f>('Plant loading'!E40)*(54.5/1000)</f>
        <v>41.092999999999996</v>
      </c>
      <c r="D74" s="719">
        <f>('Plant loading'!N40+'Plant loading'!Q40)*(54.5/1000)</f>
        <v>4.6325000000000003</v>
      </c>
      <c r="E74" s="720">
        <f>'Plant loading'!H40</f>
        <v>44</v>
      </c>
      <c r="F74" s="721">
        <f>'Plant loading'!I40</f>
        <v>3</v>
      </c>
      <c r="G74" s="721">
        <f>'Plant loading'!L40</f>
        <v>63</v>
      </c>
      <c r="H74" s="882">
        <f>'Plant loading'!J40</f>
        <v>132</v>
      </c>
    </row>
    <row r="75" spans="1:8">
      <c r="A75" s="881" t="str">
        <f>'Plant loading'!B41</f>
        <v>BMGMTX-DCSYS03</v>
      </c>
      <c r="B75" s="718" t="str">
        <f>'Plant loading'!C41</f>
        <v>HDR48-ES</v>
      </c>
      <c r="C75" s="715">
        <f>('Plant loading'!E41)*(54.5/1000)</f>
        <v>42.019500000000001</v>
      </c>
      <c r="D75" s="719">
        <f>('Plant loading'!N41+'Plant loading'!Q41)*(54.5/1000)</f>
        <v>8.7744999999999997</v>
      </c>
      <c r="E75" s="720">
        <f>'Plant loading'!H41</f>
        <v>44</v>
      </c>
      <c r="F75" s="721">
        <f>'Plant loading'!I41</f>
        <v>3</v>
      </c>
      <c r="G75" s="721">
        <f>'Plant loading'!L41</f>
        <v>63</v>
      </c>
      <c r="H75" s="882">
        <f>'Plant loading'!J41</f>
        <v>132</v>
      </c>
    </row>
    <row r="76" spans="1:8">
      <c r="A76" s="881" t="str">
        <f>'Plant loading'!B42</f>
        <v>BMGMTX-DCSYS04</v>
      </c>
      <c r="B76" s="718" t="str">
        <f>'Plant loading'!C42</f>
        <v>HDR48-ES</v>
      </c>
      <c r="C76" s="715">
        <f>('Plant loading'!E42)*(54.5/1000)</f>
        <v>41.637999999999998</v>
      </c>
      <c r="D76" s="719">
        <f>('Plant loading'!N42+'Plant loading'!Q42)*(54.5/1000)</f>
        <v>9.7010000000000005</v>
      </c>
      <c r="E76" s="720">
        <f>'Plant loading'!H42</f>
        <v>44</v>
      </c>
      <c r="F76" s="721">
        <f>'Plant loading'!I42</f>
        <v>3</v>
      </c>
      <c r="G76" s="721">
        <f>'Plant loading'!L42</f>
        <v>63</v>
      </c>
      <c r="H76" s="882">
        <f>'Plant loading'!J42</f>
        <v>132</v>
      </c>
    </row>
    <row r="77" spans="1:8">
      <c r="A77" s="881" t="str">
        <f>'Plant loading'!B43</f>
        <v>BMGMTX-DCSYS05</v>
      </c>
      <c r="B77" s="718" t="str">
        <f>'Plant loading'!C43</f>
        <v>HDR48-ES</v>
      </c>
      <c r="C77" s="715">
        <f>('Plant loading'!E43)*(54.5/1000)</f>
        <v>43.273000000000003</v>
      </c>
      <c r="D77" s="719">
        <f>('Plant loading'!N43+'Plant loading'!Q43)*(54.5/1000)</f>
        <v>7.194</v>
      </c>
      <c r="E77" s="720">
        <f>'Plant loading'!H43</f>
        <v>44</v>
      </c>
      <c r="F77" s="721">
        <f>'Plant loading'!I43</f>
        <v>3</v>
      </c>
      <c r="G77" s="721">
        <f>'Plant loading'!L43</f>
        <v>63</v>
      </c>
      <c r="H77" s="882">
        <f>'Plant loading'!J43</f>
        <v>132</v>
      </c>
    </row>
    <row r="78" spans="1:8">
      <c r="A78" s="881" t="str">
        <f>'Plant loading'!B44</f>
        <v>BMGMTX-DCSYS06</v>
      </c>
      <c r="B78" s="718" t="str">
        <f>'Plant loading'!C44</f>
        <v>HDR48-ES</v>
      </c>
      <c r="C78" s="715">
        <f>('Plant loading'!E44)*(54.5/1000)</f>
        <v>45.725499999999997</v>
      </c>
      <c r="D78" s="719">
        <f>('Plant loading'!N44+'Plant loading'!Q44)*(54.5/1000)</f>
        <v>11.227</v>
      </c>
      <c r="E78" s="720">
        <f>'Plant loading'!H44</f>
        <v>44</v>
      </c>
      <c r="F78" s="721">
        <f>'Plant loading'!I44</f>
        <v>3</v>
      </c>
      <c r="G78" s="721">
        <f>'Plant loading'!L44</f>
        <v>63</v>
      </c>
      <c r="H78" s="882">
        <f>'Plant loading'!J44</f>
        <v>132</v>
      </c>
    </row>
    <row r="79" spans="1:8">
      <c r="A79" s="881" t="str">
        <f>'Plant loading'!B45</f>
        <v>BMGMTX-DCSYS07a</v>
      </c>
      <c r="B79" s="718" t="str">
        <f>'Plant loading'!C45</f>
        <v>NPR48-ES</v>
      </c>
      <c r="C79" s="715">
        <f>('Plant loading'!E45)*(54.5/1000)</f>
        <v>15.641500000000001</v>
      </c>
      <c r="D79" s="719">
        <f>('Plant loading'!N45+'Plant loading'!Q45)*(54.5/1000)</f>
        <v>21.058799999999998</v>
      </c>
      <c r="E79" s="720">
        <f>'Plant loading'!H45</f>
        <v>29</v>
      </c>
      <c r="F79" s="721">
        <f>'Plant loading'!I45</f>
        <v>3</v>
      </c>
      <c r="G79" s="721">
        <f>'Plant loading'!L45</f>
        <v>42</v>
      </c>
      <c r="H79" s="882">
        <f>'Plant loading'!J45</f>
        <v>87</v>
      </c>
    </row>
    <row r="80" spans="1:8">
      <c r="A80" s="883" t="str">
        <f>'Plant loading'!B46</f>
        <v>BMGMTX-DCSYS07b</v>
      </c>
      <c r="B80" s="884" t="str">
        <f>'Plant loading'!C46</f>
        <v>NPR48-ES</v>
      </c>
      <c r="C80" s="885">
        <f>('Plant loading'!E46)*(54.5/1000)</f>
        <v>15.587</v>
      </c>
      <c r="D80" s="886">
        <f>('Plant loading'!N46+'Plant loading'!Q46)*(54.5/1000)</f>
        <v>21.075150000000001</v>
      </c>
      <c r="E80" s="887">
        <f>'Plant loading'!H46</f>
        <v>29</v>
      </c>
      <c r="F80" s="888">
        <f>'Plant loading'!I46</f>
        <v>3</v>
      </c>
      <c r="G80" s="888">
        <f>'Plant loading'!L46</f>
        <v>42</v>
      </c>
      <c r="H80" s="889">
        <f>'Plant loading'!J46</f>
        <v>87</v>
      </c>
    </row>
    <row r="81" spans="1:8">
      <c r="A81" s="699" t="str">
        <f>'Plant loading'!B47</f>
        <v>PEAKS</v>
      </c>
      <c r="B81" s="718" t="str">
        <f>'Plant loading'!C47</f>
        <v>eSure</v>
      </c>
      <c r="C81" s="715">
        <f>('Plant loading'!E47)*(54.5/1000)</f>
        <v>13.189</v>
      </c>
      <c r="D81" s="719">
        <f>('Plant loading'!N47+'Plant loading'!Q47)*(54.5/1000)</f>
        <v>0</v>
      </c>
      <c r="E81" s="720">
        <f>'Plant loading'!H47</f>
        <v>24</v>
      </c>
      <c r="F81" s="721">
        <f>'Plant loading'!I47</f>
        <v>3.5</v>
      </c>
      <c r="G81" s="721">
        <f>'Plant loading'!L47</f>
        <v>42</v>
      </c>
      <c r="H81" s="700">
        <f>'Plant loading'!J47</f>
        <v>84</v>
      </c>
    </row>
    <row r="82" spans="1:8">
      <c r="A82" s="699" t="str">
        <f>'Plant loading'!B48</f>
        <v>PEBKS</v>
      </c>
      <c r="B82" s="718" t="str">
        <f>'Plant loading'!C48</f>
        <v>eSure</v>
      </c>
      <c r="C82" s="715">
        <f>('Plant loading'!E48)*(54.5/1000)</f>
        <v>17.984999999999999</v>
      </c>
      <c r="D82" s="719">
        <f>('Plant loading'!N48+'Plant loading'!Q48)*(54.5/1000)</f>
        <v>0</v>
      </c>
      <c r="E82" s="720">
        <f>'Plant loading'!H48</f>
        <v>30</v>
      </c>
      <c r="F82" s="721">
        <f>'Plant loading'!I48</f>
        <v>3.5</v>
      </c>
      <c r="G82" s="721">
        <f>'Plant loading'!L48</f>
        <v>52</v>
      </c>
      <c r="H82" s="700">
        <f>'Plant loading'!J48</f>
        <v>105</v>
      </c>
    </row>
    <row r="83" spans="1:8">
      <c r="A83" s="699" t="str">
        <f>'Plant loading'!B49</f>
        <v>PEEKS</v>
      </c>
      <c r="B83" s="718" t="str">
        <f>'Plant loading'!C49</f>
        <v>eSure</v>
      </c>
      <c r="C83" s="715">
        <f>('Plant loading'!E49)*(54.5/1000)</f>
        <v>5.45</v>
      </c>
      <c r="D83" s="719">
        <f>('Plant loading'!N49+'Plant loading'!Q49)*(54.5/1000)</f>
        <v>0</v>
      </c>
      <c r="E83" s="720">
        <f>'Plant loading'!H49</f>
        <v>12</v>
      </c>
      <c r="F83" s="721">
        <f>'Plant loading'!I49</f>
        <v>3.5</v>
      </c>
      <c r="G83" s="721">
        <f>'Plant loading'!L49</f>
        <v>21</v>
      </c>
      <c r="H83" s="700">
        <f>'Plant loading'!J49</f>
        <v>42</v>
      </c>
    </row>
    <row r="84" spans="1:8">
      <c r="A84" s="699" t="str">
        <f>'Plant loading'!B50</f>
        <v>PEIKS</v>
      </c>
      <c r="B84" s="718" t="str">
        <f>'Plant loading'!C50</f>
        <v>eSure</v>
      </c>
      <c r="C84" s="715">
        <f>('Plant loading'!E50)*(54.5/1000)</f>
        <v>27.522500000000001</v>
      </c>
      <c r="D84" s="719">
        <f>('Plant loading'!N50+'Plant loading'!Q50)*(54.5/1000)</f>
        <v>0</v>
      </c>
      <c r="E84" s="720">
        <f>'Plant loading'!H50</f>
        <v>36</v>
      </c>
      <c r="F84" s="721">
        <f>'Plant loading'!I50</f>
        <v>3.5</v>
      </c>
      <c r="G84" s="721">
        <f>'Plant loading'!L50</f>
        <v>63</v>
      </c>
      <c r="H84" s="700">
        <f>'Plant loading'!J50</f>
        <v>126</v>
      </c>
    </row>
    <row r="85" spans="1:8">
      <c r="A85" s="699" t="str">
        <f>'Plant loading'!B51</f>
        <v>PEJKS</v>
      </c>
      <c r="B85" s="718" t="str">
        <f>'Plant loading'!C51</f>
        <v>eSure</v>
      </c>
      <c r="C85" s="715">
        <f>('Plant loading'!E51)*(54.5/1000)</f>
        <v>13.679499999999999</v>
      </c>
      <c r="D85" s="719">
        <f>('Plant loading'!N51+'Plant loading'!Q51)*(54.5/1000)</f>
        <v>0</v>
      </c>
      <c r="E85" s="720">
        <f>'Plant loading'!H51</f>
        <v>36</v>
      </c>
      <c r="F85" s="721">
        <f>'Plant loading'!I51</f>
        <v>3.5</v>
      </c>
      <c r="G85" s="721">
        <f>'Plant loading'!L51</f>
        <v>63</v>
      </c>
      <c r="H85" s="700">
        <f>'Plant loading'!J51</f>
        <v>126</v>
      </c>
    </row>
    <row r="86" spans="1:8">
      <c r="A86" s="699" t="str">
        <f>'Plant loading'!B52</f>
        <v>PEKKS</v>
      </c>
      <c r="B86" s="718" t="str">
        <f>'Plant loading'!C52</f>
        <v>eSure</v>
      </c>
      <c r="C86" s="715">
        <f>('Plant loading'!E52)*(54.5/1000)</f>
        <v>23.380500000000001</v>
      </c>
      <c r="D86" s="719">
        <f>('Plant loading'!N52+'Plant loading'!Q52)*(54.5/1000)</f>
        <v>0</v>
      </c>
      <c r="E86" s="720">
        <f>'Plant loading'!H52</f>
        <v>30</v>
      </c>
      <c r="F86" s="721">
        <f>'Plant loading'!I52</f>
        <v>3.5</v>
      </c>
      <c r="G86" s="721">
        <f>'Plant loading'!L52</f>
        <v>52</v>
      </c>
      <c r="H86" s="700">
        <f>'Plant loading'!J52</f>
        <v>105</v>
      </c>
    </row>
    <row r="87" spans="1:8">
      <c r="A87" s="699" t="str">
        <f>'Plant loading'!B53</f>
        <v>PELKS</v>
      </c>
      <c r="B87" s="718" t="str">
        <f>'Plant loading'!C53</f>
        <v>eSure</v>
      </c>
      <c r="C87" s="715">
        <f>('Plant loading'!E53)*(54.5/1000)</f>
        <v>8.3930000000000007</v>
      </c>
      <c r="D87" s="719">
        <f>('Plant loading'!N53+'Plant loading'!Q53)*(54.5/1000)</f>
        <v>0</v>
      </c>
      <c r="E87" s="720">
        <f>'Plant loading'!H53</f>
        <v>24</v>
      </c>
      <c r="F87" s="721">
        <f>'Plant loading'!I53</f>
        <v>3.5</v>
      </c>
      <c r="G87" s="721">
        <f>'Plant loading'!L53</f>
        <v>42</v>
      </c>
      <c r="H87" s="700">
        <f>'Plant loading'!J53</f>
        <v>84</v>
      </c>
    </row>
    <row r="88" spans="1:8">
      <c r="A88" s="699" t="str">
        <f>'Plant loading'!B54</f>
        <v>PEMKS</v>
      </c>
      <c r="B88" s="718" t="str">
        <f>'Plant loading'!C54</f>
        <v>eSure</v>
      </c>
      <c r="C88" s="715">
        <f>('Plant loading'!E54)*(54.5/1000)</f>
        <v>7.5754999999999999</v>
      </c>
      <c r="D88" s="719">
        <f>('Plant loading'!N54+'Plant loading'!Q54)*(54.5/1000)</f>
        <v>0</v>
      </c>
      <c r="E88" s="720">
        <f>'Plant loading'!H54</f>
        <v>24</v>
      </c>
      <c r="F88" s="721">
        <f>'Plant loading'!I54</f>
        <v>3.5</v>
      </c>
      <c r="G88" s="721">
        <f>'Plant loading'!L54</f>
        <v>42</v>
      </c>
      <c r="H88" s="700">
        <f>'Plant loading'!J54</f>
        <v>84</v>
      </c>
    </row>
    <row r="89" spans="1:8" ht="10.9" thickBot="1">
      <c r="A89" s="701" t="str">
        <f>'Plant loading'!B55</f>
        <v>PENKS</v>
      </c>
      <c r="B89" s="702" t="str">
        <f>'Plant loading'!C55</f>
        <v>eSure</v>
      </c>
      <c r="C89" s="703">
        <f>('Plant loading'!E55)*(54.5/1000)</f>
        <v>5.6135000000000002</v>
      </c>
      <c r="D89" s="704">
        <f>('Plant loading'!N55+'Plant loading'!Q55)*(54.5/1000)</f>
        <v>0</v>
      </c>
      <c r="E89" s="705">
        <f>'Plant loading'!H55</f>
        <v>12</v>
      </c>
      <c r="F89" s="706">
        <f>'Plant loading'!I55</f>
        <v>3.5</v>
      </c>
      <c r="G89" s="706">
        <f>'Plant loading'!L55</f>
        <v>21</v>
      </c>
      <c r="H89" s="707">
        <f>'Plant loading'!J55</f>
        <v>42</v>
      </c>
    </row>
    <row r="90" spans="1:8">
      <c r="A90" s="692" t="str">
        <f>'Plant loading'!B56</f>
        <v>LLDMTX-DCSYS01</v>
      </c>
      <c r="B90" s="693" t="str">
        <f>'Plant loading'!C56</f>
        <v>HDR48-ES</v>
      </c>
      <c r="C90" s="694">
        <f>('Plant loading'!E56)*(54.5/1000)</f>
        <v>48.832000000000001</v>
      </c>
      <c r="D90" s="695">
        <f>('Plant loading'!N56+'Plant loading'!Q56)*(54.5/1000)</f>
        <v>5.3955000000000002</v>
      </c>
      <c r="E90" s="696">
        <f>'Plant loading'!H56</f>
        <v>44</v>
      </c>
      <c r="F90" s="697">
        <f>'Plant loading'!I56</f>
        <v>3</v>
      </c>
      <c r="G90" s="697">
        <f>'Plant loading'!L56</f>
        <v>63</v>
      </c>
      <c r="H90" s="698">
        <f>'Plant loading'!J56</f>
        <v>132</v>
      </c>
    </row>
    <row r="91" spans="1:8">
      <c r="A91" s="699" t="str">
        <f>'Plant loading'!B57</f>
        <v>LLDMTX-DCSYS02</v>
      </c>
      <c r="B91" s="718" t="str">
        <f>'Plant loading'!C57</f>
        <v>HDR48-ES</v>
      </c>
      <c r="C91" s="715">
        <f>('Plant loading'!E57)*(54.5/1000)</f>
        <v>44.798999999999999</v>
      </c>
      <c r="D91" s="719">
        <f>('Plant loading'!N57+'Plant loading'!Q57)*(54.5/1000)</f>
        <v>6.649</v>
      </c>
      <c r="E91" s="720">
        <f>'Plant loading'!H57</f>
        <v>44</v>
      </c>
      <c r="F91" s="721">
        <f>'Plant loading'!I57</f>
        <v>3</v>
      </c>
      <c r="G91" s="721">
        <f>'Plant loading'!L57</f>
        <v>63</v>
      </c>
      <c r="H91" s="700">
        <f>'Plant loading'!J57</f>
        <v>132</v>
      </c>
    </row>
    <row r="92" spans="1:8">
      <c r="A92" s="699" t="str">
        <f>'Plant loading'!B58</f>
        <v>LLDMTX-DCSYS03</v>
      </c>
      <c r="B92" s="718" t="str">
        <f>'Plant loading'!C58</f>
        <v>HDR48-ES</v>
      </c>
      <c r="C92" s="715">
        <f>('Plant loading'!E58)*(54.5/1000)</f>
        <v>51.502499999999998</v>
      </c>
      <c r="D92" s="719">
        <f>('Plant loading'!N58+'Plant loading'!Q58)*(54.5/1000)</f>
        <v>5.5045000000000002</v>
      </c>
      <c r="E92" s="720">
        <f>'Plant loading'!H58</f>
        <v>44</v>
      </c>
      <c r="F92" s="721">
        <f>'Plant loading'!I58</f>
        <v>3</v>
      </c>
      <c r="G92" s="721">
        <f>'Plant loading'!L58</f>
        <v>63</v>
      </c>
      <c r="H92" s="700">
        <f>'Plant loading'!J58</f>
        <v>132</v>
      </c>
    </row>
    <row r="93" spans="1:8">
      <c r="A93" s="699" t="str">
        <f>'Plant loading'!B59</f>
        <v>LLDMTX-DCSYS04</v>
      </c>
      <c r="B93" s="718" t="str">
        <f>'Plant loading'!C59</f>
        <v>HDR48-ES</v>
      </c>
      <c r="C93" s="715">
        <f>('Plant loading'!E59)*(54.5/1000)</f>
        <v>46.87</v>
      </c>
      <c r="D93" s="719">
        <f>('Plant loading'!N59+'Plant loading'!Q59)*(54.5/1000)</f>
        <v>3.9784999999999999</v>
      </c>
      <c r="E93" s="720">
        <f>'Plant loading'!H59</f>
        <v>44</v>
      </c>
      <c r="F93" s="721">
        <f>'Plant loading'!I59</f>
        <v>3</v>
      </c>
      <c r="G93" s="721">
        <f>'Plant loading'!L59</f>
        <v>63</v>
      </c>
      <c r="H93" s="700">
        <f>'Plant loading'!J59</f>
        <v>132</v>
      </c>
    </row>
    <row r="94" spans="1:8">
      <c r="A94" s="699" t="str">
        <f>'Plant loading'!B60</f>
        <v>LLDMTX-DCSYS05</v>
      </c>
      <c r="B94" s="718" t="str">
        <f>'Plant loading'!C60</f>
        <v>HDR48-ES</v>
      </c>
      <c r="C94" s="715">
        <f>('Plant loading'!E60)*(54.5/1000)</f>
        <v>49.976500000000001</v>
      </c>
      <c r="D94" s="719">
        <f>('Plant loading'!N60+'Plant loading'!Q60)*(54.5/1000)</f>
        <v>4.6870000000000003</v>
      </c>
      <c r="E94" s="720">
        <f>'Plant loading'!H60</f>
        <v>44</v>
      </c>
      <c r="F94" s="721">
        <f>'Plant loading'!I60</f>
        <v>3</v>
      </c>
      <c r="G94" s="721">
        <f>'Plant loading'!L60</f>
        <v>63</v>
      </c>
      <c r="H94" s="700">
        <f>'Plant loading'!J60</f>
        <v>132</v>
      </c>
    </row>
    <row r="95" spans="1:8">
      <c r="A95" s="699" t="str">
        <f>'Plant loading'!B61</f>
        <v>LLDMTX-DCSYS06</v>
      </c>
      <c r="B95" s="718" t="str">
        <f>'Plant loading'!C61</f>
        <v>HDR48-ES</v>
      </c>
      <c r="C95" s="715">
        <f>('Plant loading'!E61)*(54.5/1000)</f>
        <v>48.613999999999997</v>
      </c>
      <c r="D95" s="719">
        <f>('Plant loading'!N61+'Plant loading'!Q61)*(54.5/1000)</f>
        <v>4.1420000000000003</v>
      </c>
      <c r="E95" s="720">
        <f>'Plant loading'!H61</f>
        <v>44</v>
      </c>
      <c r="F95" s="721">
        <f>'Plant loading'!I61</f>
        <v>3</v>
      </c>
      <c r="G95" s="721">
        <f>'Plant loading'!L61</f>
        <v>63</v>
      </c>
      <c r="H95" s="700">
        <f>'Plant loading'!J61</f>
        <v>132</v>
      </c>
    </row>
    <row r="96" spans="1:8">
      <c r="A96" s="699" t="str">
        <f>'Plant loading'!B62</f>
        <v>LLDMTX-DCSYS07a</v>
      </c>
      <c r="B96" s="718" t="str">
        <f>'Plant loading'!C62</f>
        <v>NPR48-ES</v>
      </c>
      <c r="C96" s="715">
        <f>('Plant loading'!E62)*(54.5/1000)</f>
        <v>21.690999999999999</v>
      </c>
      <c r="D96" s="719">
        <f>('Plant loading'!N62+'Plant loading'!Q62)*(54.5/1000)</f>
        <v>15.859500000000001</v>
      </c>
      <c r="E96" s="720">
        <f>'Plant loading'!H62</f>
        <v>35</v>
      </c>
      <c r="F96" s="721">
        <f>'Plant loading'!I62</f>
        <v>3</v>
      </c>
      <c r="G96" s="721">
        <f>'Plant loading'!L62</f>
        <v>51</v>
      </c>
      <c r="H96" s="700">
        <f>'Plant loading'!J62</f>
        <v>105</v>
      </c>
    </row>
    <row r="97" spans="1:8" ht="10.9" thickBot="1">
      <c r="A97" s="699" t="str">
        <f>'Plant loading'!B63</f>
        <v>LLDMTX-DCSYS07b</v>
      </c>
      <c r="B97" s="718" t="str">
        <f>'Plant loading'!C63</f>
        <v>NPR48-ES</v>
      </c>
      <c r="C97" s="715">
        <f>('Plant loading'!E63)*(54.5/1000)</f>
        <v>21.690999999999999</v>
      </c>
      <c r="D97" s="719">
        <f>('Plant loading'!N63+'Plant loading'!Q63)*(54.5/1000)</f>
        <v>15.805</v>
      </c>
      <c r="E97" s="720">
        <f>'Plant loading'!H63</f>
        <v>35</v>
      </c>
      <c r="F97" s="721">
        <f>'Plant loading'!I63</f>
        <v>3</v>
      </c>
      <c r="G97" s="721">
        <f>'Plant loading'!L63</f>
        <v>51</v>
      </c>
      <c r="H97" s="700">
        <f>'Plant loading'!J63</f>
        <v>105</v>
      </c>
    </row>
    <row r="98" spans="1:8">
      <c r="A98" s="692" t="str">
        <f>'Plant loading'!B64</f>
        <v>PEAMS</v>
      </c>
      <c r="B98" s="693" t="str">
        <f>'Plant loading'!C64</f>
        <v>eSure</v>
      </c>
      <c r="C98" s="694">
        <f>('Plant loading'!E64)*(54.5/1000)</f>
        <v>60.277000000000001</v>
      </c>
      <c r="D98" s="695">
        <f>('Plant loading'!N64+'Plant loading'!Q64)*(54.5/1000)</f>
        <v>10.355</v>
      </c>
      <c r="E98" s="696">
        <f>'Plant loading'!H64</f>
        <v>42</v>
      </c>
      <c r="F98" s="697">
        <f>'Plant loading'!I64</f>
        <v>3.5</v>
      </c>
      <c r="G98" s="697">
        <f>'Plant loading'!L64</f>
        <v>73</v>
      </c>
      <c r="H98" s="698">
        <f>'Plant loading'!J64</f>
        <v>147</v>
      </c>
    </row>
    <row r="99" spans="1:8">
      <c r="A99" s="699" t="str">
        <f>'Plant loading'!B65</f>
        <v>PEBMS</v>
      </c>
      <c r="B99" s="718" t="str">
        <f>'Plant loading'!C65</f>
        <v>eSure</v>
      </c>
      <c r="C99" s="715">
        <f>('Plant loading'!E65)*(54.5/1000)</f>
        <v>56.789000000000001</v>
      </c>
      <c r="D99" s="719">
        <f>('Plant loading'!N65+'Plant loading'!Q65)*(54.5/1000)</f>
        <v>10.573</v>
      </c>
      <c r="E99" s="720">
        <f>'Plant loading'!H65</f>
        <v>42</v>
      </c>
      <c r="F99" s="721">
        <f>'Plant loading'!I65</f>
        <v>3.5</v>
      </c>
      <c r="G99" s="721">
        <f>'Plant loading'!L65</f>
        <v>73</v>
      </c>
      <c r="H99" s="700">
        <f>'Plant loading'!J65</f>
        <v>147</v>
      </c>
    </row>
    <row r="100" spans="1:8">
      <c r="A100" s="699" t="str">
        <f>'Plant loading'!B66</f>
        <v>PECMS</v>
      </c>
      <c r="B100" s="718" t="str">
        <f>'Plant loading'!C66</f>
        <v>eSure</v>
      </c>
      <c r="C100" s="715">
        <f>('Plant loading'!E66)*(54.5/1000)</f>
        <v>59.078000000000003</v>
      </c>
      <c r="D100" s="719">
        <f>('Plant loading'!N66+'Plant loading'!Q66)*(54.5/1000)</f>
        <v>12.807499999999999</v>
      </c>
      <c r="E100" s="720">
        <f>'Plant loading'!H66</f>
        <v>42</v>
      </c>
      <c r="F100" s="721">
        <f>'Plant loading'!I66</f>
        <v>3.5</v>
      </c>
      <c r="G100" s="721">
        <f>'Plant loading'!L66</f>
        <v>73</v>
      </c>
      <c r="H100" s="700">
        <f>'Plant loading'!J66</f>
        <v>147</v>
      </c>
    </row>
    <row r="101" spans="1:8">
      <c r="A101" s="699" t="str">
        <f>'Plant loading'!B67</f>
        <v>PEDMS</v>
      </c>
      <c r="B101" s="718" t="str">
        <f>'Plant loading'!C67</f>
        <v>eSure</v>
      </c>
      <c r="C101" s="715">
        <f>('Plant loading'!E67)*(54.5/1000)</f>
        <v>62.6205</v>
      </c>
      <c r="D101" s="719">
        <f>('Plant loading'!N67+'Plant loading'!Q67)*(54.5/1000)</f>
        <v>9.7010000000000005</v>
      </c>
      <c r="E101" s="720">
        <f>'Plant loading'!H67</f>
        <v>42</v>
      </c>
      <c r="F101" s="721">
        <f>'Plant loading'!I67</f>
        <v>3.5</v>
      </c>
      <c r="G101" s="721">
        <f>'Plant loading'!L67</f>
        <v>73</v>
      </c>
      <c r="H101" s="700">
        <f>'Plant loading'!J67</f>
        <v>147</v>
      </c>
    </row>
    <row r="102" spans="1:8">
      <c r="A102" s="699" t="str">
        <f>'Plant loading'!B68</f>
        <v>PEEMS</v>
      </c>
      <c r="B102" s="718" t="str">
        <f>'Plant loading'!C68</f>
        <v>eSure</v>
      </c>
      <c r="C102" s="715">
        <f>('Plant loading'!E68)*(54.5/1000)</f>
        <v>58.750999999999998</v>
      </c>
      <c r="D102" s="719">
        <f>('Plant loading'!N68+'Plant loading'!Q68)*(54.5/1000)</f>
        <v>5.3410000000000002</v>
      </c>
      <c r="E102" s="720">
        <f>'Plant loading'!H68</f>
        <v>42</v>
      </c>
      <c r="F102" s="721">
        <f>'Plant loading'!I68</f>
        <v>3.5</v>
      </c>
      <c r="G102" s="721">
        <f>'Plant loading'!L68</f>
        <v>73</v>
      </c>
      <c r="H102" s="700">
        <f>'Plant loading'!J68</f>
        <v>147</v>
      </c>
    </row>
    <row r="103" spans="1:8">
      <c r="A103" s="699" t="str">
        <f>'Plant loading'!B69</f>
        <v>PEFMS</v>
      </c>
      <c r="B103" s="718" t="str">
        <f>'Plant loading'!C69</f>
        <v>eSure</v>
      </c>
      <c r="C103" s="715">
        <f>('Plant loading'!E69)*(54.5/1000)</f>
        <v>59.295999999999999</v>
      </c>
      <c r="D103" s="719">
        <f>('Plant loading'!N69+'Plant loading'!Q69)*(54.5/1000)</f>
        <v>5.3955000000000002</v>
      </c>
      <c r="E103" s="720">
        <f>'Plant loading'!H69</f>
        <v>42</v>
      </c>
      <c r="F103" s="721">
        <f>'Plant loading'!I69</f>
        <v>3.5</v>
      </c>
      <c r="G103" s="721">
        <f>'Plant loading'!L69</f>
        <v>73</v>
      </c>
      <c r="H103" s="700">
        <f>'Plant loading'!J69</f>
        <v>147</v>
      </c>
    </row>
    <row r="104" spans="1:8">
      <c r="A104" s="699" t="s">
        <v>436</v>
      </c>
      <c r="B104" s="718" t="str">
        <f>'Plant loading'!C70</f>
        <v>NPR48-ES</v>
      </c>
      <c r="C104" s="715">
        <f>('Plant loading'!E70)*(54.5/1000)</f>
        <v>16.513500000000001</v>
      </c>
      <c r="D104" s="719">
        <f>('Plant loading'!N70+'Plant loading'!Q70)*(54.5/1000)</f>
        <v>4.6325000000000003</v>
      </c>
      <c r="E104" s="720">
        <f>'Plant loading'!H70</f>
        <v>16</v>
      </c>
      <c r="F104" s="721">
        <f>'Plant loading'!I70</f>
        <v>3</v>
      </c>
      <c r="G104" s="721">
        <f>'Plant loading'!L70</f>
        <v>21</v>
      </c>
      <c r="H104" s="700">
        <f>'Plant loading'!J70</f>
        <v>48</v>
      </c>
    </row>
    <row r="105" spans="1:8">
      <c r="A105" s="699" t="s">
        <v>437</v>
      </c>
      <c r="B105" s="718" t="str">
        <f>'Plant loading'!C71</f>
        <v>NPR48-ES</v>
      </c>
      <c r="C105" s="715">
        <f>('Plant loading'!E71)*(54.5/1000)</f>
        <v>15.859500000000001</v>
      </c>
      <c r="D105" s="719">
        <f>('Plant loading'!N71+'Plant loading'!Q71)*(54.5/1000)</f>
        <v>4.9595000000000002</v>
      </c>
      <c r="E105" s="720">
        <f>'Plant loading'!H71</f>
        <v>16</v>
      </c>
      <c r="F105" s="721">
        <f>'Plant loading'!I71</f>
        <v>3</v>
      </c>
      <c r="G105" s="721">
        <f>'Plant loading'!L71</f>
        <v>21</v>
      </c>
      <c r="H105" s="700">
        <f>'Plant loading'!J71</f>
        <v>48</v>
      </c>
    </row>
    <row r="106" spans="1:8">
      <c r="A106" s="874" t="str">
        <f>'Plant loading'!B72</f>
        <v>OLDMTX-DCSYS01</v>
      </c>
      <c r="B106" s="875" t="str">
        <f>'Plant loading'!C72</f>
        <v>HDR48-ES</v>
      </c>
      <c r="C106" s="876">
        <f>('Plant loading'!E72)*(54.5/1000)</f>
        <v>47.142499999999998</v>
      </c>
      <c r="D106" s="877">
        <f>('Plant loading'!N72+'Plant loading'!Q72)*(54.5/1000)</f>
        <v>8.7744999999999997</v>
      </c>
      <c r="E106" s="878">
        <f>'Plant loading'!H72</f>
        <v>44</v>
      </c>
      <c r="F106" s="879">
        <f>'Plant loading'!I72</f>
        <v>3</v>
      </c>
      <c r="G106" s="879">
        <f>'Plant loading'!L72</f>
        <v>63</v>
      </c>
      <c r="H106" s="880">
        <f>'Plant loading'!J72</f>
        <v>132</v>
      </c>
    </row>
    <row r="107" spans="1:8">
      <c r="A107" s="881" t="str">
        <f>'Plant loading'!B73</f>
        <v>OLDMTX-DCSYS02</v>
      </c>
      <c r="B107" s="718" t="str">
        <f>'Plant loading'!C73</f>
        <v>HDR48-ES</v>
      </c>
      <c r="C107" s="715">
        <f>('Plant loading'!E73)*(54.5/1000)</f>
        <v>39.567</v>
      </c>
      <c r="D107" s="719">
        <f>('Plant loading'!N73+'Plant loading'!Q73)*(54.5/1000)</f>
        <v>12.644</v>
      </c>
      <c r="E107" s="720">
        <f>'Plant loading'!H73</f>
        <v>44</v>
      </c>
      <c r="F107" s="721">
        <f>'Plant loading'!I73</f>
        <v>3</v>
      </c>
      <c r="G107" s="721">
        <f>'Plant loading'!L73</f>
        <v>63</v>
      </c>
      <c r="H107" s="882">
        <f>'Plant loading'!J73</f>
        <v>132</v>
      </c>
    </row>
    <row r="108" spans="1:8">
      <c r="A108" s="881" t="str">
        <f>'Plant loading'!B74</f>
        <v>OLDMTX-DCSYS03</v>
      </c>
      <c r="B108" s="718" t="str">
        <f>'Plant loading'!C74</f>
        <v>HDR48-ES</v>
      </c>
      <c r="C108" s="715">
        <f>('Plant loading'!E74)*(54.5/1000)</f>
        <v>43.000500000000002</v>
      </c>
      <c r="D108" s="719">
        <f>('Plant loading'!N74+'Plant loading'!Q74)*(54.5/1000)</f>
        <v>6.5945</v>
      </c>
      <c r="E108" s="720">
        <f>'Plant loading'!H74</f>
        <v>44</v>
      </c>
      <c r="F108" s="721">
        <f>'Plant loading'!I74</f>
        <v>3</v>
      </c>
      <c r="G108" s="721">
        <f>'Plant loading'!L74</f>
        <v>63</v>
      </c>
      <c r="H108" s="882">
        <f>'Plant loading'!J74</f>
        <v>132</v>
      </c>
    </row>
    <row r="109" spans="1:8">
      <c r="A109" s="881" t="str">
        <f>'Plant loading'!B75</f>
        <v>OLDMTX-DCSYS04</v>
      </c>
      <c r="B109" s="718" t="str">
        <f>'Plant loading'!C75</f>
        <v>HDR48-ES</v>
      </c>
      <c r="C109" s="715">
        <f>('Plant loading'!E75)*(54.5/1000)</f>
        <v>32.536499999999997</v>
      </c>
      <c r="D109" s="719">
        <f>('Plant loading'!N75+'Plant loading'!Q75)*(54.5/1000)</f>
        <v>10.791</v>
      </c>
      <c r="E109" s="720">
        <f>'Plant loading'!H75</f>
        <v>34</v>
      </c>
      <c r="F109" s="721">
        <f>'Plant loading'!I75</f>
        <v>3</v>
      </c>
      <c r="G109" s="721">
        <f>'Plant loading'!L75</f>
        <v>48</v>
      </c>
      <c r="H109" s="882">
        <f>'Plant loading'!J75</f>
        <v>102</v>
      </c>
    </row>
    <row r="110" spans="1:8">
      <c r="A110" s="881" t="str">
        <f>'Plant loading'!B76</f>
        <v>OLDMTX-DCSYS05</v>
      </c>
      <c r="B110" s="718" t="str">
        <f>'Plant loading'!C76</f>
        <v>HDR48-ES</v>
      </c>
      <c r="C110" s="715">
        <f>('Plant loading'!E76)*(54.5/1000)</f>
        <v>29.43</v>
      </c>
      <c r="D110" s="719">
        <f>('Plant loading'!N76+'Plant loading'!Q76)*(54.5/1000)</f>
        <v>11.227</v>
      </c>
      <c r="E110" s="720">
        <f>'Plant loading'!H76</f>
        <v>44</v>
      </c>
      <c r="F110" s="721">
        <f>'Plant loading'!I76</f>
        <v>3</v>
      </c>
      <c r="G110" s="721">
        <f>'Plant loading'!L76</f>
        <v>63</v>
      </c>
      <c r="H110" s="882">
        <f>'Plant loading'!J76</f>
        <v>132</v>
      </c>
    </row>
    <row r="111" spans="1:8">
      <c r="A111" s="881" t="str">
        <f>'Plant loading'!B77</f>
        <v>OLDMTX-DCSYS06</v>
      </c>
      <c r="B111" s="718" t="str">
        <f>'Plant loading'!C77</f>
        <v>HDR48-ES</v>
      </c>
      <c r="C111" s="715">
        <f>('Plant loading'!E77)*(54.5/1000)</f>
        <v>34.280499999999996</v>
      </c>
      <c r="D111" s="719">
        <f>('Plant loading'!N77+'Plant loading'!Q77)*(54.5/1000)</f>
        <v>15.042</v>
      </c>
      <c r="E111" s="720">
        <f>'Plant loading'!H77</f>
        <v>44</v>
      </c>
      <c r="F111" s="721">
        <f>'Plant loading'!I77</f>
        <v>3</v>
      </c>
      <c r="G111" s="721">
        <f>'Plant loading'!L77</f>
        <v>63</v>
      </c>
      <c r="H111" s="882">
        <f>'Plant loading'!J77</f>
        <v>132</v>
      </c>
    </row>
    <row r="112" spans="1:8">
      <c r="A112" s="881" t="str">
        <f>'Plant loading'!B78</f>
        <v>OLDMTX-DCSYS07a</v>
      </c>
      <c r="B112" s="718" t="str">
        <f>'Plant loading'!C78</f>
        <v>NPR48-ES</v>
      </c>
      <c r="C112" s="715">
        <f>('Plant loading'!E78)*(54.5/1000)</f>
        <v>26.323499999999999</v>
      </c>
      <c r="D112" s="719">
        <f>('Plant loading'!N78+'Plant loading'!Q78)*(54.5/1000)</f>
        <v>22.780999999999999</v>
      </c>
      <c r="E112" s="720">
        <f>'Plant loading'!H78</f>
        <v>36</v>
      </c>
      <c r="F112" s="721">
        <f>'Plant loading'!I78</f>
        <v>3</v>
      </c>
      <c r="G112" s="721">
        <f>'Plant loading'!L78</f>
        <v>51</v>
      </c>
      <c r="H112" s="882">
        <f>'Plant loading'!J78</f>
        <v>108</v>
      </c>
    </row>
    <row r="113" spans="1:8">
      <c r="A113" s="883" t="str">
        <f>'Plant loading'!B79</f>
        <v>OLDMTX-DCSYS07b</v>
      </c>
      <c r="B113" s="884" t="str">
        <f>'Plant loading'!C79</f>
        <v>NPR48-ES</v>
      </c>
      <c r="C113" s="885">
        <f>('Plant loading'!E79)*(54.5/1000)</f>
        <v>25.942</v>
      </c>
      <c r="D113" s="886">
        <f>('Plant loading'!N79+'Plant loading'!Q79)*(54.5/1000)</f>
        <v>24.906500000000001</v>
      </c>
      <c r="E113" s="887">
        <f>'Plant loading'!H79</f>
        <v>36</v>
      </c>
      <c r="F113" s="888">
        <f>'Plant loading'!I79</f>
        <v>3</v>
      </c>
      <c r="G113" s="888">
        <f>'Plant loading'!L79</f>
        <v>51</v>
      </c>
      <c r="H113" s="889">
        <f>'Plant loading'!J79</f>
        <v>108</v>
      </c>
    </row>
    <row r="114" spans="1:8">
      <c r="A114" s="699" t="str">
        <f>'Plant loading'!B80</f>
        <v>PEARM</v>
      </c>
      <c r="B114" s="718" t="str">
        <f>'Plant loading'!C80</f>
        <v>eSure</v>
      </c>
      <c r="C114" s="715">
        <f>('Plant loading'!E80)*(54.5/1000)</f>
        <v>22.998999999999999</v>
      </c>
      <c r="D114" s="719">
        <f>('Plant loading'!N80+'Plant loading'!Q80)*(54.5/1000)</f>
        <v>2.7331750000000001</v>
      </c>
      <c r="E114" s="720">
        <f>'Plant loading'!H80</f>
        <v>36</v>
      </c>
      <c r="F114" s="721">
        <f>'Plant loading'!I80</f>
        <v>3.5</v>
      </c>
      <c r="G114" s="721">
        <f>'Plant loading'!L80</f>
        <v>63</v>
      </c>
      <c r="H114" s="700">
        <f>'Plant loading'!J80</f>
        <v>126</v>
      </c>
    </row>
    <row r="115" spans="1:8">
      <c r="A115" s="699" t="str">
        <f>'Plant loading'!B81</f>
        <v>PEBRM</v>
      </c>
      <c r="B115" s="718" t="str">
        <f>'Plant loading'!C81</f>
        <v>eSure</v>
      </c>
      <c r="C115" s="715">
        <f>('Plant loading'!E81)*(54.5/1000)</f>
        <v>28.503499999999999</v>
      </c>
      <c r="D115" s="719">
        <f>('Plant loading'!N81+'Plant loading'!Q81)*(54.5/1000)</f>
        <v>5.2865000000000002</v>
      </c>
      <c r="E115" s="720">
        <f>'Plant loading'!H81</f>
        <v>36</v>
      </c>
      <c r="F115" s="721">
        <f>'Plant loading'!I81</f>
        <v>3.5</v>
      </c>
      <c r="G115" s="721">
        <f>'Plant loading'!L81</f>
        <v>63</v>
      </c>
      <c r="H115" s="700">
        <f>'Plant loading'!J81</f>
        <v>126</v>
      </c>
    </row>
    <row r="116" spans="1:8">
      <c r="A116" s="699" t="str">
        <f>'Plant loading'!B82</f>
        <v>PECRM</v>
      </c>
      <c r="B116" s="718" t="str">
        <f>'Plant loading'!C82</f>
        <v>eSure</v>
      </c>
      <c r="C116" s="715">
        <f>('Plant loading'!E82)*(54.5/1000)</f>
        <v>28.994</v>
      </c>
      <c r="D116" s="719">
        <f>('Plant loading'!N82+'Plant loading'!Q82)*(54.5/1000)</f>
        <v>4.041175</v>
      </c>
      <c r="E116" s="720">
        <f>'Plant loading'!H82</f>
        <v>36</v>
      </c>
      <c r="F116" s="721">
        <f>'Plant loading'!I82</f>
        <v>3.5</v>
      </c>
      <c r="G116" s="721">
        <f>'Plant loading'!L82</f>
        <v>63</v>
      </c>
      <c r="H116" s="700">
        <f>'Plant loading'!J82</f>
        <v>126</v>
      </c>
    </row>
    <row r="117" spans="1:8">
      <c r="A117" s="699" t="str">
        <f>'Plant loading'!B83</f>
        <v>PEDRM</v>
      </c>
      <c r="B117" s="718" t="str">
        <f>'Plant loading'!C83</f>
        <v>eSure</v>
      </c>
      <c r="C117" s="715">
        <f>('Plant loading'!E83)*(54.5/1000)</f>
        <v>14.333500000000001</v>
      </c>
      <c r="D117" s="719">
        <f>('Plant loading'!N83+'Plant loading'!Q83)*(54.5/1000)</f>
        <v>0</v>
      </c>
      <c r="E117" s="720">
        <f>'Plant loading'!H83</f>
        <v>36</v>
      </c>
      <c r="F117" s="721">
        <f>'Plant loading'!I83</f>
        <v>3.5</v>
      </c>
      <c r="G117" s="721">
        <f>'Plant loading'!L83</f>
        <v>63</v>
      </c>
      <c r="H117" s="700">
        <f>'Plant loading'!J83</f>
        <v>126</v>
      </c>
    </row>
    <row r="118" spans="1:8" ht="10.9" thickBot="1">
      <c r="A118" s="701" t="str">
        <f>'Plant loading'!B84</f>
        <v>PEERM</v>
      </c>
      <c r="B118" s="702" t="str">
        <f>'Plant loading'!C84</f>
        <v>eSure</v>
      </c>
      <c r="C118" s="703">
        <f>('Plant loading'!E84)*(54.5/1000)</f>
        <v>11.554</v>
      </c>
      <c r="D118" s="704">
        <f>('Plant loading'!N84+'Plant loading'!Q84)*(54.5/1000)</f>
        <v>0</v>
      </c>
      <c r="E118" s="705">
        <f>'Plant loading'!H84</f>
        <v>36</v>
      </c>
      <c r="F118" s="706">
        <f>'Plant loading'!I84</f>
        <v>3.5</v>
      </c>
      <c r="G118" s="706">
        <f>'Plant loading'!L84</f>
        <v>63</v>
      </c>
      <c r="H118" s="707">
        <f>'Plant loading'!J84</f>
        <v>126</v>
      </c>
    </row>
    <row r="119" spans="1:8">
      <c r="A119" s="692" t="str">
        <f>'Plant loading'!B85</f>
        <v>PEASN</v>
      </c>
      <c r="B119" s="693" t="str">
        <f>'Plant loading'!C85</f>
        <v>eSure</v>
      </c>
      <c r="C119" s="694">
        <f>('Plant loading'!E85)*(54.5/1000)</f>
        <v>19.838000000000001</v>
      </c>
      <c r="D119" s="695">
        <f>('Plant loading'!N85+'Plant loading'!Q85)*(54.5/1000)</f>
        <v>0.27250000000000002</v>
      </c>
      <c r="E119" s="696">
        <f>'Plant loading'!H85</f>
        <v>36</v>
      </c>
      <c r="F119" s="697">
        <f>'Plant loading'!I85</f>
        <v>3.5</v>
      </c>
      <c r="G119" s="697">
        <f>'Plant loading'!L85</f>
        <v>63</v>
      </c>
      <c r="H119" s="698">
        <f>'Plant loading'!J85</f>
        <v>126</v>
      </c>
    </row>
    <row r="120" spans="1:8">
      <c r="A120" s="699" t="str">
        <f>'Plant loading'!B86</f>
        <v>PEBSN</v>
      </c>
      <c r="B120" s="718" t="str">
        <f>'Plant loading'!C86</f>
        <v>eSure</v>
      </c>
      <c r="C120" s="715">
        <f>('Plant loading'!E86)*(54.5/1000)</f>
        <v>28.34</v>
      </c>
      <c r="D120" s="719">
        <f>('Plant loading'!N86+'Plant loading'!Q86)*(54.5/1000)</f>
        <v>9.6464999999999996</v>
      </c>
      <c r="E120" s="720">
        <f>'Plant loading'!H86</f>
        <v>36</v>
      </c>
      <c r="F120" s="721">
        <f>'Plant loading'!I86</f>
        <v>3.5</v>
      </c>
      <c r="G120" s="721">
        <f>'Plant loading'!L86</f>
        <v>63</v>
      </c>
      <c r="H120" s="700">
        <f>'Plant loading'!J86</f>
        <v>126</v>
      </c>
    </row>
    <row r="121" spans="1:8">
      <c r="A121" s="699" t="str">
        <f>'Plant loading'!B87</f>
        <v>PECSN</v>
      </c>
      <c r="B121" s="718" t="str">
        <f>'Plant loading'!C87</f>
        <v>eSure</v>
      </c>
      <c r="C121" s="715">
        <f>('Plant loading'!E87)*(54.5/1000)</f>
        <v>25.724</v>
      </c>
      <c r="D121" s="719">
        <f>('Plant loading'!N87+'Plant loading'!Q87)*(54.5/1000)</f>
        <v>9.3740000000000006</v>
      </c>
      <c r="E121" s="720">
        <f>'Plant loading'!H87</f>
        <v>36</v>
      </c>
      <c r="F121" s="721">
        <f>'Plant loading'!I87</f>
        <v>3.5</v>
      </c>
      <c r="G121" s="721">
        <f>'Plant loading'!L87</f>
        <v>63</v>
      </c>
      <c r="H121" s="700">
        <f>'Plant loading'!J87</f>
        <v>126</v>
      </c>
    </row>
    <row r="122" spans="1:8" ht="10.9" thickBot="1">
      <c r="A122" s="701" t="str">
        <f>'Plant loading'!B88</f>
        <v>PEESN</v>
      </c>
      <c r="B122" s="702" t="str">
        <f>'Plant loading'!C88</f>
        <v>eSure</v>
      </c>
      <c r="C122" s="703">
        <f>('Plant loading'!E88)*(54.5/1000)</f>
        <v>18.966000000000001</v>
      </c>
      <c r="D122" s="704">
        <f>('Plant loading'!N88+'Plant loading'!Q88)*(54.5/1000)</f>
        <v>0</v>
      </c>
      <c r="E122" s="705">
        <f>'Plant loading'!H88</f>
        <v>36</v>
      </c>
      <c r="F122" s="706">
        <f>'Plant loading'!I88</f>
        <v>3.5</v>
      </c>
      <c r="G122" s="706">
        <f>'Plant loading'!L88</f>
        <v>63</v>
      </c>
      <c r="H122" s="707">
        <f>'Plant loading'!J88</f>
        <v>126</v>
      </c>
    </row>
    <row r="123" spans="1:8">
      <c r="A123" s="692" t="str">
        <f>'Plant loading'!B89</f>
        <v>PEASY</v>
      </c>
      <c r="B123" s="693" t="str">
        <f>'Plant loading'!C89</f>
        <v>eSure</v>
      </c>
      <c r="C123" s="694">
        <f>('Plant loading'!E89)*(54.5/1000)</f>
        <v>29.757000000000001</v>
      </c>
      <c r="D123" s="695">
        <f>('Plant loading'!N89+'Plant loading'!Q89)*(54.5/1000)</f>
        <v>0</v>
      </c>
      <c r="E123" s="696">
        <f>'Plant loading'!H89</f>
        <v>36</v>
      </c>
      <c r="F123" s="697">
        <f>'Plant loading'!I89</f>
        <v>3.5</v>
      </c>
      <c r="G123" s="697">
        <f>'Plant loading'!L89</f>
        <v>63</v>
      </c>
      <c r="H123" s="698">
        <f>'Plant loading'!J89</f>
        <v>126</v>
      </c>
    </row>
    <row r="124" spans="1:8">
      <c r="A124" s="699" t="str">
        <f>'Plant loading'!B90</f>
        <v>PEBSY</v>
      </c>
      <c r="B124" s="718" t="str">
        <f>'Plant loading'!C90</f>
        <v>eSure</v>
      </c>
      <c r="C124" s="715">
        <f>('Plant loading'!E90)*(54.5/1000)</f>
        <v>25.342500000000001</v>
      </c>
      <c r="D124" s="719">
        <f>('Plant loading'!N90+'Plant loading'!Q90)*(54.5/1000)</f>
        <v>0</v>
      </c>
      <c r="E124" s="720">
        <f>'Plant loading'!H90</f>
        <v>36</v>
      </c>
      <c r="F124" s="721">
        <f>'Plant loading'!I90</f>
        <v>3.5</v>
      </c>
      <c r="G124" s="721">
        <f>'Plant loading'!L90</f>
        <v>63</v>
      </c>
      <c r="H124" s="700">
        <f>'Plant loading'!J90</f>
        <v>126</v>
      </c>
    </row>
    <row r="125" spans="1:8">
      <c r="A125" s="699" t="str">
        <f>'Plant loading'!B91</f>
        <v>PECSY</v>
      </c>
      <c r="B125" s="718" t="str">
        <f>'Plant loading'!C91</f>
        <v>eSure</v>
      </c>
      <c r="C125" s="715">
        <f>('Plant loading'!E91)*(54.5/1000)</f>
        <v>21.690999999999999</v>
      </c>
      <c r="D125" s="719">
        <f>('Plant loading'!N91+'Plant loading'!Q91)*(54.5/1000)</f>
        <v>0</v>
      </c>
      <c r="E125" s="720">
        <f>'Plant loading'!H91</f>
        <v>36</v>
      </c>
      <c r="F125" s="721">
        <f>'Plant loading'!I91</f>
        <v>3.5</v>
      </c>
      <c r="G125" s="721">
        <f>'Plant loading'!L91</f>
        <v>63</v>
      </c>
      <c r="H125" s="700">
        <f>'Plant loading'!J91</f>
        <v>126</v>
      </c>
    </row>
    <row r="126" spans="1:8">
      <c r="A126" s="699" t="str">
        <f>'Plant loading'!B92</f>
        <v>PEDSY</v>
      </c>
      <c r="B126" s="718" t="str">
        <f>'Plant loading'!C92</f>
        <v>eSure</v>
      </c>
      <c r="C126" s="715">
        <f>('Plant loading'!E92)*(54.5/1000)</f>
        <v>15.532500000000001</v>
      </c>
      <c r="D126" s="719">
        <f>('Plant loading'!N92+'Plant loading'!Q92)*(54.5/1000)</f>
        <v>0</v>
      </c>
      <c r="E126" s="720">
        <f>'Plant loading'!H92</f>
        <v>36</v>
      </c>
      <c r="F126" s="721">
        <f>'Plant loading'!I92</f>
        <v>3.5</v>
      </c>
      <c r="G126" s="721">
        <f>'Plant loading'!L92</f>
        <v>63</v>
      </c>
      <c r="H126" s="700">
        <f>'Plant loading'!J92</f>
        <v>126</v>
      </c>
    </row>
    <row r="127" spans="1:8" ht="10.9" thickBot="1">
      <c r="A127" s="701" t="str">
        <f>'Plant loading'!B93</f>
        <v>PEESY</v>
      </c>
      <c r="B127" s="702" t="str">
        <f>'Plant loading'!C93</f>
        <v>eSure</v>
      </c>
      <c r="C127" s="703">
        <f>('Plant loading'!E93)*(54.5/1000)</f>
        <v>17.494499999999999</v>
      </c>
      <c r="D127" s="704">
        <f>('Plant loading'!N93+'Plant loading'!Q93)*(54.5/1000)</f>
        <v>0</v>
      </c>
      <c r="E127" s="705">
        <f>'Plant loading'!H93</f>
        <v>30</v>
      </c>
      <c r="F127" s="706">
        <f>'Plant loading'!I93</f>
        <v>3.5</v>
      </c>
      <c r="G127" s="706">
        <f>'Plant loading'!L93</f>
        <v>52</v>
      </c>
      <c r="H127" s="707">
        <f>'Plant loading'!J93</f>
        <v>105</v>
      </c>
    </row>
    <row r="128" spans="1:8">
      <c r="A128" s="692" t="str">
        <f>'Plant loading'!B94</f>
        <v>PEFBL</v>
      </c>
      <c r="B128" s="693" t="str">
        <f>'Plant loading'!C94</f>
        <v>NetSure</v>
      </c>
      <c r="C128" s="694">
        <f>('Plant loading'!E94)*(54.5/1000)</f>
        <v>23.326000000000001</v>
      </c>
      <c r="D128" s="695">
        <f>('Plant loading'!N94+'Plant loading'!Q94)*(54.5/1000)</f>
        <v>2.2345000000000002</v>
      </c>
      <c r="E128" s="696">
        <f>'Plant loading'!H94</f>
        <v>36</v>
      </c>
      <c r="F128" s="697">
        <f>'Plant loading'!I94</f>
        <v>3.2</v>
      </c>
      <c r="G128" s="697">
        <f>'Plant loading'!L94</f>
        <v>57</v>
      </c>
      <c r="H128" s="698">
        <f>'Plant loading'!J94</f>
        <v>115</v>
      </c>
    </row>
    <row r="129" spans="1:8" ht="10.9" thickBot="1">
      <c r="A129" s="701" t="str">
        <f>'Plant loading'!B95</f>
        <v>PEHBL</v>
      </c>
      <c r="B129" s="702" t="str">
        <f>'Plant loading'!C95</f>
        <v>NetSure</v>
      </c>
      <c r="C129" s="703">
        <f>('Plant loading'!E95)*(54.5/1000)</f>
        <v>17.222000000000001</v>
      </c>
      <c r="D129" s="704">
        <f>('Plant loading'!N95+'Plant loading'!Q95)*(54.5/1000)</f>
        <v>2.8340000000000001</v>
      </c>
      <c r="E129" s="705">
        <f>'Plant loading'!H95</f>
        <v>36</v>
      </c>
      <c r="F129" s="706">
        <f>'Plant loading'!I95</f>
        <v>3.2</v>
      </c>
      <c r="G129" s="706">
        <f>'Plant loading'!L95</f>
        <v>57</v>
      </c>
      <c r="H129" s="707">
        <f>'Plant loading'!J95</f>
        <v>115</v>
      </c>
    </row>
    <row r="130" spans="1:8">
      <c r="A130" s="692" t="str">
        <f>'Plant loading'!B96</f>
        <v>PECCF</v>
      </c>
      <c r="B130" s="693" t="str">
        <f>'Plant loading'!C96</f>
        <v>NetSure</v>
      </c>
      <c r="C130" s="694">
        <f>('Plant loading'!E96)*(54.5/1000)</f>
        <v>19.184000000000001</v>
      </c>
      <c r="D130" s="695">
        <f>('Plant loading'!N96+'Plant loading'!Q96)*(54.5/1000)</f>
        <v>2.3980000000000001</v>
      </c>
      <c r="E130" s="696">
        <f>'Plant loading'!H96</f>
        <v>36</v>
      </c>
      <c r="F130" s="697">
        <f>'Plant loading'!I96</f>
        <v>3.2</v>
      </c>
      <c r="G130" s="697">
        <f>'Plant loading'!L96</f>
        <v>57</v>
      </c>
      <c r="H130" s="698">
        <f>'Plant loading'!J96</f>
        <v>115</v>
      </c>
    </row>
    <row r="131" spans="1:8">
      <c r="A131" s="699" t="str">
        <f>'Plant loading'!B97</f>
        <v>PEDCF</v>
      </c>
      <c r="B131" s="718" t="str">
        <f>'Plant loading'!C97</f>
        <v>NetSure</v>
      </c>
      <c r="C131" s="715">
        <f>('Plant loading'!E97)*(54.5/1000)</f>
        <v>9.1014999999999997</v>
      </c>
      <c r="D131" s="719">
        <f>('Plant loading'!N97+'Plant loading'!Q97)*(54.5/1000)</f>
        <v>2.3980000000000001</v>
      </c>
      <c r="E131" s="720">
        <f>'Plant loading'!H97</f>
        <v>18</v>
      </c>
      <c r="F131" s="721">
        <f>'Plant loading'!I97</f>
        <v>3.2</v>
      </c>
      <c r="G131" s="721">
        <f>'Plant loading'!L97</f>
        <v>28</v>
      </c>
      <c r="H131" s="700">
        <f>'Plant loading'!J97</f>
        <v>57</v>
      </c>
    </row>
    <row r="132" spans="1:8" ht="10.9" thickBot="1">
      <c r="A132" s="701" t="str">
        <f>'Plant loading'!B98</f>
        <v>PEECF</v>
      </c>
      <c r="B132" s="702" t="str">
        <f>'Plant loading'!C98</f>
        <v>NetSure</v>
      </c>
      <c r="C132" s="703">
        <f>('Plant loading'!E98)*(54.5/1000)</f>
        <v>10.9</v>
      </c>
      <c r="D132" s="704">
        <f>('Plant loading'!N98+'Plant loading'!Q98)*(54.5/1000)</f>
        <v>0</v>
      </c>
      <c r="E132" s="705">
        <f>'Plant loading'!H98</f>
        <v>18</v>
      </c>
      <c r="F132" s="706">
        <f>'Plant loading'!I98</f>
        <v>3.2</v>
      </c>
      <c r="G132" s="706">
        <f>'Plant loading'!L98</f>
        <v>28</v>
      </c>
      <c r="H132" s="707">
        <f>'Plant loading'!J98</f>
        <v>57</v>
      </c>
    </row>
    <row r="133" spans="1:8">
      <c r="A133" s="692" t="str">
        <f>'Plant loading'!B99</f>
        <v>PEACE</v>
      </c>
      <c r="B133" s="693" t="str">
        <f>'Plant loading'!C99</f>
        <v>NetSure</v>
      </c>
      <c r="C133" s="694">
        <f>('Plant loading'!E99)*(54.5/1000)</f>
        <v>21.582000000000001</v>
      </c>
      <c r="D133" s="695">
        <f>('Plant loading'!N99+'Plant loading'!Q99)*(54.5/1000)</f>
        <v>7.3029999999999999</v>
      </c>
      <c r="E133" s="696">
        <f>'Plant loading'!H99</f>
        <v>36</v>
      </c>
      <c r="F133" s="697">
        <f>'Plant loading'!I99</f>
        <v>3.2</v>
      </c>
      <c r="G133" s="697">
        <f>'Plant loading'!L99</f>
        <v>57</v>
      </c>
      <c r="H133" s="698">
        <f>'Plant loading'!J99</f>
        <v>115</v>
      </c>
    </row>
    <row r="134" spans="1:8" ht="10.9" thickBot="1">
      <c r="A134" s="701" t="str">
        <f>'Plant loading'!B100</f>
        <v>PEBCE</v>
      </c>
      <c r="B134" s="702" t="str">
        <f>'Plant loading'!C100</f>
        <v>NetSure</v>
      </c>
      <c r="C134" s="703">
        <f>('Plant loading'!E100)*(54.5/1000)</f>
        <v>24.361499999999999</v>
      </c>
      <c r="D134" s="704">
        <f>('Plant loading'!N100+'Plant loading'!Q100)*(54.5/1000)</f>
        <v>7.3029999999999999</v>
      </c>
      <c r="E134" s="705">
        <f>'Plant loading'!H100</f>
        <v>36</v>
      </c>
      <c r="F134" s="706">
        <f>'Plant loading'!I100</f>
        <v>3.2</v>
      </c>
      <c r="G134" s="706">
        <f>'Plant loading'!L100</f>
        <v>57</v>
      </c>
      <c r="H134" s="707">
        <f>'Plant loading'!J100</f>
        <v>115</v>
      </c>
    </row>
    <row r="135" spans="1:8">
      <c r="A135" s="692" t="str">
        <f>'Plant loading'!B101</f>
        <v>PEFCN</v>
      </c>
      <c r="B135" s="693" t="str">
        <f>'Plant loading'!C101</f>
        <v>NetSure</v>
      </c>
      <c r="C135" s="694">
        <f>('Plant loading'!E101)*(54.5/1000)</f>
        <v>13.952</v>
      </c>
      <c r="D135" s="695">
        <f>('Plant loading'!N101+'Plant loading'!Q101)*(54.5/1000)</f>
        <v>2.3980000000000001</v>
      </c>
      <c r="E135" s="696">
        <f>'Plant loading'!H101</f>
        <v>36</v>
      </c>
      <c r="F135" s="697">
        <f>'Plant loading'!I101</f>
        <v>3.2</v>
      </c>
      <c r="G135" s="697">
        <f>'Plant loading'!L101</f>
        <v>57</v>
      </c>
      <c r="H135" s="698">
        <f>'Plant loading'!J101</f>
        <v>115</v>
      </c>
    </row>
    <row r="136" spans="1:8" ht="10.9" thickBot="1">
      <c r="A136" s="701" t="str">
        <f>'Plant loading'!B102</f>
        <v>PEGCN</v>
      </c>
      <c r="B136" s="702" t="str">
        <f>'Plant loading'!C102</f>
        <v>NetSure</v>
      </c>
      <c r="C136" s="703">
        <f>('Plant loading'!E102)*(54.5/1000)</f>
        <v>18.966000000000001</v>
      </c>
      <c r="D136" s="704">
        <f>('Plant loading'!N102+'Plant loading'!Q102)*(54.5/1000)</f>
        <v>2.3980000000000001</v>
      </c>
      <c r="E136" s="705">
        <f>'Plant loading'!H102</f>
        <v>36</v>
      </c>
      <c r="F136" s="706">
        <f>'Plant loading'!I102</f>
        <v>3.2</v>
      </c>
      <c r="G136" s="706">
        <f>'Plant loading'!L102</f>
        <v>57</v>
      </c>
      <c r="H136" s="707">
        <f>'Plant loading'!J102</f>
        <v>115</v>
      </c>
    </row>
    <row r="137" spans="1:8">
      <c r="A137" s="692" t="str">
        <f>'Plant loading'!B103</f>
        <v>PEJGW</v>
      </c>
      <c r="B137" s="693" t="str">
        <f>'Plant loading'!C103</f>
        <v>eSure</v>
      </c>
      <c r="C137" s="694">
        <f>('Plant loading'!E103)*(54.5/1000)</f>
        <v>4.8505000000000003</v>
      </c>
      <c r="D137" s="695">
        <f>('Plant loading'!N103+'Plant loading'!Q103)*(54.5/1000)</f>
        <v>0.27250000000000002</v>
      </c>
      <c r="E137" s="696">
        <f>'Plant loading'!H103</f>
        <v>9</v>
      </c>
      <c r="F137" s="697">
        <f>'Plant loading'!I103</f>
        <v>3.5</v>
      </c>
      <c r="G137" s="697">
        <f>'Plant loading'!L103</f>
        <v>21</v>
      </c>
      <c r="H137" s="698">
        <f>'Plant loading'!J103</f>
        <v>31</v>
      </c>
    </row>
    <row r="138" spans="1:8" ht="10.9" thickBot="1">
      <c r="A138" s="701" t="str">
        <f>'Plant loading'!B104</f>
        <v>PEKGW</v>
      </c>
      <c r="B138" s="702" t="str">
        <f>'Plant loading'!C104</f>
        <v>eSure</v>
      </c>
      <c r="C138" s="703">
        <f>('Plant loading'!E104)*(54.5/1000)</f>
        <v>4.6870000000000003</v>
      </c>
      <c r="D138" s="704">
        <f>('Plant loading'!N104+'Plant loading'!Q104)*(54.5/1000)</f>
        <v>0.27250000000000002</v>
      </c>
      <c r="E138" s="705">
        <f>'Plant loading'!H104</f>
        <v>9</v>
      </c>
      <c r="F138" s="706">
        <f>'Plant loading'!I104</f>
        <v>3.5</v>
      </c>
      <c r="G138" s="706">
        <f>'Plant loading'!L104</f>
        <v>21</v>
      </c>
      <c r="H138" s="707">
        <f>'Plant loading'!J104</f>
        <v>31</v>
      </c>
    </row>
    <row r="139" spans="1:8">
      <c r="A139" s="692" t="str">
        <f>'Plant loading'!B105</f>
        <v>PEFLR</v>
      </c>
      <c r="B139" s="693" t="str">
        <f>'Plant loading'!C105</f>
        <v>NetSure</v>
      </c>
      <c r="C139" s="694">
        <f>('Plant loading'!E105)*(54.5/1000)</f>
        <v>33.027000000000001</v>
      </c>
      <c r="D139" s="695">
        <f>('Plant loading'!N105+'Plant loading'!Q105)*(54.5/1000)</f>
        <v>0</v>
      </c>
      <c r="E139" s="696">
        <f>'Plant loading'!H105</f>
        <v>36</v>
      </c>
      <c r="F139" s="697">
        <f>'Plant loading'!I105</f>
        <v>3.2</v>
      </c>
      <c r="G139" s="697">
        <f>'Plant loading'!L105</f>
        <v>57</v>
      </c>
      <c r="H139" s="698">
        <f>'Plant loading'!J105</f>
        <v>115</v>
      </c>
    </row>
    <row r="140" spans="1:8" ht="10.9" thickBot="1">
      <c r="A140" s="701" t="str">
        <f>'Plant loading'!B106</f>
        <v>PEGLR</v>
      </c>
      <c r="B140" s="702" t="str">
        <f>'Plant loading'!C106</f>
        <v>NetSure</v>
      </c>
      <c r="C140" s="703">
        <f>('Plant loading'!E106)*(54.5/1000)</f>
        <v>28.067499999999999</v>
      </c>
      <c r="D140" s="704">
        <f>('Plant loading'!N106+'Plant loading'!Q106)*(54.5/1000)</f>
        <v>0</v>
      </c>
      <c r="E140" s="705">
        <f>'Plant loading'!H106</f>
        <v>36</v>
      </c>
      <c r="F140" s="706">
        <f>'Plant loading'!I106</f>
        <v>3.2</v>
      </c>
      <c r="G140" s="706">
        <f>'Plant loading'!L106</f>
        <v>57</v>
      </c>
      <c r="H140" s="707">
        <f>'Plant loading'!J106</f>
        <v>115</v>
      </c>
    </row>
    <row r="141" spans="1:8">
      <c r="A141" s="692" t="str">
        <f>'Plant loading'!B107</f>
        <v>PEGNY</v>
      </c>
      <c r="B141" s="693" t="str">
        <f>'Plant loading'!C107</f>
        <v>NetSure</v>
      </c>
      <c r="C141" s="694">
        <f>('Plant loading'!E107)*(54.5/1000)</f>
        <v>17.276499999999999</v>
      </c>
      <c r="D141" s="695">
        <f>('Plant loading'!N107+'Plant loading'!Q107)*(54.5/1000)</f>
        <v>0.27250000000000002</v>
      </c>
      <c r="E141" s="696">
        <f>'Plant loading'!H107</f>
        <v>36</v>
      </c>
      <c r="F141" s="697">
        <f>'Plant loading'!I107</f>
        <v>3.2</v>
      </c>
      <c r="G141" s="697">
        <f>'Plant loading'!L107</f>
        <v>57</v>
      </c>
      <c r="H141" s="698">
        <f>'Plant loading'!J107</f>
        <v>115</v>
      </c>
    </row>
    <row r="142" spans="1:8">
      <c r="A142" s="699" t="str">
        <f>'Plant loading'!B108</f>
        <v>PEHNY</v>
      </c>
      <c r="B142" s="718" t="str">
        <f>'Plant loading'!C108</f>
        <v>NetSure</v>
      </c>
      <c r="C142" s="715">
        <f>('Plant loading'!E108)*(54.5/1000)</f>
        <v>15.968500000000001</v>
      </c>
      <c r="D142" s="719">
        <f>('Plant loading'!N108+'Plant loading'!Q108)*(54.5/1000)</f>
        <v>0.27250000000000002</v>
      </c>
      <c r="E142" s="720">
        <f>'Plant loading'!H108</f>
        <v>36</v>
      </c>
      <c r="F142" s="721">
        <f>'Plant loading'!I108</f>
        <v>3.2</v>
      </c>
      <c r="G142" s="721">
        <f>'Plant loading'!L108</f>
        <v>57</v>
      </c>
      <c r="H142" s="700">
        <f>'Plant loading'!J108</f>
        <v>115</v>
      </c>
    </row>
    <row r="143" spans="1:8">
      <c r="A143" s="692" t="str">
        <f>'Plant loading'!B109</f>
        <v>PEENE</v>
      </c>
      <c r="B143" s="693" t="str">
        <f>'Plant loading'!C109</f>
        <v>NetSure</v>
      </c>
      <c r="C143" s="694">
        <f>('Plant loading'!E109)*(54.5/1000)</f>
        <v>15.532500000000001</v>
      </c>
      <c r="D143" s="695">
        <f>('Plant loading'!N109+'Plant loading'!Q109)*(54.5/1000)</f>
        <v>3.2155</v>
      </c>
      <c r="E143" s="696">
        <f>'Plant loading'!H109</f>
        <v>36</v>
      </c>
      <c r="F143" s="697">
        <f>'Plant loading'!I109</f>
        <v>3.2</v>
      </c>
      <c r="G143" s="697">
        <f>'Plant loading'!L109</f>
        <v>57</v>
      </c>
      <c r="H143" s="698">
        <f>'Plant loading'!J109</f>
        <v>115</v>
      </c>
    </row>
    <row r="144" spans="1:8">
      <c r="A144" s="699" t="str">
        <f>'Plant loading'!B110</f>
        <v>PEFNE</v>
      </c>
      <c r="B144" s="718" t="str">
        <f>'Plant loading'!C110</f>
        <v>NetSure</v>
      </c>
      <c r="C144" s="715">
        <f>('Plant loading'!E110)*(54.5/1000)</f>
        <v>20.2195</v>
      </c>
      <c r="D144" s="719">
        <f>('Plant loading'!N110+'Plant loading'!Q110)*(54.5/1000)</f>
        <v>4.3055000000000003</v>
      </c>
      <c r="E144" s="720">
        <f>'Plant loading'!H110</f>
        <v>36</v>
      </c>
      <c r="F144" s="721">
        <f>'Plant loading'!I110</f>
        <v>3.2</v>
      </c>
      <c r="G144" s="721">
        <f>'Plant loading'!L110</f>
        <v>57</v>
      </c>
      <c r="H144" s="700">
        <f>'Plant loading'!J110</f>
        <v>115</v>
      </c>
    </row>
    <row r="145" spans="1:8" ht="10.9" thickBot="1">
      <c r="A145" s="701" t="str">
        <f>'Plant loading'!B111</f>
        <v>PEGNE</v>
      </c>
      <c r="B145" s="702" t="str">
        <f>'Plant loading'!C111</f>
        <v>NetSure</v>
      </c>
      <c r="C145" s="703">
        <f>('Plant loading'!E111)*(54.5/1000)</f>
        <v>8.1750000000000007</v>
      </c>
      <c r="D145" s="704">
        <f>('Plant loading'!N111+'Plant loading'!Q111)*(54.5/1000)</f>
        <v>1.0900000000000001</v>
      </c>
      <c r="E145" s="705">
        <f>'Plant loading'!H111</f>
        <v>18</v>
      </c>
      <c r="F145" s="706">
        <f>'Plant loading'!I111</f>
        <v>3.2</v>
      </c>
      <c r="G145" s="706">
        <f>'Plant loading'!L111</f>
        <v>28</v>
      </c>
      <c r="H145" s="707">
        <f>'Plant loading'!J111</f>
        <v>57</v>
      </c>
    </row>
    <row r="146" spans="1:8">
      <c r="A146" s="692" t="str">
        <f>'Plant loading'!B112</f>
        <v>PECOD</v>
      </c>
      <c r="B146" s="693" t="str">
        <f>'Plant loading'!C112</f>
        <v>NetSure</v>
      </c>
      <c r="C146" s="694">
        <f>('Plant loading'!E112)*(54.5/1000)</f>
        <v>11.608499999999999</v>
      </c>
      <c r="D146" s="695">
        <f>('Plant loading'!N112+'Plant loading'!Q112)*(54.5/1000)</f>
        <v>5.8315000000000001</v>
      </c>
      <c r="E146" s="696">
        <f>'Plant loading'!H112</f>
        <v>36</v>
      </c>
      <c r="F146" s="697">
        <f>'Plant loading'!I112</f>
        <v>3.2</v>
      </c>
      <c r="G146" s="697">
        <f>'Plant loading'!L112</f>
        <v>57</v>
      </c>
      <c r="H146" s="698">
        <f>'Plant loading'!J112</f>
        <v>115</v>
      </c>
    </row>
    <row r="147" spans="1:8" ht="10.9" thickBot="1">
      <c r="A147" s="701" t="str">
        <f>'Plant loading'!B113</f>
        <v>PEFOD</v>
      </c>
      <c r="B147" s="702" t="str">
        <f>'Plant loading'!C113</f>
        <v>NetSure</v>
      </c>
      <c r="C147" s="703">
        <f>('Plant loading'!E113)*(54.5/1000)</f>
        <v>7.5209999999999999</v>
      </c>
      <c r="D147" s="704">
        <f>('Plant loading'!N113+'Plant loading'!Q113)*(54.5/1000)</f>
        <v>5.8315000000000001</v>
      </c>
      <c r="E147" s="705">
        <f>'Plant loading'!H113</f>
        <v>30</v>
      </c>
      <c r="F147" s="706">
        <f>'Plant loading'!I113</f>
        <v>3.2</v>
      </c>
      <c r="G147" s="706">
        <f>'Plant loading'!L113</f>
        <v>48</v>
      </c>
      <c r="H147" s="707">
        <f>'Plant loading'!J113</f>
        <v>96</v>
      </c>
    </row>
    <row r="148" spans="1:8">
      <c r="A148" s="692" t="str">
        <f>'Plant loading'!B114</f>
        <v>PEESD</v>
      </c>
      <c r="B148" s="693" t="str">
        <f>'Plant loading'!C114</f>
        <v>NetSure</v>
      </c>
      <c r="C148" s="694">
        <f>('Plant loading'!E114)*(54.5/1000)</f>
        <v>21.254999999999999</v>
      </c>
      <c r="D148" s="695">
        <f>('Plant loading'!N114+'Plant loading'!Q114)*(54.5/1000)</f>
        <v>0</v>
      </c>
      <c r="E148" s="696">
        <f>'Plant loading'!H114</f>
        <v>36</v>
      </c>
      <c r="F148" s="697">
        <f>'Plant loading'!I114</f>
        <v>3.2</v>
      </c>
      <c r="G148" s="697">
        <f>'Plant loading'!L114</f>
        <v>57</v>
      </c>
      <c r="H148" s="698">
        <f>'Plant loading'!J114</f>
        <v>115</v>
      </c>
    </row>
    <row r="149" spans="1:8" ht="10.9" thickBot="1">
      <c r="A149" s="701" t="str">
        <f>'Plant loading'!B115</f>
        <v>PEGSD</v>
      </c>
      <c r="B149" s="702" t="str">
        <f>'Plant loading'!C115</f>
        <v>NetSure</v>
      </c>
      <c r="C149" s="703">
        <f>('Plant loading'!E115)*(54.5/1000)</f>
        <v>22.998999999999999</v>
      </c>
      <c r="D149" s="704">
        <f>('Plant loading'!N115+'Plant loading'!Q115)*(54.5/1000)</f>
        <v>0</v>
      </c>
      <c r="E149" s="705">
        <f>'Plant loading'!H115</f>
        <v>36</v>
      </c>
      <c r="F149" s="706">
        <f>'Plant loading'!I115</f>
        <v>3.2</v>
      </c>
      <c r="G149" s="706">
        <f>'Plant loading'!L115</f>
        <v>57</v>
      </c>
      <c r="H149" s="707">
        <f>'Plant loading'!J115</f>
        <v>115</v>
      </c>
    </row>
    <row r="150" spans="1:8">
      <c r="A150" s="692" t="str">
        <f>'Plant loading'!B116</f>
        <v>PELWN</v>
      </c>
      <c r="B150" s="693" t="str">
        <f>'Plant loading'!C116</f>
        <v>NetSure</v>
      </c>
      <c r="C150" s="694">
        <f>('Plant loading'!E116)*(54.5/1000)</f>
        <v>11.336</v>
      </c>
      <c r="D150" s="695">
        <f>('Plant loading'!N116+'Plant loading'!Q116)*(54.5/1000)</f>
        <v>0.27250000000000002</v>
      </c>
      <c r="E150" s="696">
        <f>'Plant loading'!H116</f>
        <v>18</v>
      </c>
      <c r="F150" s="697">
        <f>'Plant loading'!I116</f>
        <v>3.2</v>
      </c>
      <c r="G150" s="697">
        <f>'Plant loading'!L116</f>
        <v>28</v>
      </c>
      <c r="H150" s="698">
        <f>'Plant loading'!J116</f>
        <v>57</v>
      </c>
    </row>
    <row r="151" spans="1:8">
      <c r="A151" s="699" t="str">
        <f>'Plant loading'!B117</f>
        <v>PEMWN</v>
      </c>
      <c r="B151" s="718" t="str">
        <f>'Plant loading'!C117</f>
        <v>NetSure</v>
      </c>
      <c r="C151" s="715">
        <f>('Plant loading'!E117)*(54.5/1000)</f>
        <v>8.5020000000000007</v>
      </c>
      <c r="D151" s="719">
        <f>('Plant loading'!N117+'Plant loading'!Q117)*(54.5/1000)</f>
        <v>0.27250000000000002</v>
      </c>
      <c r="E151" s="720">
        <f>'Plant loading'!H117</f>
        <v>18</v>
      </c>
      <c r="F151" s="721">
        <f>'Plant loading'!I117</f>
        <v>3.2</v>
      </c>
      <c r="G151" s="721">
        <f>'Plant loading'!L117</f>
        <v>28</v>
      </c>
      <c r="H151" s="700">
        <f>'Plant loading'!J117</f>
        <v>57</v>
      </c>
    </row>
    <row r="152" spans="1:8" ht="10.9" thickBot="1">
      <c r="A152" s="701" t="str">
        <f>'Plant loading'!B118</f>
        <v>PENWN</v>
      </c>
      <c r="B152" s="702" t="str">
        <f>'Plant loading'!C118</f>
        <v>NetSure</v>
      </c>
      <c r="C152" s="703">
        <f>('Plant loading'!E118)*(54.5/1000)</f>
        <v>19.728999999999999</v>
      </c>
      <c r="D152" s="704">
        <f>('Plant loading'!N118+'Plant loading'!Q118)*(54.5/1000)</f>
        <v>0</v>
      </c>
      <c r="E152" s="705">
        <f>'Plant loading'!H118</f>
        <v>18</v>
      </c>
      <c r="F152" s="706">
        <f>'Plant loading'!I118</f>
        <v>3.2</v>
      </c>
      <c r="G152" s="706">
        <f>'Plant loading'!L118</f>
        <v>28</v>
      </c>
      <c r="H152" s="707">
        <f>'Plant loading'!J118</f>
        <v>57</v>
      </c>
    </row>
  </sheetData>
  <mergeCells count="2">
    <mergeCell ref="B2:E2"/>
    <mergeCell ref="I8:J8"/>
  </mergeCells>
  <pageMargins left="0.7" right="0.7" top="0.75" bottom="0.75" header="0.3" footer="0.3"/>
  <pageSetup paperSize="9" orientation="portrait" r:id="rId1"/>
  <headerFooter>
    <oddFooter>&amp;L&amp;1#&amp;"Calibri"&amp;7&amp;K000000C2 General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7F47-1F9D-4A9C-8DAC-DC9A3F92FABE}">
  <sheetPr codeName="Sheet15"/>
  <dimension ref="B4:Z136"/>
  <sheetViews>
    <sheetView zoomScale="70" zoomScaleNormal="70" workbookViewId="0">
      <selection activeCell="O15" sqref="O15"/>
    </sheetView>
  </sheetViews>
  <sheetFormatPr defaultRowHeight="10.15"/>
  <cols>
    <col min="3" max="15" width="20.5" customWidth="1"/>
    <col min="16" max="16" width="10.33203125" customWidth="1"/>
    <col min="18" max="18" width="12" customWidth="1"/>
    <col min="22" max="22" width="12" customWidth="1"/>
    <col min="23" max="23" width="11.6640625" customWidth="1"/>
    <col min="24" max="24" width="11.5" customWidth="1"/>
    <col min="26" max="26" width="12.5" customWidth="1"/>
  </cols>
  <sheetData>
    <row r="4" spans="3:26" ht="41.45">
      <c r="K4" s="924" t="s">
        <v>438</v>
      </c>
    </row>
    <row r="5" spans="3:26" s="901" customFormat="1" ht="55.15">
      <c r="C5" s="899" t="s">
        <v>439</v>
      </c>
      <c r="D5" s="903" t="s">
        <v>440</v>
      </c>
      <c r="E5" s="903" t="s">
        <v>441</v>
      </c>
      <c r="F5" s="918" t="s">
        <v>442</v>
      </c>
      <c r="G5" s="903" t="s">
        <v>443</v>
      </c>
      <c r="H5" s="903" t="s">
        <v>444</v>
      </c>
      <c r="I5" s="903" t="s">
        <v>445</v>
      </c>
      <c r="J5" s="903" t="s">
        <v>446</v>
      </c>
      <c r="K5" s="903" t="s">
        <v>447</v>
      </c>
      <c r="L5" s="903" t="s">
        <v>448</v>
      </c>
      <c r="M5" s="926" t="s">
        <v>449</v>
      </c>
      <c r="N5" s="929" t="s">
        <v>450</v>
      </c>
      <c r="O5" s="932" t="s">
        <v>451</v>
      </c>
      <c r="P5" s="929" t="s">
        <v>452</v>
      </c>
      <c r="Q5" s="927" t="s">
        <v>453</v>
      </c>
      <c r="R5" s="903" t="s">
        <v>454</v>
      </c>
      <c r="S5" s="918">
        <v>0.8</v>
      </c>
      <c r="T5" s="903"/>
      <c r="V5" s="1020" t="s">
        <v>455</v>
      </c>
      <c r="W5" s="1020" t="s">
        <v>456</v>
      </c>
      <c r="X5" s="1020" t="s">
        <v>457</v>
      </c>
      <c r="Y5" s="1020" t="s">
        <v>458</v>
      </c>
      <c r="Z5" s="1020" t="s">
        <v>459</v>
      </c>
    </row>
    <row r="6" spans="3:26" ht="13.9">
      <c r="C6" s="900" t="s">
        <v>328</v>
      </c>
      <c r="D6" s="904" cm="1">
        <f t="array" ref="D6">SUM('Plant loading'!T72:T74+'Plant loading'!V72:V74)</f>
        <v>464.61250000000001</v>
      </c>
      <c r="E6" s="904">
        <f>D6*0.9</f>
        <v>418.15125</v>
      </c>
      <c r="F6" s="904">
        <f>D6*0.1</f>
        <v>46.461250000000007</v>
      </c>
      <c r="G6" s="904">
        <f>SUM('Plant loading'!G72:G74)</f>
        <v>278.22250000000003</v>
      </c>
      <c r="H6" s="904">
        <f>SUM('Plant loading'!P72:P74)</f>
        <v>105.5665</v>
      </c>
      <c r="I6" s="904">
        <f>SUM('Plant loading'!R72:R74)</f>
        <v>7.194</v>
      </c>
      <c r="J6" s="904">
        <f>SUM(G6:I6)</f>
        <v>390.98300000000006</v>
      </c>
      <c r="K6" s="904">
        <f>SUM(E6-J6)</f>
        <v>27.168249999999944</v>
      </c>
      <c r="L6" s="904">
        <f>SUM(E6-(I6+G6))</f>
        <v>132.73474999999996</v>
      </c>
      <c r="M6" s="902" t="str">
        <f>[4]Sheet1!$W$15</f>
        <v>Dell S5248F</v>
      </c>
      <c r="N6" s="928" t="str">
        <f>[4]Sheet1!$W$4</f>
        <v>Dell S5248F</v>
      </c>
      <c r="O6" s="933">
        <f>SUM('Plant loading'!V72:V74)</f>
        <v>73.629499999999993</v>
      </c>
      <c r="P6" s="935"/>
      <c r="Q6" s="1021">
        <f>SUM(D6*0.85)</f>
        <v>394.92062499999997</v>
      </c>
      <c r="R6" s="1022">
        <f t="shared" ref="R6:R13" si="0">SUM(Q6-J6)</f>
        <v>3.9376249999999118</v>
      </c>
      <c r="S6" s="1023">
        <f t="shared" ref="S6:S13" si="1">SUM(D6*0.8)</f>
        <v>371.69000000000005</v>
      </c>
      <c r="T6" s="1022">
        <f t="shared" ref="T6:T13" si="2">SUM(S6-J6)</f>
        <v>-19.293000000000006</v>
      </c>
      <c r="U6" s="1024"/>
      <c r="V6" s="930" t="e">
        <f>N6/M6</f>
        <v>#VALUE!</v>
      </c>
      <c r="W6" s="931" t="s">
        <v>460</v>
      </c>
      <c r="X6" s="931">
        <v>6.5</v>
      </c>
      <c r="Y6" s="931">
        <v>5</v>
      </c>
      <c r="Z6" s="930">
        <f>Y6/X6</f>
        <v>0.76923076923076927</v>
      </c>
    </row>
    <row r="7" spans="3:26" ht="13.9">
      <c r="C7" s="900" t="s">
        <v>297</v>
      </c>
      <c r="D7" s="904" cm="1">
        <f t="array" ref="D7">SUM('Plant loading'!T39:T41+'Plant loading'!V39:V41)</f>
        <v>461.61499999999995</v>
      </c>
      <c r="E7" s="904">
        <f t="shared" ref="E7:E12" si="3">D7*0.9</f>
        <v>415.45349999999996</v>
      </c>
      <c r="F7" s="904">
        <f t="shared" ref="F7:F13" si="4">D7*0.1</f>
        <v>46.161499999999997</v>
      </c>
      <c r="G7" s="904">
        <f>SUM('Plant loading'!G39:G41)</f>
        <v>285.08949999999999</v>
      </c>
      <c r="H7" s="904">
        <f>SUM('Plant loading'!P39:P41)</f>
        <v>67.307500000000005</v>
      </c>
      <c r="I7" s="904">
        <f>SUM('Plant loading'!R39:R41)</f>
        <v>20.388449999999999</v>
      </c>
      <c r="J7" s="904">
        <f t="shared" ref="J7:J12" si="5">SUM(G7:I7)</f>
        <v>372.78544999999997</v>
      </c>
      <c r="K7" s="904">
        <f t="shared" ref="K7:K12" si="6">SUM(E7-J7)</f>
        <v>42.668049999999994</v>
      </c>
      <c r="L7" s="904">
        <f t="shared" ref="L7:L12" si="7">SUM(E7-(I7+G7))</f>
        <v>109.97555</v>
      </c>
      <c r="M7" s="902" t="str">
        <f>[4]Sheet1!$W$16</f>
        <v>Dell S5248F</v>
      </c>
      <c r="N7" s="902" t="str">
        <f>[4]Sheet1!$W$5</f>
        <v>Dell S5248F</v>
      </c>
      <c r="O7" s="933">
        <f>SUM('Plant loading'!V39:V41)</f>
        <v>88.829549999999983</v>
      </c>
      <c r="P7" s="935"/>
      <c r="Q7" s="1021">
        <f t="shared" ref="Q7:Q12" si="8">SUM(D7*0.85)</f>
        <v>392.37274999999994</v>
      </c>
      <c r="R7" s="1022">
        <f t="shared" si="0"/>
        <v>19.587299999999971</v>
      </c>
      <c r="S7" s="1023">
        <f t="shared" si="1"/>
        <v>369.29199999999997</v>
      </c>
      <c r="T7" s="1022">
        <f t="shared" si="2"/>
        <v>-3.4934499999999957</v>
      </c>
      <c r="U7" s="1024"/>
      <c r="V7" s="930" t="e">
        <f t="shared" ref="V7:V13" si="9">N7/M7</f>
        <v>#VALUE!</v>
      </c>
      <c r="W7" s="931" t="s">
        <v>461</v>
      </c>
      <c r="X7" s="931">
        <v>7.5</v>
      </c>
      <c r="Y7" s="931">
        <v>5</v>
      </c>
      <c r="Z7" s="930">
        <f t="shared" ref="Z7:Z10" si="10">Y7/X7</f>
        <v>0.66666666666666663</v>
      </c>
    </row>
    <row r="8" spans="3:26" ht="13.9">
      <c r="C8" s="900" t="s">
        <v>305</v>
      </c>
      <c r="D8" s="904" cm="1">
        <f t="array" ref="D8">SUM('Plant loading'!T32:T34+'Plant loading'!V32:V34)</f>
        <v>464.72149999999999</v>
      </c>
      <c r="E8" s="904">
        <f t="shared" si="3"/>
        <v>418.24934999999999</v>
      </c>
      <c r="F8" s="904">
        <f t="shared" si="4"/>
        <v>46.472149999999999</v>
      </c>
      <c r="G8" s="904">
        <f>SUM('Plant loading'!G32:G34)</f>
        <v>274.84350000000001</v>
      </c>
      <c r="H8" s="904">
        <f>SUM('Plant loading'!P32:P34)</f>
        <v>103.877</v>
      </c>
      <c r="I8" s="904">
        <f>SUM('Plant loading'!R32:R34)</f>
        <v>16.393600000000003</v>
      </c>
      <c r="J8" s="904">
        <f t="shared" si="5"/>
        <v>395.11410000000001</v>
      </c>
      <c r="K8" s="904">
        <f t="shared" si="6"/>
        <v>23.135249999999985</v>
      </c>
      <c r="L8" s="904">
        <f t="shared" si="7"/>
        <v>127.01224999999999</v>
      </c>
      <c r="M8" s="902" t="str">
        <f>[4]Sheet1!$W$17</f>
        <v>Dell S5248F</v>
      </c>
      <c r="N8" s="902" t="str">
        <f>[4]Sheet1!$W$6</f>
        <v>Dell S5248F</v>
      </c>
      <c r="O8" s="933">
        <f>SUM('Plant loading'!V32:V34)</f>
        <v>69.607399999999998</v>
      </c>
      <c r="P8" s="935"/>
      <c r="Q8" s="1021">
        <f t="shared" si="8"/>
        <v>395.01327499999996</v>
      </c>
      <c r="R8" s="1022">
        <f t="shared" si="0"/>
        <v>-0.10082500000004302</v>
      </c>
      <c r="S8" s="1023">
        <f t="shared" si="1"/>
        <v>371.77719999999999</v>
      </c>
      <c r="T8" s="1022">
        <f t="shared" si="2"/>
        <v>-23.336900000000014</v>
      </c>
      <c r="U8" s="1024"/>
      <c r="V8" s="930" t="e">
        <f t="shared" si="9"/>
        <v>#VALUE!</v>
      </c>
      <c r="W8" s="931" t="s">
        <v>462</v>
      </c>
      <c r="X8" s="931">
        <v>6.5</v>
      </c>
      <c r="Y8" s="931">
        <v>4.5</v>
      </c>
      <c r="Z8" s="930">
        <f t="shared" si="10"/>
        <v>0.69230769230769229</v>
      </c>
    </row>
    <row r="9" spans="3:26" ht="13.9">
      <c r="C9" s="900" t="s">
        <v>280</v>
      </c>
      <c r="D9" s="904" cm="1">
        <f t="array" ref="D9">SUM('Plant loading'!T9:T12+'Plant loading'!V9:V12)</f>
        <v>503.58</v>
      </c>
      <c r="E9" s="904">
        <f t="shared" si="3"/>
        <v>453.22199999999998</v>
      </c>
      <c r="F9" s="904">
        <f t="shared" si="4"/>
        <v>50.358000000000004</v>
      </c>
      <c r="G9" s="904">
        <f>SUM('Plant loading'!G9:G12)</f>
        <v>386.95</v>
      </c>
      <c r="H9" s="904">
        <f>SUM('Plant loading'!P9:P12)</f>
        <v>39.021999999999998</v>
      </c>
      <c r="I9" s="904">
        <f>SUM('Plant loading'!R9:R12)</f>
        <v>38.040999999999997</v>
      </c>
      <c r="J9" s="904">
        <f t="shared" si="5"/>
        <v>464.01299999999998</v>
      </c>
      <c r="K9" s="904">
        <f t="shared" si="6"/>
        <v>-10.790999999999997</v>
      </c>
      <c r="L9" s="904">
        <f t="shared" si="7"/>
        <v>28.230999999999995</v>
      </c>
      <c r="M9" s="902" t="str">
        <f>[4]Sheet1!$W$19</f>
        <v>Dell S5248F</v>
      </c>
      <c r="N9" s="902" t="str">
        <f>[4]Sheet1!$W$8</f>
        <v>Dell S5248F</v>
      </c>
      <c r="O9" s="933">
        <f>SUM('Plant loading'!V9:V12)</f>
        <v>39.567</v>
      </c>
      <c r="P9" s="935"/>
      <c r="Q9" s="1021">
        <f t="shared" si="8"/>
        <v>428.04299999999995</v>
      </c>
      <c r="R9" s="1022">
        <f t="shared" si="0"/>
        <v>-35.970000000000027</v>
      </c>
      <c r="S9" s="1023">
        <f t="shared" si="1"/>
        <v>402.86400000000003</v>
      </c>
      <c r="T9" s="1022">
        <f t="shared" si="2"/>
        <v>-61.148999999999944</v>
      </c>
      <c r="U9" s="1024"/>
      <c r="V9" s="930" t="e">
        <f t="shared" si="9"/>
        <v>#VALUE!</v>
      </c>
      <c r="W9" s="931" t="s">
        <v>463</v>
      </c>
      <c r="X9" s="931">
        <v>10.5</v>
      </c>
      <c r="Y9" s="931">
        <v>6.5</v>
      </c>
      <c r="Z9" s="930">
        <f t="shared" si="10"/>
        <v>0.61904761904761907</v>
      </c>
    </row>
    <row r="10" spans="3:26" ht="13.9">
      <c r="C10" s="900" t="s">
        <v>290</v>
      </c>
      <c r="D10" s="904" cm="1">
        <f t="array" ref="D10">SUM('Plant loading'!T22:T24+'Plant loading'!V22:V24)</f>
        <v>377.685</v>
      </c>
      <c r="E10" s="904">
        <f>D10*0.945</f>
        <v>356.91232500000001</v>
      </c>
      <c r="F10" s="919">
        <f>D10*0.06</f>
        <v>22.661099999999998</v>
      </c>
      <c r="G10" s="904">
        <f>SUM('Plant loading'!G22:G24)</f>
        <v>288.14150000000001</v>
      </c>
      <c r="H10" s="904">
        <f>SUM('Plant loading'!P22:P24)</f>
        <v>67.852500000000006</v>
      </c>
      <c r="I10" s="904">
        <f>SUM('Plant loading'!R22:R24)</f>
        <v>3.488</v>
      </c>
      <c r="J10" s="904">
        <f t="shared" si="5"/>
        <v>359.48200000000003</v>
      </c>
      <c r="K10" s="919">
        <f t="shared" si="6"/>
        <v>-2.5696750000000179</v>
      </c>
      <c r="L10" s="904">
        <f t="shared" si="7"/>
        <v>65.282825000000003</v>
      </c>
      <c r="M10" s="902" t="str">
        <f>[4]Sheet1!$W$20</f>
        <v>Dell S5248F</v>
      </c>
      <c r="N10" s="902" t="str">
        <f>[4]Sheet1!$W$9</f>
        <v>Dell S5248F</v>
      </c>
      <c r="O10" s="933">
        <f>SUM('Plant loading'!V22:V24)</f>
        <v>18.202999999999999</v>
      </c>
      <c r="P10" s="935"/>
      <c r="Q10" s="1021">
        <f t="shared" si="8"/>
        <v>321.03224999999998</v>
      </c>
      <c r="R10" s="1022">
        <f t="shared" si="0"/>
        <v>-38.449750000000051</v>
      </c>
      <c r="S10" s="1023">
        <f t="shared" si="1"/>
        <v>302.14800000000002</v>
      </c>
      <c r="T10" s="1022">
        <f t="shared" si="2"/>
        <v>-57.334000000000003</v>
      </c>
      <c r="U10" s="1024"/>
      <c r="V10" s="930" t="e">
        <f t="shared" si="9"/>
        <v>#VALUE!</v>
      </c>
      <c r="W10" s="931" t="s">
        <v>464</v>
      </c>
      <c r="X10" s="931">
        <v>8.5</v>
      </c>
      <c r="Y10" s="931">
        <v>6</v>
      </c>
      <c r="Z10" s="930">
        <f t="shared" si="10"/>
        <v>0.70588235294117652</v>
      </c>
    </row>
    <row r="11" spans="3:26" ht="13.9">
      <c r="C11" s="900" t="s">
        <v>320</v>
      </c>
      <c r="D11" s="904" cm="1">
        <f t="array" ref="D11">SUM('Plant loading'!T64:T66+'Plant loading'!V64:V66)</f>
        <v>479.81799999999998</v>
      </c>
      <c r="E11" s="904">
        <f t="shared" si="3"/>
        <v>431.83620000000002</v>
      </c>
      <c r="F11" s="904">
        <f t="shared" si="4"/>
        <v>47.9818</v>
      </c>
      <c r="G11" s="904">
        <f>SUM('Plant loading'!G64:G66)</f>
        <v>389.18450000000001</v>
      </c>
      <c r="H11" s="904">
        <f>SUM('Plant loading'!P64:P66)</f>
        <v>40.439</v>
      </c>
      <c r="I11" s="904">
        <f>SUM('Plant loading'!R64:R66)</f>
        <v>23.326000000000001</v>
      </c>
      <c r="J11" s="904">
        <f t="shared" si="5"/>
        <v>452.94950000000006</v>
      </c>
      <c r="K11" s="904">
        <f t="shared" si="6"/>
        <v>-21.113300000000038</v>
      </c>
      <c r="L11" s="904">
        <f t="shared" si="7"/>
        <v>19.325699999999983</v>
      </c>
      <c r="M11" s="902" t="str">
        <f>[4]Sheet1!$W$21</f>
        <v>Dell S5248F</v>
      </c>
      <c r="N11" s="902" t="str">
        <f>[4]Sheet1!$W$10</f>
        <v>Dell S5248F</v>
      </c>
      <c r="O11" s="933">
        <f>SUM('Plant loading'!V64:V66)</f>
        <v>26.868500000000001</v>
      </c>
      <c r="P11" s="935"/>
      <c r="Q11" s="1021">
        <f t="shared" si="8"/>
        <v>407.84529999999995</v>
      </c>
      <c r="R11" s="1022">
        <f t="shared" si="0"/>
        <v>-45.104200000000105</v>
      </c>
      <c r="S11" s="1023">
        <f t="shared" si="1"/>
        <v>383.8544</v>
      </c>
      <c r="T11" s="1022">
        <f t="shared" si="2"/>
        <v>-69.095100000000059</v>
      </c>
      <c r="U11" s="1024"/>
      <c r="V11" s="930" t="e">
        <f t="shared" si="9"/>
        <v>#VALUE!</v>
      </c>
      <c r="W11" s="931"/>
      <c r="X11" s="931"/>
      <c r="Y11" s="931"/>
      <c r="Z11" s="930"/>
    </row>
    <row r="12" spans="3:26" ht="13.9">
      <c r="C12" s="900" t="s">
        <v>315</v>
      </c>
      <c r="D12" s="904" cm="1">
        <f t="array" ref="D12">SUM('Plant loading'!T56:T58+'Plant loading'!V56:V58)</f>
        <v>468.75600000000003</v>
      </c>
      <c r="E12" s="904">
        <f t="shared" si="3"/>
        <v>421.88040000000001</v>
      </c>
      <c r="F12" s="904">
        <f t="shared" si="4"/>
        <v>46.875600000000006</v>
      </c>
      <c r="G12" s="904">
        <f>SUM('Plant loading'!G56:G58)</f>
        <v>333.976</v>
      </c>
      <c r="H12" s="904">
        <f>SUM('Plant loading'!P56:P58)</f>
        <v>55.917000000000002</v>
      </c>
      <c r="I12" s="904">
        <f>SUM('Plant loading'!R56:R58)</f>
        <v>6.1040000000000001</v>
      </c>
      <c r="J12" s="904">
        <f t="shared" si="5"/>
        <v>395.99700000000001</v>
      </c>
      <c r="K12" s="904">
        <f t="shared" si="6"/>
        <v>25.883399999999995</v>
      </c>
      <c r="L12" s="904">
        <f t="shared" si="7"/>
        <v>81.800400000000025</v>
      </c>
      <c r="M12" s="902" t="str">
        <f>[4]Sheet1!$W$22</f>
        <v>Dell S5248F</v>
      </c>
      <c r="N12" s="902" t="str">
        <f>[4]Sheet1!$W$11</f>
        <v>Dell S5248F</v>
      </c>
      <c r="O12" s="933">
        <f>SUM('Plant loading'!V56:V58)</f>
        <v>72.759</v>
      </c>
      <c r="P12" s="935"/>
      <c r="Q12" s="1021">
        <f t="shared" si="8"/>
        <v>398.44260000000003</v>
      </c>
      <c r="R12" s="1022">
        <f t="shared" si="0"/>
        <v>2.4456000000000131</v>
      </c>
      <c r="S12" s="1023">
        <f t="shared" si="1"/>
        <v>375.00480000000005</v>
      </c>
      <c r="T12" s="1022">
        <f t="shared" si="2"/>
        <v>-20.992199999999968</v>
      </c>
      <c r="U12" s="1024"/>
      <c r="V12" s="930" t="e">
        <f t="shared" si="9"/>
        <v>#VALUE!</v>
      </c>
      <c r="W12" s="931"/>
      <c r="X12" s="931"/>
      <c r="Y12" s="931"/>
      <c r="Z12" s="930"/>
    </row>
    <row r="13" spans="3:26" ht="13.9">
      <c r="C13" s="917" t="s">
        <v>465</v>
      </c>
      <c r="D13" s="919">
        <v>345</v>
      </c>
      <c r="E13" s="915">
        <f>D13*0.9</f>
        <v>310.5</v>
      </c>
      <c r="F13" s="915">
        <f t="shared" si="4"/>
        <v>34.5</v>
      </c>
      <c r="G13" s="915">
        <v>160</v>
      </c>
      <c r="H13" s="915">
        <v>61</v>
      </c>
      <c r="I13" s="915">
        <v>88</v>
      </c>
      <c r="J13" s="915">
        <f>SUM(G13:I13)</f>
        <v>309</v>
      </c>
      <c r="K13" s="915">
        <f>SUM(E13-J13)</f>
        <v>1.5</v>
      </c>
      <c r="L13" s="915">
        <f>SUM(E13-(I13+G13))</f>
        <v>62.5</v>
      </c>
      <c r="M13" s="916" t="str">
        <f>[4]Sheet1!$W$18</f>
        <v>Dell S5248F</v>
      </c>
      <c r="N13" s="916" t="str">
        <f>[4]Sheet1!$W$7</f>
        <v>Dell S5248F</v>
      </c>
      <c r="O13" s="934">
        <f>(F13+K13)</f>
        <v>36</v>
      </c>
      <c r="P13" s="935"/>
      <c r="Q13" s="1021">
        <f>SUM(D13*0.85)</f>
        <v>293.25</v>
      </c>
      <c r="R13" s="1022">
        <f t="shared" si="0"/>
        <v>-15.75</v>
      </c>
      <c r="S13" s="1023">
        <f t="shared" si="1"/>
        <v>276</v>
      </c>
      <c r="T13" s="1022">
        <f t="shared" si="2"/>
        <v>-33</v>
      </c>
      <c r="U13" s="1024"/>
      <c r="V13" s="930" t="e">
        <f t="shared" si="9"/>
        <v>#VALUE!</v>
      </c>
      <c r="W13" s="931"/>
      <c r="X13" s="931"/>
      <c r="Y13" s="931"/>
      <c r="Z13" s="930"/>
    </row>
    <row r="61" spans="6:7">
      <c r="F61" s="1381"/>
      <c r="G61" s="1381"/>
    </row>
    <row r="111" spans="3:6" ht="28.9">
      <c r="C111" s="984" t="s">
        <v>466</v>
      </c>
      <c r="D111" s="985" t="s">
        <v>467</v>
      </c>
      <c r="E111" s="986" t="s">
        <v>468</v>
      </c>
      <c r="F111" s="971" t="s">
        <v>97</v>
      </c>
    </row>
    <row r="112" spans="3:6" ht="100.9">
      <c r="C112" s="965" t="s">
        <v>469</v>
      </c>
      <c r="D112" s="959">
        <v>7.35</v>
      </c>
      <c r="E112" s="960">
        <v>4.74</v>
      </c>
      <c r="F112" s="961" t="s">
        <v>97</v>
      </c>
    </row>
    <row r="113" spans="2:8" ht="115.15">
      <c r="B113" s="957"/>
      <c r="C113" s="965" t="s">
        <v>470</v>
      </c>
      <c r="D113" s="959">
        <v>9.15</v>
      </c>
      <c r="E113" s="960">
        <v>5.84</v>
      </c>
      <c r="F113" s="962" t="s">
        <v>97</v>
      </c>
      <c r="G113" s="958"/>
      <c r="H113" s="958"/>
    </row>
    <row r="114" spans="2:8" ht="100.9">
      <c r="B114" s="957"/>
      <c r="C114" s="965" t="s">
        <v>471</v>
      </c>
      <c r="D114" s="959">
        <v>8.1999999999999993</v>
      </c>
      <c r="E114" s="960">
        <v>5.34</v>
      </c>
      <c r="F114" s="962" t="s">
        <v>97</v>
      </c>
      <c r="G114" s="958"/>
      <c r="H114" s="958"/>
    </row>
    <row r="115" spans="2:8" ht="28.9">
      <c r="B115" s="957"/>
      <c r="C115" s="965" t="s">
        <v>472</v>
      </c>
      <c r="D115" s="959">
        <v>8.1999999999999993</v>
      </c>
      <c r="E115" s="960">
        <v>5.85</v>
      </c>
      <c r="F115" s="962" t="s">
        <v>97</v>
      </c>
      <c r="G115" s="958"/>
      <c r="H115" s="958"/>
    </row>
    <row r="116" spans="2:8" ht="14.45">
      <c r="B116" s="957"/>
      <c r="C116" s="965" t="s">
        <v>473</v>
      </c>
      <c r="D116" s="959">
        <v>7.15</v>
      </c>
      <c r="E116" s="960">
        <v>5.04</v>
      </c>
      <c r="F116" s="962" t="s">
        <v>97</v>
      </c>
      <c r="G116" s="958"/>
      <c r="H116" s="958"/>
    </row>
    <row r="117" spans="2:8" ht="14.45">
      <c r="B117" s="957"/>
      <c r="C117" s="958"/>
      <c r="D117" s="958"/>
      <c r="E117" s="963"/>
      <c r="F117" s="958"/>
      <c r="G117" s="958"/>
      <c r="H117" s="958"/>
    </row>
    <row r="118" spans="2:8" ht="43.15">
      <c r="B118" s="958"/>
      <c r="C118" s="972" t="s">
        <v>474</v>
      </c>
      <c r="D118" s="973" t="s">
        <v>475</v>
      </c>
      <c r="E118" s="974" t="s">
        <v>476</v>
      </c>
      <c r="F118" s="800"/>
      <c r="G118" s="975" t="s">
        <v>477</v>
      </c>
    </row>
    <row r="119" spans="2:8" ht="14.45">
      <c r="B119" s="958">
        <v>1</v>
      </c>
      <c r="C119" s="976">
        <v>41.85</v>
      </c>
      <c r="D119" s="977">
        <v>7.35</v>
      </c>
      <c r="E119" s="977">
        <v>49.2</v>
      </c>
      <c r="F119" s="800"/>
      <c r="G119" s="978">
        <v>34.700000000000003</v>
      </c>
    </row>
    <row r="120" spans="2:8" ht="14.45">
      <c r="B120" s="958">
        <v>2</v>
      </c>
      <c r="C120" s="978">
        <v>83.7</v>
      </c>
      <c r="D120" s="979" t="s">
        <v>97</v>
      </c>
      <c r="E120" s="979" t="s">
        <v>97</v>
      </c>
      <c r="F120" s="800"/>
      <c r="G120" s="980"/>
      <c r="H120" s="958"/>
    </row>
    <row r="121" spans="2:8" ht="14.45">
      <c r="B121" s="958"/>
      <c r="C121" s="980"/>
      <c r="D121" s="980"/>
      <c r="E121" s="980"/>
      <c r="F121" s="800"/>
      <c r="G121" s="980"/>
      <c r="H121" s="958"/>
    </row>
    <row r="122" spans="2:8" ht="43.15">
      <c r="B122" s="958"/>
      <c r="C122" s="972" t="s">
        <v>478</v>
      </c>
      <c r="D122" s="973" t="s">
        <v>475</v>
      </c>
      <c r="E122" s="974" t="s">
        <v>476</v>
      </c>
      <c r="F122" s="800"/>
      <c r="G122" s="980"/>
      <c r="H122" s="958"/>
    </row>
    <row r="123" spans="2:8" ht="14.45">
      <c r="B123" s="958">
        <v>1</v>
      </c>
      <c r="C123" s="976">
        <v>39.950000000000003</v>
      </c>
      <c r="D123" s="977">
        <v>7.35</v>
      </c>
      <c r="E123" s="977">
        <v>47.3</v>
      </c>
      <c r="F123" s="800"/>
      <c r="G123" s="980"/>
      <c r="H123" s="958"/>
    </row>
    <row r="124" spans="2:8" ht="14.45">
      <c r="B124" s="958">
        <v>2</v>
      </c>
      <c r="C124" s="978">
        <v>79.900000000000006</v>
      </c>
      <c r="D124" s="979" t="s">
        <v>97</v>
      </c>
      <c r="E124" s="979" t="s">
        <v>97</v>
      </c>
      <c r="F124" s="800"/>
      <c r="G124" s="980"/>
      <c r="H124" s="958"/>
    </row>
    <row r="125" spans="2:8" ht="14.45">
      <c r="B125" s="957"/>
      <c r="C125" s="958"/>
      <c r="D125" s="958"/>
      <c r="E125" s="963"/>
      <c r="F125" s="958"/>
      <c r="G125" s="958"/>
      <c r="H125" s="958"/>
    </row>
    <row r="126" spans="2:8" ht="28.9">
      <c r="B126" s="957"/>
      <c r="C126" s="981" t="s">
        <v>479</v>
      </c>
      <c r="D126" s="982" t="s">
        <v>480</v>
      </c>
      <c r="E126" s="983" t="s">
        <v>481</v>
      </c>
      <c r="F126" s="958"/>
      <c r="G126" s="958"/>
      <c r="H126" s="958"/>
    </row>
    <row r="127" spans="2:8" ht="43.15">
      <c r="B127" s="957"/>
      <c r="C127" s="966" t="s">
        <v>482</v>
      </c>
      <c r="D127" s="967">
        <v>131</v>
      </c>
      <c r="E127" s="968">
        <v>99.7</v>
      </c>
      <c r="F127" s="1382" t="s">
        <v>483</v>
      </c>
      <c r="G127" s="1383"/>
      <c r="H127" s="1383"/>
    </row>
    <row r="128" spans="2:8" ht="43.15">
      <c r="B128" s="957"/>
      <c r="C128" s="966" t="s">
        <v>484</v>
      </c>
      <c r="D128" s="987">
        <v>170.95</v>
      </c>
      <c r="E128" s="988" t="s">
        <v>485</v>
      </c>
      <c r="F128" s="1384" t="s">
        <v>486</v>
      </c>
      <c r="G128" s="1385"/>
      <c r="H128" s="1385"/>
    </row>
    <row r="129" spans="3:8" ht="76.5" customHeight="1">
      <c r="C129" s="966" t="s">
        <v>487</v>
      </c>
      <c r="D129" s="967">
        <v>170.95</v>
      </c>
      <c r="E129" s="968">
        <v>75</v>
      </c>
      <c r="F129" s="1384" t="s">
        <v>488</v>
      </c>
      <c r="G129" s="1385"/>
      <c r="H129" s="1385"/>
    </row>
    <row r="130" spans="3:8" ht="57.6">
      <c r="C130" s="966" t="s">
        <v>489</v>
      </c>
      <c r="D130" s="969">
        <v>89.15</v>
      </c>
      <c r="E130" s="970">
        <v>90</v>
      </c>
      <c r="F130" s="1382" t="s">
        <v>490</v>
      </c>
      <c r="G130" s="1383"/>
      <c r="H130" s="1383"/>
    </row>
    <row r="131" spans="3:8" ht="14.45">
      <c r="C131" s="958"/>
      <c r="D131" s="958"/>
      <c r="E131" s="963"/>
      <c r="F131" s="958"/>
      <c r="G131" s="958"/>
      <c r="H131" s="958"/>
    </row>
    <row r="132" spans="3:8" ht="15">
      <c r="C132" s="964" t="s">
        <v>491</v>
      </c>
      <c r="D132" s="964"/>
      <c r="E132" s="964"/>
      <c r="F132" s="964"/>
      <c r="G132" s="958"/>
      <c r="H132" s="958"/>
    </row>
    <row r="133" spans="3:8" ht="15">
      <c r="C133" s="964" t="s">
        <v>492</v>
      </c>
      <c r="D133" s="964"/>
      <c r="E133" s="963"/>
      <c r="F133" s="958"/>
      <c r="G133" s="958"/>
      <c r="H133" s="958"/>
    </row>
    <row r="134" spans="3:8" ht="15">
      <c r="C134" s="964" t="s">
        <v>493</v>
      </c>
      <c r="D134" s="964"/>
      <c r="E134" s="964"/>
      <c r="F134" s="964"/>
      <c r="G134" s="964"/>
      <c r="H134" s="958"/>
    </row>
    <row r="135" spans="3:8" ht="15">
      <c r="C135" s="964" t="s">
        <v>494</v>
      </c>
      <c r="D135" s="964"/>
      <c r="E135" s="963"/>
      <c r="F135" s="958"/>
      <c r="G135" s="958"/>
      <c r="H135" s="958"/>
    </row>
    <row r="136" spans="3:8" ht="15">
      <c r="C136" s="964" t="s">
        <v>495</v>
      </c>
      <c r="D136" s="964"/>
      <c r="E136" s="963"/>
      <c r="F136" s="958"/>
      <c r="G136" s="958"/>
      <c r="H136" s="958"/>
    </row>
  </sheetData>
  <mergeCells count="5">
    <mergeCell ref="F61:G61"/>
    <mergeCell ref="F130:H130"/>
    <mergeCell ref="F129:H129"/>
    <mergeCell ref="F128:H128"/>
    <mergeCell ref="F127:H127"/>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118"/>
  <sheetViews>
    <sheetView zoomScale="70" zoomScaleNormal="70" workbookViewId="0">
      <selection activeCell="A8" sqref="A8:XFD8"/>
    </sheetView>
  </sheetViews>
  <sheetFormatPr defaultColWidth="8.6640625" defaultRowHeight="10.15"/>
  <cols>
    <col min="1" max="1" width="37.6640625" bestFit="1" customWidth="1"/>
    <col min="2" max="2" width="24.1640625" bestFit="1" customWidth="1"/>
    <col min="3" max="3" width="35.6640625" bestFit="1" customWidth="1"/>
    <col min="4" max="4" width="31.6640625" bestFit="1" customWidth="1"/>
    <col min="5" max="5" width="36.6640625" bestFit="1" customWidth="1"/>
    <col min="6" max="6" width="35.6640625" bestFit="1" customWidth="1"/>
    <col min="7" max="7" width="28.5" bestFit="1" customWidth="1"/>
    <col min="8" max="8" width="35.6640625" style="22" customWidth="1"/>
    <col min="9" max="9" width="28.1640625" style="22" bestFit="1" customWidth="1"/>
    <col min="10" max="10" width="16.6640625" style="22" bestFit="1" customWidth="1"/>
    <col min="11" max="11" width="20.6640625" bestFit="1" customWidth="1"/>
    <col min="12" max="12" width="14.5" bestFit="1" customWidth="1"/>
    <col min="13" max="13" width="27.6640625" bestFit="1" customWidth="1"/>
    <col min="14" max="14" width="35.6640625" bestFit="1" customWidth="1"/>
    <col min="15" max="15" width="37.6640625" bestFit="1" customWidth="1"/>
    <col min="16" max="16" width="45" bestFit="1" customWidth="1"/>
    <col min="20" max="20" width="10.6640625" bestFit="1" customWidth="1"/>
  </cols>
  <sheetData>
    <row r="1" spans="1:16" ht="26.45">
      <c r="A1" s="796" t="s">
        <v>496</v>
      </c>
      <c r="B1" s="796" t="s">
        <v>497</v>
      </c>
      <c r="C1" s="796" t="s">
        <v>498</v>
      </c>
      <c r="D1" s="796" t="s">
        <v>499</v>
      </c>
      <c r="E1" s="796" t="s">
        <v>500</v>
      </c>
      <c r="F1" s="796" t="s">
        <v>501</v>
      </c>
      <c r="G1" s="43" t="s">
        <v>502</v>
      </c>
      <c r="H1" s="851" t="s">
        <v>503</v>
      </c>
      <c r="I1" s="163"/>
      <c r="J1" s="163"/>
      <c r="M1" s="3" t="s">
        <v>504</v>
      </c>
      <c r="N1" s="796" t="s">
        <v>499</v>
      </c>
      <c r="O1" s="2" t="s">
        <v>505</v>
      </c>
      <c r="P1" s="796" t="s">
        <v>506</v>
      </c>
    </row>
    <row r="2" spans="1:16" ht="14.45">
      <c r="A2" s="3" t="s">
        <v>274</v>
      </c>
      <c r="B2" s="4">
        <v>943</v>
      </c>
      <c r="C2" s="4">
        <v>326</v>
      </c>
      <c r="D2" s="4">
        <v>96</v>
      </c>
      <c r="E2" s="4">
        <v>190</v>
      </c>
      <c r="F2" s="4">
        <v>27</v>
      </c>
      <c r="G2" s="25">
        <v>37</v>
      </c>
      <c r="H2" s="850">
        <f>INT((G2*600)/800)</f>
        <v>27</v>
      </c>
      <c r="I2" s="162"/>
      <c r="J2" s="162"/>
      <c r="M2" s="4">
        <f t="shared" ref="M2:M17" si="0">B2*0.48</f>
        <v>452.64</v>
      </c>
      <c r="N2" s="4">
        <f t="shared" ref="N2:N17" si="1">C2*0.8</f>
        <v>260.8</v>
      </c>
      <c r="O2" s="4">
        <f t="shared" ref="O2:O17" si="2">D2*0.48</f>
        <v>46.08</v>
      </c>
      <c r="P2" s="4">
        <f t="shared" ref="P2:P17" si="3">E2*0.8</f>
        <v>152</v>
      </c>
    </row>
    <row r="3" spans="1:16" ht="14.45">
      <c r="A3" s="3" t="s">
        <v>280</v>
      </c>
      <c r="B3" s="4">
        <v>1614</v>
      </c>
      <c r="C3" s="4">
        <v>586</v>
      </c>
      <c r="D3" s="4">
        <v>261</v>
      </c>
      <c r="E3" s="4">
        <v>327</v>
      </c>
      <c r="F3" s="4">
        <v>106</v>
      </c>
      <c r="G3" s="25">
        <v>142</v>
      </c>
      <c r="H3" s="850">
        <f t="shared" ref="H3:H17" si="4">INT((G3*600)/800)</f>
        <v>106</v>
      </c>
      <c r="I3" s="162"/>
      <c r="J3" s="162"/>
      <c r="M3" s="4">
        <f t="shared" si="0"/>
        <v>774.72</v>
      </c>
      <c r="N3" s="4">
        <f t="shared" si="1"/>
        <v>468.8</v>
      </c>
      <c r="O3" s="4">
        <f t="shared" si="2"/>
        <v>125.28</v>
      </c>
      <c r="P3" s="4">
        <f t="shared" si="3"/>
        <v>261.60000000000002</v>
      </c>
    </row>
    <row r="4" spans="1:16" ht="14.45">
      <c r="A4" s="3" t="s">
        <v>287</v>
      </c>
      <c r="B4" s="4">
        <v>1073</v>
      </c>
      <c r="C4" s="4">
        <v>611</v>
      </c>
      <c r="D4" s="4">
        <v>83</v>
      </c>
      <c r="E4" s="4">
        <v>444</v>
      </c>
      <c r="F4" s="4">
        <v>24</v>
      </c>
      <c r="G4" s="25">
        <v>33</v>
      </c>
      <c r="H4" s="850">
        <f t="shared" si="4"/>
        <v>24</v>
      </c>
      <c r="I4" s="162"/>
      <c r="J4" s="162"/>
      <c r="M4" s="4">
        <f t="shared" si="0"/>
        <v>515.04</v>
      </c>
      <c r="N4" s="4">
        <f t="shared" si="1"/>
        <v>488.8</v>
      </c>
      <c r="O4" s="4">
        <f t="shared" si="2"/>
        <v>39.839999999999996</v>
      </c>
      <c r="P4" s="4">
        <f t="shared" si="3"/>
        <v>355.20000000000005</v>
      </c>
    </row>
    <row r="5" spans="1:16" ht="14.45">
      <c r="A5" s="3" t="s">
        <v>290</v>
      </c>
      <c r="B5" s="4">
        <v>837</v>
      </c>
      <c r="C5" s="4">
        <v>337</v>
      </c>
      <c r="D5" s="4">
        <v>113</v>
      </c>
      <c r="E5" s="4">
        <v>110</v>
      </c>
      <c r="F5" s="4">
        <v>16</v>
      </c>
      <c r="G5" s="25">
        <v>22</v>
      </c>
      <c r="H5" s="850">
        <f t="shared" si="4"/>
        <v>16</v>
      </c>
      <c r="I5" s="162"/>
      <c r="J5" s="162"/>
      <c r="M5" s="4">
        <f t="shared" si="0"/>
        <v>401.76</v>
      </c>
      <c r="N5" s="4">
        <f t="shared" si="1"/>
        <v>269.60000000000002</v>
      </c>
      <c r="O5" s="4">
        <f t="shared" si="2"/>
        <v>54.239999999999995</v>
      </c>
      <c r="P5" s="4">
        <f t="shared" si="3"/>
        <v>88</v>
      </c>
    </row>
    <row r="6" spans="1:16" ht="14.45">
      <c r="A6" s="3" t="s">
        <v>293</v>
      </c>
      <c r="B6" s="4">
        <v>701</v>
      </c>
      <c r="C6" s="4">
        <v>384</v>
      </c>
      <c r="D6" s="4">
        <v>32</v>
      </c>
      <c r="E6" s="4">
        <v>201</v>
      </c>
      <c r="F6" s="4">
        <v>16</v>
      </c>
      <c r="G6" s="25">
        <v>22</v>
      </c>
      <c r="H6" s="850">
        <f t="shared" si="4"/>
        <v>16</v>
      </c>
      <c r="I6" s="162"/>
      <c r="J6" s="162"/>
      <c r="M6" s="4">
        <f t="shared" si="0"/>
        <v>336.47999999999996</v>
      </c>
      <c r="N6" s="4">
        <f t="shared" si="1"/>
        <v>307.20000000000005</v>
      </c>
      <c r="O6" s="4">
        <f t="shared" si="2"/>
        <v>15.36</v>
      </c>
      <c r="P6" s="4">
        <f t="shared" si="3"/>
        <v>160.80000000000001</v>
      </c>
    </row>
    <row r="7" spans="1:16" ht="14.45">
      <c r="A7" s="3" t="s">
        <v>305</v>
      </c>
      <c r="B7" s="4">
        <v>1044</v>
      </c>
      <c r="C7" s="4">
        <v>515</v>
      </c>
      <c r="D7" s="4">
        <v>114</v>
      </c>
      <c r="E7" s="4">
        <v>305</v>
      </c>
      <c r="F7" s="4">
        <v>26</v>
      </c>
      <c r="G7" s="25">
        <v>35</v>
      </c>
      <c r="H7" s="850">
        <f t="shared" si="4"/>
        <v>26</v>
      </c>
      <c r="I7" s="162"/>
      <c r="J7" s="162"/>
      <c r="M7" s="4">
        <f t="shared" si="0"/>
        <v>501.12</v>
      </c>
      <c r="N7" s="4">
        <f t="shared" si="1"/>
        <v>412</v>
      </c>
      <c r="O7" s="4">
        <f t="shared" si="2"/>
        <v>54.72</v>
      </c>
      <c r="P7" s="4">
        <f t="shared" si="3"/>
        <v>244</v>
      </c>
    </row>
    <row r="8" spans="1:16" ht="14.45">
      <c r="A8" s="3" t="s">
        <v>297</v>
      </c>
      <c r="B8" s="4">
        <v>1045</v>
      </c>
      <c r="C8" s="4">
        <v>399</v>
      </c>
      <c r="D8" s="4">
        <v>167</v>
      </c>
      <c r="E8" s="4">
        <v>134</v>
      </c>
      <c r="F8" s="4">
        <v>26</v>
      </c>
      <c r="G8" s="25">
        <v>35</v>
      </c>
      <c r="H8" s="850">
        <f>INT((G8*600)/800)</f>
        <v>26</v>
      </c>
      <c r="I8" s="162"/>
      <c r="J8" s="162"/>
      <c r="M8" s="4">
        <f>B8*0.48</f>
        <v>501.59999999999997</v>
      </c>
      <c r="N8" s="4">
        <f>C8*0.8</f>
        <v>319.20000000000005</v>
      </c>
      <c r="O8" s="4">
        <f>D8*0.48</f>
        <v>80.16</v>
      </c>
      <c r="P8" s="4">
        <f>E8*0.8</f>
        <v>107.2</v>
      </c>
    </row>
    <row r="9" spans="1:16" ht="15.6">
      <c r="A9" s="3" t="s">
        <v>507</v>
      </c>
      <c r="B9" s="4">
        <v>619</v>
      </c>
      <c r="C9" s="4">
        <v>302</v>
      </c>
      <c r="D9" s="4">
        <v>39</v>
      </c>
      <c r="E9" s="4">
        <v>171</v>
      </c>
      <c r="F9" s="4">
        <v>19</v>
      </c>
      <c r="G9" s="25">
        <v>26</v>
      </c>
      <c r="H9" s="850">
        <f t="shared" si="4"/>
        <v>19</v>
      </c>
      <c r="I9" s="162"/>
      <c r="J9" s="162"/>
      <c r="M9" s="4">
        <f t="shared" si="0"/>
        <v>297.12</v>
      </c>
      <c r="N9" s="4">
        <f t="shared" si="1"/>
        <v>241.60000000000002</v>
      </c>
      <c r="O9" s="4">
        <f t="shared" si="2"/>
        <v>18.72</v>
      </c>
      <c r="P9" s="4">
        <f t="shared" si="3"/>
        <v>136.80000000000001</v>
      </c>
    </row>
    <row r="10" spans="1:16" ht="15.6">
      <c r="A10" s="3" t="s">
        <v>508</v>
      </c>
      <c r="B10" s="4">
        <v>621</v>
      </c>
      <c r="C10" s="4">
        <v>273</v>
      </c>
      <c r="D10" s="4">
        <v>39</v>
      </c>
      <c r="E10" s="4">
        <v>148</v>
      </c>
      <c r="F10" s="4">
        <v>1</v>
      </c>
      <c r="G10" s="25">
        <v>2</v>
      </c>
      <c r="H10" s="850">
        <f t="shared" si="4"/>
        <v>1</v>
      </c>
      <c r="I10" s="162"/>
      <c r="J10" s="162"/>
      <c r="M10" s="4">
        <f t="shared" si="0"/>
        <v>298.08</v>
      </c>
      <c r="N10" s="4">
        <f t="shared" si="1"/>
        <v>218.4</v>
      </c>
      <c r="O10" s="4">
        <f t="shared" si="2"/>
        <v>18.72</v>
      </c>
      <c r="P10" s="4">
        <f t="shared" si="3"/>
        <v>118.4</v>
      </c>
    </row>
    <row r="11" spans="1:16" ht="15.6">
      <c r="A11" s="3" t="s">
        <v>509</v>
      </c>
      <c r="B11" s="4">
        <v>622</v>
      </c>
      <c r="C11" s="4">
        <v>240</v>
      </c>
      <c r="D11" s="4">
        <v>30</v>
      </c>
      <c r="E11" s="4">
        <v>195</v>
      </c>
      <c r="F11" s="4">
        <v>24</v>
      </c>
      <c r="G11" s="25">
        <v>41</v>
      </c>
      <c r="H11" s="850">
        <f t="shared" si="4"/>
        <v>30</v>
      </c>
      <c r="I11" s="162"/>
      <c r="J11" s="162"/>
      <c r="M11" s="4">
        <f t="shared" si="0"/>
        <v>298.56</v>
      </c>
      <c r="N11" s="4">
        <f t="shared" si="1"/>
        <v>192</v>
      </c>
      <c r="O11" s="4">
        <f t="shared" si="2"/>
        <v>14.399999999999999</v>
      </c>
      <c r="P11" s="4">
        <f t="shared" si="3"/>
        <v>156</v>
      </c>
    </row>
    <row r="12" spans="1:16" ht="14.45">
      <c r="A12" s="3" t="s">
        <v>315</v>
      </c>
      <c r="B12" s="4">
        <v>1049</v>
      </c>
      <c r="C12" s="4">
        <v>453</v>
      </c>
      <c r="D12" s="4">
        <v>127</v>
      </c>
      <c r="E12" s="4">
        <v>171</v>
      </c>
      <c r="F12" s="4">
        <v>28</v>
      </c>
      <c r="G12" s="25">
        <v>38</v>
      </c>
      <c r="H12" s="850">
        <f t="shared" si="4"/>
        <v>28</v>
      </c>
      <c r="I12" s="162"/>
      <c r="J12" s="162"/>
      <c r="M12" s="4">
        <f t="shared" si="0"/>
        <v>503.52</v>
      </c>
      <c r="N12" s="4">
        <f t="shared" si="1"/>
        <v>362.40000000000003</v>
      </c>
      <c r="O12" s="4">
        <f t="shared" si="2"/>
        <v>60.96</v>
      </c>
      <c r="P12" s="4">
        <f t="shared" si="3"/>
        <v>136.80000000000001</v>
      </c>
    </row>
    <row r="13" spans="1:16" ht="14.45">
      <c r="A13" s="3" t="s">
        <v>320</v>
      </c>
      <c r="B13" s="4">
        <v>1045</v>
      </c>
      <c r="C13" s="4">
        <v>386</v>
      </c>
      <c r="D13" s="4">
        <v>208</v>
      </c>
      <c r="E13" s="4">
        <v>188</v>
      </c>
      <c r="F13" s="4">
        <v>35</v>
      </c>
      <c r="G13" s="25">
        <v>47</v>
      </c>
      <c r="H13" s="850">
        <f t="shared" si="4"/>
        <v>35</v>
      </c>
      <c r="I13" s="162"/>
      <c r="J13" s="162"/>
      <c r="M13" s="4">
        <f t="shared" si="0"/>
        <v>501.59999999999997</v>
      </c>
      <c r="N13" s="4">
        <f t="shared" si="1"/>
        <v>308.8</v>
      </c>
      <c r="O13" s="4">
        <f t="shared" si="2"/>
        <v>99.84</v>
      </c>
      <c r="P13" s="4">
        <f t="shared" si="3"/>
        <v>150.4</v>
      </c>
    </row>
    <row r="14" spans="1:16" ht="14.45">
      <c r="A14" s="3" t="s">
        <v>328</v>
      </c>
      <c r="B14" s="4">
        <v>1415</v>
      </c>
      <c r="C14" s="4">
        <v>536</v>
      </c>
      <c r="D14" s="4">
        <v>117</v>
      </c>
      <c r="E14" s="4">
        <v>357</v>
      </c>
      <c r="F14" s="4">
        <v>47</v>
      </c>
      <c r="G14" s="25">
        <v>53</v>
      </c>
      <c r="H14" s="850">
        <f t="shared" si="4"/>
        <v>39</v>
      </c>
      <c r="I14" s="162"/>
      <c r="J14" s="162"/>
      <c r="M14" s="4">
        <f t="shared" si="0"/>
        <v>679.19999999999993</v>
      </c>
      <c r="N14" s="4">
        <f t="shared" si="1"/>
        <v>428.8</v>
      </c>
      <c r="O14" s="4">
        <f t="shared" si="2"/>
        <v>56.16</v>
      </c>
      <c r="P14" s="4">
        <f t="shared" si="3"/>
        <v>285.60000000000002</v>
      </c>
    </row>
    <row r="15" spans="1:16" ht="14.45">
      <c r="A15" s="3" t="s">
        <v>333</v>
      </c>
      <c r="B15" s="4">
        <v>1078</v>
      </c>
      <c r="C15" s="4">
        <v>595</v>
      </c>
      <c r="D15" s="4">
        <v>63</v>
      </c>
      <c r="E15" s="4">
        <v>379</v>
      </c>
      <c r="F15" s="4">
        <v>21</v>
      </c>
      <c r="G15" s="25">
        <v>29</v>
      </c>
      <c r="H15" s="850">
        <f t="shared" si="4"/>
        <v>21</v>
      </c>
      <c r="I15" s="162"/>
      <c r="J15" s="162"/>
      <c r="M15" s="4">
        <f t="shared" si="0"/>
        <v>517.43999999999994</v>
      </c>
      <c r="N15" s="4">
        <f t="shared" si="1"/>
        <v>476</v>
      </c>
      <c r="O15" s="4">
        <f t="shared" si="2"/>
        <v>30.24</v>
      </c>
      <c r="P15" s="4">
        <f t="shared" si="3"/>
        <v>303.2</v>
      </c>
    </row>
    <row r="16" spans="1:16" ht="14.45">
      <c r="A16" s="3" t="s">
        <v>336</v>
      </c>
      <c r="B16" s="4">
        <v>1218</v>
      </c>
      <c r="C16" s="4">
        <v>666</v>
      </c>
      <c r="D16" s="4">
        <v>57</v>
      </c>
      <c r="E16" s="4">
        <v>521</v>
      </c>
      <c r="F16" s="4">
        <v>15</v>
      </c>
      <c r="G16" s="25">
        <v>76</v>
      </c>
      <c r="H16" s="850">
        <f t="shared" si="4"/>
        <v>57</v>
      </c>
      <c r="I16" s="162"/>
      <c r="J16" s="162"/>
      <c r="M16" s="4">
        <f t="shared" si="0"/>
        <v>584.64</v>
      </c>
      <c r="N16" s="4">
        <f t="shared" si="1"/>
        <v>532.80000000000007</v>
      </c>
      <c r="O16" s="4">
        <f t="shared" si="2"/>
        <v>27.36</v>
      </c>
      <c r="P16" s="4">
        <f t="shared" si="3"/>
        <v>416.8</v>
      </c>
    </row>
    <row r="17" spans="1:20" ht="14.45">
      <c r="A17" s="3" t="s">
        <v>339</v>
      </c>
      <c r="B17" s="4">
        <v>861</v>
      </c>
      <c r="C17" s="4">
        <v>469</v>
      </c>
      <c r="D17" s="4">
        <v>43</v>
      </c>
      <c r="E17" s="4">
        <v>283</v>
      </c>
      <c r="F17" s="4">
        <v>20</v>
      </c>
      <c r="G17" s="25">
        <v>27</v>
      </c>
      <c r="H17" s="850">
        <f t="shared" si="4"/>
        <v>20</v>
      </c>
      <c r="I17" s="162"/>
      <c r="J17" s="162"/>
      <c r="M17" s="4">
        <f t="shared" si="0"/>
        <v>413.28</v>
      </c>
      <c r="N17" s="4">
        <f t="shared" si="1"/>
        <v>375.20000000000005</v>
      </c>
      <c r="O17" s="4">
        <f t="shared" si="2"/>
        <v>20.64</v>
      </c>
      <c r="P17" s="4">
        <f t="shared" si="3"/>
        <v>226.4</v>
      </c>
      <c r="S17" s="345"/>
      <c r="T17" s="345"/>
    </row>
    <row r="19" spans="1:20" ht="13.15">
      <c r="A19" s="801" t="s">
        <v>510</v>
      </c>
    </row>
    <row r="20" spans="1:20" ht="13.15">
      <c r="A20" s="341" t="s">
        <v>511</v>
      </c>
      <c r="B20" s="2"/>
    </row>
    <row r="21" spans="1:20" ht="40.9">
      <c r="A21" s="3" t="s">
        <v>512</v>
      </c>
      <c r="B21" s="3" t="s">
        <v>513</v>
      </c>
      <c r="C21" s="3" t="s">
        <v>514</v>
      </c>
      <c r="D21" s="796" t="s">
        <v>515</v>
      </c>
      <c r="E21" s="796" t="s">
        <v>516</v>
      </c>
      <c r="F21" s="3" t="s">
        <v>517</v>
      </c>
      <c r="G21" s="3" t="s">
        <v>518</v>
      </c>
      <c r="H21" s="796" t="s">
        <v>519</v>
      </c>
      <c r="I21" s="796" t="s">
        <v>520</v>
      </c>
      <c r="J21" s="426" t="s">
        <v>521</v>
      </c>
      <c r="K21" s="426" t="s">
        <v>522</v>
      </c>
      <c r="L21" s="426" t="s">
        <v>523</v>
      </c>
      <c r="M21" s="426" t="s">
        <v>524</v>
      </c>
      <c r="N21" s="118" t="s">
        <v>525</v>
      </c>
      <c r="O21" s="426" t="s">
        <v>526</v>
      </c>
      <c r="R21" s="118" t="s">
        <v>525</v>
      </c>
    </row>
    <row r="22" spans="1:20" ht="13.15">
      <c r="A22" s="3" t="s">
        <v>280</v>
      </c>
      <c r="B22" s="4">
        <f>B3-D3</f>
        <v>1353</v>
      </c>
      <c r="C22" s="4">
        <v>0</v>
      </c>
      <c r="D22" s="4">
        <v>0</v>
      </c>
      <c r="E22" s="4">
        <f>(B3-B22)-C22-D22</f>
        <v>261</v>
      </c>
      <c r="F22" s="4">
        <f>C3-E3</f>
        <v>259</v>
      </c>
      <c r="G22" s="4">
        <v>1</v>
      </c>
      <c r="H22" s="4">
        <v>8</v>
      </c>
      <c r="I22" s="4">
        <f>C3-F22-G22-H22</f>
        <v>318</v>
      </c>
      <c r="J22" s="119">
        <f t="shared" ref="J22:L28" si="5">(B22*0.96)+(F22*1.6)</f>
        <v>1713.28</v>
      </c>
      <c r="K22" s="119">
        <f t="shared" si="5"/>
        <v>1.6</v>
      </c>
      <c r="L22" s="119">
        <f t="shared" si="5"/>
        <v>12.8</v>
      </c>
      <c r="M22" s="119">
        <f>(B3*0.96)+(C3*1.6)</f>
        <v>2487.04</v>
      </c>
      <c r="N22" s="502">
        <f t="shared" ref="N22" si="6">1-(J22/M22)</f>
        <v>0.31111682964487908</v>
      </c>
      <c r="O22" s="164">
        <f>M22-(J22+K22+L22)</f>
        <v>759.36000000000013</v>
      </c>
      <c r="P22" s="345"/>
      <c r="Q22" s="345"/>
      <c r="R22" s="502">
        <v>0.44408251900108575</v>
      </c>
      <c r="S22" s="814">
        <v>1</v>
      </c>
      <c r="T22" s="814">
        <f>S22-R22</f>
        <v>0.55591748099891425</v>
      </c>
    </row>
    <row r="23" spans="1:20" ht="13.15">
      <c r="A23" s="3" t="s">
        <v>320</v>
      </c>
      <c r="B23" s="4">
        <f>B13-D13</f>
        <v>837</v>
      </c>
      <c r="C23" s="4">
        <v>2</v>
      </c>
      <c r="D23" s="4">
        <v>6</v>
      </c>
      <c r="E23" s="4">
        <f>(B13-B23)-C23-D23</f>
        <v>200</v>
      </c>
      <c r="F23" s="4">
        <f>C13-E13</f>
        <v>198</v>
      </c>
      <c r="G23" s="4">
        <v>0</v>
      </c>
      <c r="H23" s="4">
        <v>6</v>
      </c>
      <c r="I23" s="4">
        <f>C13-F23-G23-H23</f>
        <v>182</v>
      </c>
      <c r="J23" s="119">
        <f t="shared" si="5"/>
        <v>1120.32</v>
      </c>
      <c r="K23" s="119">
        <f t="shared" si="5"/>
        <v>1.92</v>
      </c>
      <c r="L23" s="119">
        <f t="shared" si="5"/>
        <v>15.360000000000001</v>
      </c>
      <c r="M23" s="119">
        <f>(B13*0.96)+(C13*1.6)</f>
        <v>1620.8</v>
      </c>
      <c r="N23" s="502">
        <f t="shared" ref="N23:N28" si="7">1-(J23/M23)</f>
        <v>0.30878578479763086</v>
      </c>
      <c r="O23" s="164">
        <f t="shared" ref="O23:O25" si="8">M23-(J23+K23+L23)</f>
        <v>483.20000000000005</v>
      </c>
      <c r="P23" s="345"/>
      <c r="Q23" s="345"/>
      <c r="R23" s="502">
        <v>0.22017866526537055</v>
      </c>
      <c r="S23" s="814">
        <v>1</v>
      </c>
      <c r="T23" s="814">
        <f t="shared" ref="T23:T42" si="9">S23-R23</f>
        <v>0.77982133473462945</v>
      </c>
    </row>
    <row r="24" spans="1:20" ht="13.15">
      <c r="A24" s="3" t="s">
        <v>315</v>
      </c>
      <c r="B24" s="4">
        <f>B12-D12</f>
        <v>922</v>
      </c>
      <c r="C24" s="4">
        <v>16</v>
      </c>
      <c r="D24" s="4">
        <v>0</v>
      </c>
      <c r="E24" s="4">
        <f>(B12-B24)-C24-D24</f>
        <v>111</v>
      </c>
      <c r="F24" s="4">
        <f>C12-E12</f>
        <v>282</v>
      </c>
      <c r="G24" s="4">
        <v>3</v>
      </c>
      <c r="H24" s="4">
        <v>0</v>
      </c>
      <c r="I24" s="4">
        <f>C12-F24-G24-H24</f>
        <v>168</v>
      </c>
      <c r="J24" s="119">
        <f t="shared" si="5"/>
        <v>1336.3200000000002</v>
      </c>
      <c r="K24" s="119">
        <f t="shared" si="5"/>
        <v>20.16</v>
      </c>
      <c r="L24" s="119">
        <f t="shared" si="5"/>
        <v>0</v>
      </c>
      <c r="M24" s="119">
        <f>(B12*0.96)+(C12*1.6)</f>
        <v>1731.8400000000001</v>
      </c>
      <c r="N24" s="502">
        <f t="shared" si="7"/>
        <v>0.22838137472283815</v>
      </c>
      <c r="O24" s="164">
        <f t="shared" si="8"/>
        <v>375.3599999999999</v>
      </c>
      <c r="P24" s="345"/>
      <c r="Q24" s="12"/>
      <c r="R24" s="502">
        <v>0.3553766532489937</v>
      </c>
      <c r="S24" s="814">
        <v>1</v>
      </c>
      <c r="T24" s="814">
        <f t="shared" si="9"/>
        <v>0.6446233467510063</v>
      </c>
    </row>
    <row r="25" spans="1:20" ht="13.15">
      <c r="A25" s="3" t="s">
        <v>290</v>
      </c>
      <c r="B25" s="4">
        <f>B5-D5</f>
        <v>724</v>
      </c>
      <c r="C25" s="4">
        <v>6</v>
      </c>
      <c r="D25" s="4">
        <v>4</v>
      </c>
      <c r="E25" s="4">
        <f>(B5-B25)-C25-D25</f>
        <v>103</v>
      </c>
      <c r="F25" s="4">
        <f>C5-E5</f>
        <v>227</v>
      </c>
      <c r="G25" s="4">
        <v>1</v>
      </c>
      <c r="H25" s="4">
        <v>0</v>
      </c>
      <c r="I25" s="4">
        <f>C5-F25-G25-H25</f>
        <v>109</v>
      </c>
      <c r="J25" s="119">
        <f t="shared" si="5"/>
        <v>1058.24</v>
      </c>
      <c r="K25" s="119">
        <f t="shared" si="5"/>
        <v>7.3599999999999994</v>
      </c>
      <c r="L25" s="119">
        <f t="shared" si="5"/>
        <v>3.84</v>
      </c>
      <c r="M25" s="119">
        <f>(B5*0.96)+(C5*1.6)</f>
        <v>1342.72</v>
      </c>
      <c r="N25" s="502">
        <f t="shared" si="7"/>
        <v>0.21186844613918021</v>
      </c>
      <c r="O25" s="164">
        <f t="shared" si="8"/>
        <v>273.2800000000002</v>
      </c>
      <c r="P25" s="345"/>
      <c r="Q25" s="345"/>
      <c r="R25" s="502">
        <v>0.23096446700507611</v>
      </c>
      <c r="S25" s="814">
        <v>1</v>
      </c>
      <c r="T25" s="814">
        <f t="shared" si="9"/>
        <v>0.76903553299492389</v>
      </c>
    </row>
    <row r="26" spans="1:20" ht="13.15">
      <c r="A26" s="3" t="s">
        <v>297</v>
      </c>
      <c r="B26" s="4">
        <f>B8-D8</f>
        <v>878</v>
      </c>
      <c r="C26" s="4">
        <v>12</v>
      </c>
      <c r="D26" s="4">
        <v>0</v>
      </c>
      <c r="E26" s="4">
        <f>(B8-B26)-C26-D26</f>
        <v>155</v>
      </c>
      <c r="F26" s="4">
        <f>C8-E8</f>
        <v>265</v>
      </c>
      <c r="G26" s="4">
        <v>1</v>
      </c>
      <c r="H26" s="4">
        <v>0</v>
      </c>
      <c r="I26" s="4">
        <f>C8-F26-G26-H26</f>
        <v>133</v>
      </c>
      <c r="J26" s="119">
        <f t="shared" si="5"/>
        <v>1266.8800000000001</v>
      </c>
      <c r="K26" s="119">
        <f t="shared" si="5"/>
        <v>13.12</v>
      </c>
      <c r="L26" s="119">
        <f t="shared" si="5"/>
        <v>0</v>
      </c>
      <c r="M26" s="119">
        <f>(B8*0.96)+(C8*1.6)</f>
        <v>1641.6</v>
      </c>
      <c r="N26" s="502">
        <f t="shared" si="7"/>
        <v>0.2282651072124755</v>
      </c>
      <c r="O26" s="164">
        <f>M26-(J26+K26+L26)</f>
        <v>361.59999999999991</v>
      </c>
      <c r="P26" s="345"/>
      <c r="Q26" s="12"/>
      <c r="R26" s="502">
        <v>0.21066956995100716</v>
      </c>
      <c r="S26" s="814">
        <v>1</v>
      </c>
      <c r="T26" s="814">
        <f t="shared" si="9"/>
        <v>0.78933043004899284</v>
      </c>
    </row>
    <row r="27" spans="1:20" ht="13.15">
      <c r="A27" s="3" t="s">
        <v>305</v>
      </c>
      <c r="B27" s="4">
        <f>B7-D7</f>
        <v>930</v>
      </c>
      <c r="C27" s="4">
        <v>0</v>
      </c>
      <c r="D27" s="4">
        <v>10</v>
      </c>
      <c r="E27" s="4">
        <f>(B7-B27)-C27-D27</f>
        <v>104</v>
      </c>
      <c r="F27" s="4">
        <f>C7-E7</f>
        <v>210</v>
      </c>
      <c r="G27" s="4">
        <v>0</v>
      </c>
      <c r="H27" s="4">
        <v>2</v>
      </c>
      <c r="I27" s="4">
        <f>C7-F27-G27-H27</f>
        <v>303</v>
      </c>
      <c r="J27" s="119">
        <f t="shared" si="5"/>
        <v>1228.8</v>
      </c>
      <c r="K27" s="119">
        <f t="shared" si="5"/>
        <v>0</v>
      </c>
      <c r="L27" s="119">
        <f t="shared" si="5"/>
        <v>12.8</v>
      </c>
      <c r="M27" s="119">
        <f>(B7*0.96)+(C7*1.6)</f>
        <v>1826.24</v>
      </c>
      <c r="N27" s="502">
        <f t="shared" si="7"/>
        <v>0.32714210618538642</v>
      </c>
      <c r="O27" s="164">
        <f>M27-(J27+K27+L27)</f>
        <v>584.6400000000001</v>
      </c>
      <c r="P27" s="345"/>
      <c r="Q27" s="345"/>
      <c r="R27" s="502">
        <v>0.56595744680851068</v>
      </c>
      <c r="S27" s="814">
        <v>1</v>
      </c>
      <c r="T27" s="814">
        <f t="shared" si="9"/>
        <v>0.43404255319148932</v>
      </c>
    </row>
    <row r="28" spans="1:20" ht="13.15">
      <c r="A28" s="3" t="s">
        <v>328</v>
      </c>
      <c r="B28" s="4">
        <f>B14-D14</f>
        <v>1298</v>
      </c>
      <c r="C28" s="4">
        <v>11</v>
      </c>
      <c r="D28" s="4">
        <v>0</v>
      </c>
      <c r="E28" s="4">
        <f>(B14-B28)-C28-D28</f>
        <v>106</v>
      </c>
      <c r="F28" s="4">
        <f>C14-E14</f>
        <v>179</v>
      </c>
      <c r="G28" s="4">
        <v>0</v>
      </c>
      <c r="H28" s="4">
        <v>0</v>
      </c>
      <c r="I28" s="4">
        <f>C14-F28-G28-H28</f>
        <v>357</v>
      </c>
      <c r="J28" s="119">
        <f t="shared" si="5"/>
        <v>1532.48</v>
      </c>
      <c r="K28" s="119">
        <f t="shared" si="5"/>
        <v>10.559999999999999</v>
      </c>
      <c r="L28" s="119">
        <f t="shared" si="5"/>
        <v>0</v>
      </c>
      <c r="M28" s="119">
        <f>(B14*0.96)+(C14*1.6)</f>
        <v>2216</v>
      </c>
      <c r="N28" s="502">
        <f t="shared" si="7"/>
        <v>0.3084476534296029</v>
      </c>
      <c r="O28" s="164">
        <f>M28-(J28+K28+L28)</f>
        <v>672.96</v>
      </c>
      <c r="P28" s="345"/>
      <c r="Q28" s="345"/>
      <c r="R28" s="502">
        <v>0.60312764158917997</v>
      </c>
      <c r="S28" s="814">
        <v>1</v>
      </c>
      <c r="T28" s="814">
        <f t="shared" si="9"/>
        <v>0.39687235841082003</v>
      </c>
    </row>
    <row r="29" spans="1:20" ht="13.15">
      <c r="A29" s="3"/>
      <c r="B29" s="4"/>
      <c r="C29" s="4"/>
      <c r="D29" s="4"/>
      <c r="E29" s="4"/>
      <c r="F29" s="4"/>
      <c r="G29" s="4"/>
      <c r="H29" s="4"/>
      <c r="I29" s="4"/>
      <c r="J29" s="119"/>
      <c r="K29" s="119"/>
      <c r="L29" s="119"/>
      <c r="M29" s="119"/>
      <c r="N29" s="502"/>
      <c r="O29" s="164"/>
      <c r="P29" s="345"/>
      <c r="Q29" s="12"/>
      <c r="R29" s="502"/>
      <c r="S29" s="814"/>
      <c r="T29" s="814"/>
    </row>
    <row r="30" spans="1:20">
      <c r="J30"/>
      <c r="S30" s="814"/>
      <c r="T30" s="814"/>
    </row>
    <row r="31" spans="1:20" ht="13.15">
      <c r="A31" s="801" t="s">
        <v>527</v>
      </c>
      <c r="B31" s="4"/>
      <c r="C31" s="4"/>
      <c r="D31" s="4"/>
      <c r="E31" s="4"/>
      <c r="F31" s="4"/>
      <c r="G31" s="4"/>
      <c r="H31" s="4"/>
      <c r="I31" s="4"/>
      <c r="J31" s="119"/>
      <c r="K31" s="119"/>
      <c r="L31" s="119"/>
      <c r="M31" s="119"/>
      <c r="N31" s="502"/>
      <c r="O31" s="164"/>
      <c r="P31" s="345"/>
      <c r="Q31" s="345"/>
      <c r="R31" s="502"/>
      <c r="S31" s="814"/>
      <c r="T31" s="814"/>
    </row>
    <row r="32" spans="1:20" ht="40.9">
      <c r="A32" s="3" t="s">
        <v>512</v>
      </c>
      <c r="B32" s="4"/>
      <c r="C32" s="4"/>
      <c r="D32" s="4"/>
      <c r="E32" s="4"/>
      <c r="F32" s="4"/>
      <c r="G32" s="4"/>
      <c r="H32" s="4"/>
      <c r="I32" s="4"/>
      <c r="J32" s="426" t="s">
        <v>521</v>
      </c>
      <c r="K32" s="426" t="s">
        <v>522</v>
      </c>
      <c r="L32" s="426" t="s">
        <v>523</v>
      </c>
      <c r="M32" s="118" t="s">
        <v>528</v>
      </c>
      <c r="N32" s="118" t="s">
        <v>525</v>
      </c>
      <c r="O32" s="426" t="s">
        <v>526</v>
      </c>
      <c r="P32" s="345"/>
      <c r="Q32" s="345"/>
      <c r="R32" s="118" t="s">
        <v>525</v>
      </c>
      <c r="S32" s="814"/>
      <c r="T32" s="814"/>
    </row>
    <row r="33" spans="1:21" ht="13.15">
      <c r="A33" s="3" t="s">
        <v>274</v>
      </c>
      <c r="B33" s="4">
        <f>B2-D2</f>
        <v>847</v>
      </c>
      <c r="C33" s="4">
        <v>0</v>
      </c>
      <c r="D33" s="4">
        <v>2</v>
      </c>
      <c r="E33" s="4">
        <f>(B2-B33)-C33-D33</f>
        <v>94</v>
      </c>
      <c r="F33" s="4">
        <f>C2-E2</f>
        <v>136</v>
      </c>
      <c r="G33" s="4">
        <v>0</v>
      </c>
      <c r="H33" s="4">
        <v>0</v>
      </c>
      <c r="I33" s="4">
        <f>C2-F33-H33</f>
        <v>190</v>
      </c>
      <c r="J33" s="119">
        <f t="shared" ref="J33:J42" si="10">(B33*0.96)+(F33*1.6)</f>
        <v>1030.72</v>
      </c>
      <c r="K33" s="119">
        <f t="shared" ref="K33:K42" si="11">(C33*0.96)+(G33*1.6)</f>
        <v>0</v>
      </c>
      <c r="L33" s="119">
        <f t="shared" ref="L33:L42" si="12">(D33*0.96)+(H33*1.6)</f>
        <v>1.92</v>
      </c>
      <c r="M33" s="119">
        <f>(B2*0.96)+(C2*1.6)</f>
        <v>1426.88</v>
      </c>
      <c r="N33" s="502">
        <f>1-(J33/M33)</f>
        <v>0.27764072662031847</v>
      </c>
      <c r="O33" s="164">
        <f>M33-(J33+K33+L33)</f>
        <v>394.24</v>
      </c>
      <c r="P33" s="345"/>
      <c r="Q33" s="345"/>
      <c r="R33" s="502">
        <v>0.44646758922068464</v>
      </c>
      <c r="S33" s="814">
        <v>1</v>
      </c>
      <c r="T33" s="814">
        <f t="shared" si="9"/>
        <v>0.55353241077931536</v>
      </c>
    </row>
    <row r="34" spans="1:21" ht="13.15">
      <c r="A34" s="3" t="s">
        <v>287</v>
      </c>
      <c r="B34" s="4">
        <f>B4-D4</f>
        <v>990</v>
      </c>
      <c r="C34" s="4">
        <v>0</v>
      </c>
      <c r="D34" s="4">
        <v>0</v>
      </c>
      <c r="E34" s="4">
        <f>(B4-B34)-C34-D34</f>
        <v>83</v>
      </c>
      <c r="F34" s="4">
        <f>C4-E4</f>
        <v>167</v>
      </c>
      <c r="G34" s="4"/>
      <c r="H34" s="4">
        <v>0</v>
      </c>
      <c r="I34" s="4">
        <f>C4-F34-G34-H34</f>
        <v>444</v>
      </c>
      <c r="J34" s="119">
        <f t="shared" si="10"/>
        <v>1217.5999999999999</v>
      </c>
      <c r="K34" s="119">
        <f t="shared" si="11"/>
        <v>0</v>
      </c>
      <c r="L34" s="119">
        <f t="shared" si="12"/>
        <v>0</v>
      </c>
      <c r="M34" s="119">
        <f>(B4*0.96)+(C4*1.6)</f>
        <v>2007.6799999999998</v>
      </c>
      <c r="N34" s="502">
        <f t="shared" ref="N34:N40" si="13">1-(J34/M34)</f>
        <v>0.393528849218999</v>
      </c>
      <c r="O34" s="164">
        <f>M34-(J34+K34+L34)</f>
        <v>790.07999999999993</v>
      </c>
      <c r="P34" s="345"/>
      <c r="Q34" s="345"/>
      <c r="R34" s="502">
        <v>0.64101423487544484</v>
      </c>
      <c r="S34" s="814">
        <v>1</v>
      </c>
      <c r="T34" s="814">
        <f t="shared" si="9"/>
        <v>0.35898576512455516</v>
      </c>
    </row>
    <row r="35" spans="1:21" ht="13.15">
      <c r="A35" s="3" t="s">
        <v>293</v>
      </c>
      <c r="B35" s="4">
        <f>B6-D6</f>
        <v>669</v>
      </c>
      <c r="C35" s="4">
        <v>0</v>
      </c>
      <c r="D35" s="4">
        <v>0</v>
      </c>
      <c r="E35" s="4">
        <f>(B6-B35)-C35-D35</f>
        <v>32</v>
      </c>
      <c r="F35" s="4">
        <f>C6-E6</f>
        <v>183</v>
      </c>
      <c r="G35" s="4">
        <v>0</v>
      </c>
      <c r="H35" s="4">
        <v>0</v>
      </c>
      <c r="I35" s="4">
        <f>C6-F35-G35-H35</f>
        <v>201</v>
      </c>
      <c r="J35" s="119">
        <f t="shared" si="10"/>
        <v>935.04</v>
      </c>
      <c r="K35" s="119">
        <f t="shared" si="11"/>
        <v>0</v>
      </c>
      <c r="L35" s="119">
        <f t="shared" si="12"/>
        <v>0</v>
      </c>
      <c r="M35" s="119">
        <f>(B6*0.96)+(C6*1.6)</f>
        <v>1287.3600000000001</v>
      </c>
      <c r="N35" s="502">
        <f t="shared" si="13"/>
        <v>0.27367636092468317</v>
      </c>
      <c r="O35" s="164">
        <f t="shared" ref="O35:O42" si="14">M35-(J35+K35+L35)</f>
        <v>352.32000000000016</v>
      </c>
      <c r="P35" s="345"/>
      <c r="Q35" s="345"/>
      <c r="R35" s="502">
        <v>0.50457317073170727</v>
      </c>
      <c r="S35" s="814">
        <v>1</v>
      </c>
      <c r="T35" s="814">
        <f t="shared" si="9"/>
        <v>0.49542682926829273</v>
      </c>
    </row>
    <row r="36" spans="1:21" ht="13.15">
      <c r="A36" s="3" t="s">
        <v>312</v>
      </c>
      <c r="B36" s="4">
        <f>SUM(B37:B39)</f>
        <v>1754</v>
      </c>
      <c r="C36" s="4">
        <v>6</v>
      </c>
      <c r="D36" s="4">
        <v>0</v>
      </c>
      <c r="E36" s="4">
        <f t="shared" ref="E36:I36" si="15">SUM(E37:E39)</f>
        <v>108</v>
      </c>
      <c r="F36" s="4">
        <f t="shared" si="15"/>
        <v>301</v>
      </c>
      <c r="G36" s="4">
        <f t="shared" si="15"/>
        <v>0</v>
      </c>
      <c r="H36" s="4">
        <f t="shared" si="15"/>
        <v>0</v>
      </c>
      <c r="I36" s="4">
        <f t="shared" si="15"/>
        <v>514</v>
      </c>
      <c r="J36" s="119">
        <f t="shared" si="10"/>
        <v>2165.44</v>
      </c>
      <c r="K36" s="119">
        <f t="shared" si="11"/>
        <v>5.76</v>
      </c>
      <c r="L36" s="119">
        <f t="shared" si="12"/>
        <v>0</v>
      </c>
      <c r="M36" s="503">
        <f>SUM(M37:M39)</f>
        <v>3091.52</v>
      </c>
      <c r="N36" s="504">
        <f t="shared" si="13"/>
        <v>0.2995549114998447</v>
      </c>
      <c r="O36" s="164">
        <f t="shared" si="14"/>
        <v>920.31999999999971</v>
      </c>
      <c r="P36" s="345"/>
      <c r="Q36" s="345"/>
      <c r="R36" s="504">
        <v>0.57822445561139024</v>
      </c>
      <c r="S36" s="814">
        <v>1</v>
      </c>
      <c r="T36" s="814">
        <f t="shared" si="9"/>
        <v>0.42177554438860976</v>
      </c>
    </row>
    <row r="37" spans="1:21" ht="15.6">
      <c r="A37" s="3" t="s">
        <v>507</v>
      </c>
      <c r="B37" s="4">
        <f>B9-D9</f>
        <v>580</v>
      </c>
      <c r="C37" s="4"/>
      <c r="D37" s="4">
        <v>0</v>
      </c>
      <c r="E37" s="4">
        <f>(B9-B37)-C37-D37</f>
        <v>39</v>
      </c>
      <c r="F37" s="4">
        <f>C9-E9</f>
        <v>131</v>
      </c>
      <c r="G37" s="4"/>
      <c r="H37" s="4">
        <v>0</v>
      </c>
      <c r="I37" s="4">
        <f>C9-F37-G37-H37</f>
        <v>171</v>
      </c>
      <c r="J37" s="119">
        <f t="shared" si="10"/>
        <v>766.4</v>
      </c>
      <c r="K37" s="119">
        <f t="shared" si="11"/>
        <v>0</v>
      </c>
      <c r="L37" s="119">
        <f t="shared" si="12"/>
        <v>0</v>
      </c>
      <c r="M37" s="119">
        <f>(B9*0.96)+(C9*1.6)</f>
        <v>1077.44</v>
      </c>
      <c r="N37" s="502">
        <f t="shared" si="13"/>
        <v>0.28868428868428875</v>
      </c>
      <c r="O37" s="164">
        <f t="shared" si="14"/>
        <v>311.04000000000008</v>
      </c>
      <c r="P37" s="345"/>
      <c r="Q37" s="345"/>
      <c r="R37" s="502">
        <v>0.55222524977293386</v>
      </c>
      <c r="S37" s="814">
        <v>1</v>
      </c>
      <c r="T37" s="814">
        <f t="shared" si="9"/>
        <v>0.44777475022706614</v>
      </c>
    </row>
    <row r="38" spans="1:21" ht="15.6">
      <c r="A38" s="3" t="s">
        <v>508</v>
      </c>
      <c r="B38" s="4">
        <f>B10-D10</f>
        <v>582</v>
      </c>
      <c r="C38" s="4">
        <v>0</v>
      </c>
      <c r="D38" s="4">
        <v>0</v>
      </c>
      <c r="E38" s="4">
        <f>(B10-B38)-C38-D38</f>
        <v>39</v>
      </c>
      <c r="F38" s="4">
        <f>C10-E10</f>
        <v>125</v>
      </c>
      <c r="G38" s="4"/>
      <c r="H38" s="4">
        <v>0</v>
      </c>
      <c r="I38" s="4">
        <f>C10-F38-G38-H38</f>
        <v>148</v>
      </c>
      <c r="J38" s="119">
        <f t="shared" si="10"/>
        <v>758.72</v>
      </c>
      <c r="K38" s="119">
        <f t="shared" si="11"/>
        <v>0</v>
      </c>
      <c r="L38" s="119">
        <f t="shared" si="12"/>
        <v>0</v>
      </c>
      <c r="M38" s="119">
        <f>(B10*0.96)+(C10*1.6)</f>
        <v>1032.96</v>
      </c>
      <c r="N38" s="502">
        <f t="shared" si="13"/>
        <v>0.26548946716232957</v>
      </c>
      <c r="O38" s="164">
        <f t="shared" si="14"/>
        <v>274.24</v>
      </c>
      <c r="P38" s="345"/>
      <c r="Q38" s="345"/>
      <c r="R38" s="502">
        <v>0.40729783037475353</v>
      </c>
      <c r="S38" s="814">
        <v>1</v>
      </c>
      <c r="T38" s="814">
        <f t="shared" si="9"/>
        <v>0.59270216962524647</v>
      </c>
    </row>
    <row r="39" spans="1:21" ht="15.6">
      <c r="A39" s="3" t="s">
        <v>509</v>
      </c>
      <c r="B39" s="4">
        <f>B11-D11</f>
        <v>592</v>
      </c>
      <c r="C39" s="4"/>
      <c r="D39" s="4">
        <v>0</v>
      </c>
      <c r="E39" s="4">
        <f>(B11-B39)-C39-D39</f>
        <v>30</v>
      </c>
      <c r="F39" s="4">
        <f>C11-E11</f>
        <v>45</v>
      </c>
      <c r="G39" s="4">
        <v>0</v>
      </c>
      <c r="H39" s="4">
        <v>0</v>
      </c>
      <c r="I39" s="4">
        <f>C11-F39-G39-H39</f>
        <v>195</v>
      </c>
      <c r="J39" s="119">
        <f t="shared" si="10"/>
        <v>640.31999999999994</v>
      </c>
      <c r="K39" s="119">
        <f t="shared" si="11"/>
        <v>0</v>
      </c>
      <c r="L39" s="119">
        <f t="shared" si="12"/>
        <v>0</v>
      </c>
      <c r="M39" s="119">
        <f>(B11*0.96)+(C11*1.6)</f>
        <v>981.12</v>
      </c>
      <c r="N39" s="502">
        <f t="shared" si="13"/>
        <v>0.34735812133072419</v>
      </c>
      <c r="O39" s="164">
        <f t="shared" si="14"/>
        <v>340.80000000000007</v>
      </c>
      <c r="P39" s="345"/>
      <c r="Q39" s="345"/>
      <c r="R39" s="502">
        <v>0.81034482758620685</v>
      </c>
      <c r="S39" s="814">
        <v>1</v>
      </c>
      <c r="T39" s="814">
        <f t="shared" si="9"/>
        <v>0.18965517241379315</v>
      </c>
    </row>
    <row r="40" spans="1:21" ht="13.15">
      <c r="A40" s="3" t="s">
        <v>333</v>
      </c>
      <c r="B40" s="4">
        <f>B15-D15</f>
        <v>1015</v>
      </c>
      <c r="C40" s="4">
        <v>0</v>
      </c>
      <c r="D40" s="4">
        <v>2</v>
      </c>
      <c r="E40" s="4">
        <f>(B15-B40)-C40-D40</f>
        <v>61</v>
      </c>
      <c r="F40" s="4">
        <f>C15-E15</f>
        <v>216</v>
      </c>
      <c r="G40" s="4">
        <v>0</v>
      </c>
      <c r="H40" s="4">
        <v>2</v>
      </c>
      <c r="I40" s="4">
        <f>C15-F40-G40-H40</f>
        <v>377</v>
      </c>
      <c r="J40" s="119">
        <f t="shared" si="10"/>
        <v>1320</v>
      </c>
      <c r="K40" s="119">
        <f t="shared" si="11"/>
        <v>0</v>
      </c>
      <c r="L40" s="119">
        <f t="shared" si="12"/>
        <v>5.12</v>
      </c>
      <c r="M40" s="119">
        <f>(B15*0.96)+(C15*1.6)</f>
        <v>1986.8799999999999</v>
      </c>
      <c r="N40" s="502">
        <f t="shared" si="13"/>
        <v>0.33564181027540663</v>
      </c>
      <c r="O40" s="164">
        <f t="shared" si="14"/>
        <v>661.76</v>
      </c>
      <c r="P40" s="345"/>
      <c r="Q40" s="345"/>
      <c r="R40" s="502">
        <v>0.58981612446958986</v>
      </c>
      <c r="S40" s="814">
        <v>1</v>
      </c>
      <c r="T40" s="814">
        <f t="shared" si="9"/>
        <v>0.41018387553041014</v>
      </c>
    </row>
    <row r="41" spans="1:21" ht="13.15">
      <c r="A41" s="3" t="s">
        <v>336</v>
      </c>
      <c r="B41" s="4">
        <f>B16-D16</f>
        <v>1161</v>
      </c>
      <c r="C41" s="4">
        <v>0</v>
      </c>
      <c r="D41" s="4">
        <v>14</v>
      </c>
      <c r="E41" s="4">
        <f>(B16-B41)-C41-D41</f>
        <v>43</v>
      </c>
      <c r="F41" s="4">
        <f>C16-E16</f>
        <v>145</v>
      </c>
      <c r="G41" s="4">
        <v>0</v>
      </c>
      <c r="H41" s="4">
        <v>0</v>
      </c>
      <c r="I41" s="4">
        <f>C16-F41-G41-H41</f>
        <v>521</v>
      </c>
      <c r="J41" s="119">
        <f t="shared" si="10"/>
        <v>1346.56</v>
      </c>
      <c r="K41" s="119">
        <f t="shared" si="11"/>
        <v>0</v>
      </c>
      <c r="L41" s="119">
        <f t="shared" si="12"/>
        <v>13.44</v>
      </c>
      <c r="M41" s="119">
        <f>(B16*0.96)+(C16*1.6)</f>
        <v>2234.88</v>
      </c>
      <c r="N41" s="502">
        <f>1-(J41/M41)</f>
        <v>0.39747995418098514</v>
      </c>
      <c r="O41" s="164">
        <f t="shared" si="14"/>
        <v>874.88000000000011</v>
      </c>
      <c r="P41" s="345"/>
      <c r="Q41" s="345"/>
      <c r="R41" s="502">
        <v>0.70136144049187532</v>
      </c>
      <c r="S41" s="814">
        <v>1</v>
      </c>
      <c r="T41" s="814">
        <f t="shared" si="9"/>
        <v>0.29863855950812468</v>
      </c>
    </row>
    <row r="42" spans="1:21" ht="13.15">
      <c r="A42" s="3" t="s">
        <v>339</v>
      </c>
      <c r="B42" s="4">
        <f>B17-D17</f>
        <v>818</v>
      </c>
      <c r="C42" s="4">
        <v>0</v>
      </c>
      <c r="D42" s="4">
        <v>0</v>
      </c>
      <c r="E42" s="4">
        <f>(B17-B42)-C42-D42</f>
        <v>43</v>
      </c>
      <c r="F42" s="4">
        <f>C17-E17</f>
        <v>186</v>
      </c>
      <c r="G42" s="4">
        <v>0</v>
      </c>
      <c r="H42" s="4">
        <v>0</v>
      </c>
      <c r="I42" s="4">
        <f>C17-F42-G42-H42</f>
        <v>283</v>
      </c>
      <c r="J42" s="119">
        <f t="shared" si="10"/>
        <v>1082.8800000000001</v>
      </c>
      <c r="K42" s="119">
        <f t="shared" si="11"/>
        <v>0</v>
      </c>
      <c r="L42" s="119">
        <f t="shared" si="12"/>
        <v>0</v>
      </c>
      <c r="M42" s="119">
        <f>(B17*0.96)+(C17*1.6)</f>
        <v>1576.96</v>
      </c>
      <c r="N42" s="502">
        <f>1-(J42/M42)</f>
        <v>0.31331168831168821</v>
      </c>
      <c r="O42" s="164">
        <f t="shared" si="14"/>
        <v>494.07999999999993</v>
      </c>
      <c r="P42" s="345"/>
      <c r="Q42" s="345"/>
      <c r="R42" s="502">
        <v>0.56843403205918608</v>
      </c>
      <c r="S42" s="814">
        <v>1</v>
      </c>
      <c r="T42" s="814">
        <f t="shared" si="9"/>
        <v>0.43156596794081392</v>
      </c>
    </row>
    <row r="43" spans="1:21" ht="13.15">
      <c r="A43" s="3"/>
      <c r="B43" s="4"/>
      <c r="C43" s="4"/>
      <c r="D43" s="4"/>
      <c r="E43" s="4"/>
      <c r="F43" s="4"/>
      <c r="G43" s="4"/>
      <c r="H43" s="10"/>
      <c r="I43" s="10"/>
      <c r="J43" s="10"/>
      <c r="K43" s="10"/>
      <c r="L43" s="10"/>
      <c r="M43" s="10"/>
      <c r="N43" s="10"/>
      <c r="O43" s="505"/>
      <c r="P43" s="485"/>
      <c r="S43" s="813" cm="1">
        <f t="array" ref="S43:S52">R22:R28+R33:R42</f>
        <v>0.89055010822177039</v>
      </c>
      <c r="T43" s="813"/>
      <c r="U43" s="813" cm="1">
        <f t="array" ref="U43:U52">T22:T28+T33:T42</f>
        <v>1.1094498917782296</v>
      </c>
    </row>
    <row r="44" spans="1:21" ht="13.15">
      <c r="A44" s="11"/>
      <c r="B44" s="3" t="s">
        <v>513</v>
      </c>
      <c r="C44" s="796" t="s">
        <v>529</v>
      </c>
      <c r="D44" s="3" t="s">
        <v>516</v>
      </c>
      <c r="E44" s="3" t="s">
        <v>517</v>
      </c>
      <c r="F44" s="2" t="s">
        <v>530</v>
      </c>
      <c r="G44" s="3" t="s">
        <v>520</v>
      </c>
      <c r="K44" s="10"/>
      <c r="L44" s="10"/>
      <c r="M44" s="10"/>
      <c r="N44" s="10"/>
      <c r="O44" s="505"/>
      <c r="P44" s="485"/>
      <c r="S44">
        <v>0.8611929001408154</v>
      </c>
      <c r="U44">
        <v>1.1388070998591846</v>
      </c>
    </row>
    <row r="45" spans="1:21" ht="13.15">
      <c r="A45" s="26" t="s">
        <v>531</v>
      </c>
      <c r="B45">
        <f>SUM(B22:B42)</f>
        <v>15950</v>
      </c>
      <c r="C45" s="506">
        <f>SUM(D22:D42)</f>
        <v>38</v>
      </c>
      <c r="D45">
        <f>SUM(E22:E42)</f>
        <v>1612</v>
      </c>
      <c r="E45">
        <f>SUM(F22:F42)</f>
        <v>3255</v>
      </c>
      <c r="F45" s="506">
        <f>SUM(H22:H42)</f>
        <v>18</v>
      </c>
      <c r="G45" s="506">
        <f>SUM(I22:I42)</f>
        <v>4614</v>
      </c>
      <c r="K45" s="10"/>
      <c r="L45" s="10"/>
      <c r="M45" s="10"/>
      <c r="N45" s="10"/>
      <c r="O45" s="505"/>
      <c r="P45" s="485"/>
      <c r="S45">
        <v>0.85994982398070097</v>
      </c>
      <c r="U45">
        <v>1.1400501760192991</v>
      </c>
    </row>
    <row r="46" spans="1:21">
      <c r="K46" s="10"/>
      <c r="L46" s="10"/>
      <c r="M46" s="10"/>
      <c r="N46" s="10"/>
      <c r="O46" s="505"/>
      <c r="P46" s="485"/>
      <c r="S46">
        <v>0.80918892261646636</v>
      </c>
      <c r="U46">
        <v>1.1908110773835336</v>
      </c>
    </row>
    <row r="47" spans="1:21">
      <c r="A47" s="11"/>
      <c r="K47" s="10"/>
      <c r="L47" s="10"/>
      <c r="M47" s="10"/>
      <c r="N47" s="10"/>
      <c r="O47" s="505"/>
      <c r="P47" s="485"/>
      <c r="S47">
        <v>0.76289481972394102</v>
      </c>
      <c r="U47">
        <v>1.2371051802760591</v>
      </c>
    </row>
    <row r="48" spans="1:21">
      <c r="K48" s="10"/>
      <c r="L48" s="10"/>
      <c r="M48" s="10"/>
      <c r="N48" s="10"/>
      <c r="O48" s="505"/>
      <c r="P48" s="485"/>
      <c r="S48">
        <v>0.97325527718326421</v>
      </c>
      <c r="U48">
        <v>1.0267447228167357</v>
      </c>
    </row>
    <row r="49" spans="1:21" ht="26.45">
      <c r="A49" s="27" t="s">
        <v>532</v>
      </c>
      <c r="B49" s="796" t="s">
        <v>497</v>
      </c>
      <c r="C49" s="3" t="s">
        <v>498</v>
      </c>
      <c r="D49" s="796" t="s">
        <v>499</v>
      </c>
      <c r="E49" s="796" t="s">
        <v>505</v>
      </c>
      <c r="F49" s="796" t="s">
        <v>506</v>
      </c>
      <c r="H49" s="23" t="s">
        <v>502</v>
      </c>
      <c r="I49" s="24" t="s">
        <v>533</v>
      </c>
      <c r="J49" s="24"/>
      <c r="K49" s="24"/>
      <c r="L49" s="10"/>
      <c r="M49" s="10"/>
      <c r="N49" s="10"/>
      <c r="O49" s="10"/>
      <c r="P49" s="505"/>
      <c r="Q49" s="485"/>
      <c r="S49">
        <v>1.4134724691753868</v>
      </c>
      <c r="U49">
        <v>0.58652753082461317</v>
      </c>
    </row>
    <row r="50" spans="1:21" ht="13.15">
      <c r="A50" s="2" t="s">
        <v>348</v>
      </c>
      <c r="B50" s="852">
        <v>373</v>
      </c>
      <c r="C50">
        <v>207</v>
      </c>
      <c r="D50">
        <v>13</v>
      </c>
      <c r="E50">
        <v>104</v>
      </c>
      <c r="F50">
        <v>9</v>
      </c>
      <c r="H50" s="5">
        <v>12</v>
      </c>
      <c r="I50" s="5">
        <f>INT((H50*600)/800)</f>
        <v>9</v>
      </c>
      <c r="J50" s="5"/>
      <c r="K50" s="5"/>
      <c r="L50" s="10"/>
      <c r="M50" s="10"/>
      <c r="N50" s="10"/>
      <c r="O50" s="10"/>
      <c r="P50" s="505"/>
      <c r="Q50" s="485"/>
      <c r="S50" t="e">
        <v>#N/A</v>
      </c>
      <c r="U50" t="e">
        <v>#N/A</v>
      </c>
    </row>
    <row r="51" spans="1:21" ht="13.15">
      <c r="A51" s="2" t="s">
        <v>353</v>
      </c>
      <c r="B51" s="852">
        <v>1046</v>
      </c>
      <c r="C51">
        <v>643</v>
      </c>
      <c r="D51">
        <v>52</v>
      </c>
      <c r="E51">
        <v>527</v>
      </c>
      <c r="F51">
        <v>46</v>
      </c>
      <c r="H51" s="5">
        <v>62</v>
      </c>
      <c r="I51" s="5">
        <f>INT((H51*600)/800)</f>
        <v>46</v>
      </c>
      <c r="J51" s="5"/>
      <c r="K51" s="5"/>
      <c r="L51" s="10"/>
      <c r="M51" s="10"/>
      <c r="N51" s="10"/>
      <c r="O51" s="10"/>
      <c r="P51" s="505"/>
      <c r="Q51" s="485"/>
      <c r="S51" t="e">
        <v>#N/A</v>
      </c>
      <c r="U51" t="e">
        <v>#N/A</v>
      </c>
    </row>
    <row r="52" spans="1:21" ht="13.15">
      <c r="A52" s="2" t="s">
        <v>350</v>
      </c>
      <c r="B52" s="852">
        <v>666</v>
      </c>
      <c r="C52">
        <v>391</v>
      </c>
      <c r="D52">
        <v>12</v>
      </c>
      <c r="E52">
        <v>269</v>
      </c>
      <c r="F52">
        <v>12</v>
      </c>
      <c r="H52" s="5">
        <v>16</v>
      </c>
      <c r="I52" s="5">
        <f t="shared" ref="I52:I63" si="16">INT((H52*600)/800)</f>
        <v>12</v>
      </c>
      <c r="J52" s="5"/>
      <c r="K52" s="5"/>
      <c r="L52" s="10"/>
      <c r="M52" s="10"/>
      <c r="N52" s="10"/>
      <c r="O52" s="10"/>
      <c r="P52" s="505"/>
      <c r="Q52" s="485"/>
      <c r="S52" t="e">
        <v>#N/A</v>
      </c>
      <c r="U52" t="e">
        <v>#N/A</v>
      </c>
    </row>
    <row r="53" spans="1:21" ht="13.15">
      <c r="A53" s="2" t="s">
        <v>355</v>
      </c>
      <c r="B53" s="852">
        <v>995</v>
      </c>
      <c r="C53">
        <v>630</v>
      </c>
      <c r="D53">
        <v>6</v>
      </c>
      <c r="E53">
        <v>450</v>
      </c>
      <c r="F53">
        <v>5</v>
      </c>
      <c r="H53" s="5">
        <v>7</v>
      </c>
      <c r="I53" s="5">
        <f t="shared" si="16"/>
        <v>5</v>
      </c>
      <c r="J53" s="5"/>
      <c r="K53" s="5"/>
      <c r="L53" s="10"/>
      <c r="M53" s="10"/>
      <c r="N53" s="10"/>
      <c r="O53" s="10"/>
      <c r="P53" s="505"/>
      <c r="Q53" s="485"/>
    </row>
    <row r="54" spans="1:21" ht="13.15">
      <c r="A54" s="2" t="s">
        <v>357</v>
      </c>
      <c r="B54" s="852">
        <v>67</v>
      </c>
      <c r="C54">
        <v>29</v>
      </c>
      <c r="D54">
        <v>0</v>
      </c>
      <c r="E54">
        <v>8</v>
      </c>
      <c r="F54">
        <v>0</v>
      </c>
      <c r="H54" s="5"/>
      <c r="I54" s="5">
        <f t="shared" si="16"/>
        <v>0</v>
      </c>
      <c r="J54" s="5"/>
      <c r="K54" s="5"/>
      <c r="L54" s="10"/>
      <c r="M54" s="10"/>
      <c r="N54" s="10"/>
      <c r="O54" s="10"/>
      <c r="P54" s="505"/>
      <c r="Q54" s="485"/>
    </row>
    <row r="55" spans="1:21" ht="13.15">
      <c r="A55" s="2" t="s">
        <v>359</v>
      </c>
      <c r="B55" s="852">
        <v>694</v>
      </c>
      <c r="C55">
        <v>396</v>
      </c>
      <c r="D55">
        <v>0</v>
      </c>
      <c r="E55">
        <v>171</v>
      </c>
      <c r="F55">
        <v>0</v>
      </c>
      <c r="H55" s="5"/>
      <c r="I55" s="5">
        <f t="shared" si="16"/>
        <v>0</v>
      </c>
      <c r="J55" s="5"/>
      <c r="K55" s="5"/>
      <c r="L55" s="10"/>
      <c r="M55" s="10"/>
      <c r="N55" s="10"/>
      <c r="O55" s="10"/>
      <c r="P55" s="505"/>
      <c r="Q55" s="485"/>
    </row>
    <row r="56" spans="1:21" ht="13.15">
      <c r="A56" s="2" t="s">
        <v>534</v>
      </c>
      <c r="B56" s="852">
        <v>588</v>
      </c>
      <c r="C56">
        <v>336</v>
      </c>
      <c r="D56">
        <v>0</v>
      </c>
      <c r="E56">
        <v>252</v>
      </c>
      <c r="F56">
        <v>0</v>
      </c>
      <c r="H56" s="5"/>
      <c r="I56" s="5"/>
      <c r="J56" s="5"/>
      <c r="K56" s="5"/>
      <c r="L56" s="10"/>
      <c r="M56" s="10"/>
      <c r="N56" s="10"/>
      <c r="O56" s="10"/>
      <c r="P56" s="505"/>
      <c r="Q56" s="485"/>
    </row>
    <row r="57" spans="1:21" ht="13.15">
      <c r="A57" s="2" t="s">
        <v>535</v>
      </c>
      <c r="B57" s="852">
        <v>108</v>
      </c>
      <c r="C57">
        <v>172</v>
      </c>
      <c r="D57">
        <v>7</v>
      </c>
      <c r="E57">
        <v>99</v>
      </c>
      <c r="F57">
        <v>7</v>
      </c>
      <c r="H57" s="5">
        <v>10</v>
      </c>
      <c r="I57" s="5">
        <f t="shared" si="16"/>
        <v>7</v>
      </c>
      <c r="J57" s="5"/>
      <c r="K57" s="5"/>
      <c r="L57" s="10"/>
      <c r="M57" s="10"/>
      <c r="N57" s="10"/>
      <c r="O57" s="10"/>
      <c r="P57" s="505"/>
      <c r="Q57" s="485"/>
    </row>
    <row r="58" spans="1:21" ht="13.15">
      <c r="A58" s="2" t="s">
        <v>363</v>
      </c>
      <c r="B58" s="852">
        <v>966</v>
      </c>
      <c r="C58">
        <v>512</v>
      </c>
      <c r="D58">
        <v>21</v>
      </c>
      <c r="E58">
        <v>265</v>
      </c>
      <c r="F58">
        <v>7</v>
      </c>
      <c r="H58" s="5">
        <v>10</v>
      </c>
      <c r="I58" s="5">
        <f t="shared" si="16"/>
        <v>7</v>
      </c>
      <c r="J58" s="5"/>
      <c r="K58" s="5"/>
      <c r="L58" s="10"/>
      <c r="M58" s="10"/>
      <c r="N58" s="10"/>
      <c r="O58" s="10"/>
      <c r="P58" s="505"/>
      <c r="Q58" s="485"/>
    </row>
    <row r="59" spans="1:21" ht="13.15">
      <c r="A59" s="2" t="s">
        <v>536</v>
      </c>
      <c r="B59" s="852">
        <v>166</v>
      </c>
      <c r="C59">
        <v>55</v>
      </c>
      <c r="D59">
        <v>0</v>
      </c>
      <c r="E59">
        <v>4</v>
      </c>
      <c r="F59">
        <v>0</v>
      </c>
      <c r="H59" s="5"/>
      <c r="I59" s="5"/>
      <c r="J59" s="5"/>
      <c r="K59" s="5"/>
      <c r="L59" s="10"/>
      <c r="M59" s="10"/>
      <c r="N59" s="10"/>
      <c r="O59" s="10"/>
      <c r="P59" s="505"/>
      <c r="Q59" s="485"/>
    </row>
    <row r="60" spans="1:21" ht="13.15">
      <c r="A60" s="2" t="s">
        <v>537</v>
      </c>
      <c r="B60" s="852">
        <v>250</v>
      </c>
      <c r="C60">
        <v>156</v>
      </c>
      <c r="D60">
        <v>0</v>
      </c>
      <c r="E60">
        <v>56</v>
      </c>
      <c r="F60">
        <v>0</v>
      </c>
      <c r="H60" s="5"/>
      <c r="I60" s="5">
        <f t="shared" si="16"/>
        <v>0</v>
      </c>
      <c r="J60" s="5"/>
      <c r="K60" s="5"/>
      <c r="L60" s="10"/>
      <c r="M60" s="10"/>
      <c r="N60" s="10"/>
      <c r="O60" s="10"/>
      <c r="P60" s="505"/>
      <c r="Q60" s="485"/>
    </row>
    <row r="61" spans="1:21" ht="13.15">
      <c r="A61" s="2" t="s">
        <v>538</v>
      </c>
      <c r="B61" s="852">
        <v>252</v>
      </c>
      <c r="C61">
        <v>156</v>
      </c>
      <c r="D61">
        <v>0</v>
      </c>
      <c r="E61">
        <v>115</v>
      </c>
      <c r="F61">
        <v>0</v>
      </c>
      <c r="H61" s="5"/>
      <c r="I61" s="5"/>
      <c r="J61" s="5"/>
      <c r="K61" s="5"/>
      <c r="L61" s="10"/>
      <c r="M61" s="10"/>
      <c r="N61" s="10"/>
      <c r="O61" s="10"/>
      <c r="P61" s="505"/>
      <c r="Q61" s="485"/>
    </row>
    <row r="62" spans="1:21" ht="13.15">
      <c r="A62" s="2" t="s">
        <v>369</v>
      </c>
      <c r="B62" s="852">
        <v>939</v>
      </c>
      <c r="C62">
        <v>640</v>
      </c>
      <c r="D62">
        <v>9</v>
      </c>
      <c r="E62">
        <v>488</v>
      </c>
      <c r="F62">
        <v>1</v>
      </c>
      <c r="H62" s="5">
        <v>2</v>
      </c>
      <c r="I62" s="5">
        <f t="shared" si="16"/>
        <v>1</v>
      </c>
      <c r="J62" s="5"/>
      <c r="K62" s="5"/>
      <c r="L62" s="10"/>
      <c r="M62" s="10"/>
      <c r="N62" s="10"/>
      <c r="O62" s="10"/>
      <c r="P62" s="505"/>
      <c r="Q62" s="485"/>
    </row>
    <row r="63" spans="1:21" ht="13.15">
      <c r="A63" s="2" t="s">
        <v>371</v>
      </c>
      <c r="B63" s="852">
        <v>268</v>
      </c>
      <c r="C63">
        <v>105</v>
      </c>
      <c r="D63">
        <v>0</v>
      </c>
      <c r="E63">
        <v>41</v>
      </c>
      <c r="F63">
        <v>0</v>
      </c>
      <c r="H63" s="5"/>
      <c r="I63" s="5">
        <f t="shared" si="16"/>
        <v>0</v>
      </c>
      <c r="J63" s="5"/>
      <c r="K63" s="5"/>
      <c r="L63" s="10"/>
      <c r="M63" s="10"/>
      <c r="N63" s="10"/>
      <c r="O63" s="10"/>
      <c r="P63" s="505"/>
      <c r="Q63" s="485"/>
    </row>
    <row r="66" spans="1:16" ht="13.15">
      <c r="A66" s="2" t="s">
        <v>539</v>
      </c>
      <c r="B66" s="2"/>
      <c r="K66" s="10"/>
      <c r="L66" s="10"/>
      <c r="M66" s="10"/>
      <c r="N66" s="10"/>
      <c r="O66" s="505"/>
      <c r="P66" s="485"/>
    </row>
    <row r="67" spans="1:16" ht="21">
      <c r="A67" s="2" t="s">
        <v>512</v>
      </c>
      <c r="B67" s="3" t="s">
        <v>513</v>
      </c>
      <c r="C67" s="3" t="s">
        <v>514</v>
      </c>
      <c r="D67" s="3" t="s">
        <v>515</v>
      </c>
      <c r="E67" s="796" t="s">
        <v>516</v>
      </c>
      <c r="F67" s="3" t="s">
        <v>517</v>
      </c>
      <c r="G67" s="3" t="s">
        <v>518</v>
      </c>
      <c r="H67" s="2" t="s">
        <v>519</v>
      </c>
      <c r="I67" s="3" t="s">
        <v>520</v>
      </c>
      <c r="J67" s="3"/>
      <c r="K67" s="119" t="s">
        <v>521</v>
      </c>
      <c r="L67" s="119" t="s">
        <v>522</v>
      </c>
      <c r="M67" s="119" t="s">
        <v>523</v>
      </c>
      <c r="N67" s="486" t="s">
        <v>528</v>
      </c>
      <c r="O67" s="502" t="s">
        <v>525</v>
      </c>
      <c r="P67" s="164" t="s">
        <v>526</v>
      </c>
    </row>
    <row r="68" spans="1:16" ht="13.15">
      <c r="A68" s="2" t="s">
        <v>348</v>
      </c>
      <c r="B68" s="4">
        <f t="shared" ref="B68:B74" si="17">C50-E50</f>
        <v>103</v>
      </c>
      <c r="C68" s="4"/>
      <c r="D68" s="4">
        <v>0</v>
      </c>
      <c r="E68" s="4">
        <f t="shared" ref="E68:E81" si="18">SUM(E50-C68-D68)</f>
        <v>104</v>
      </c>
      <c r="F68" s="4">
        <f t="shared" ref="F68:F76" si="19">D50-F50</f>
        <v>4</v>
      </c>
      <c r="G68" s="4"/>
      <c r="H68" s="4">
        <v>0</v>
      </c>
      <c r="I68" s="4">
        <f t="shared" ref="I68:I76" si="20">D50-F68-H68</f>
        <v>9</v>
      </c>
      <c r="J68" s="4"/>
      <c r="K68" s="119">
        <f>(B68*0.96)+(F68*1.6)</f>
        <v>105.28</v>
      </c>
      <c r="L68" s="119">
        <f>(C68*0.96)+(G68*1.6)</f>
        <v>0</v>
      </c>
      <c r="M68" s="119">
        <f>(D68*0.96)+(H68*1.6)</f>
        <v>0</v>
      </c>
      <c r="N68" s="119">
        <f t="shared" ref="N68:N74" si="21">(C50*0.96)+(D50*1.6)</f>
        <v>219.52</v>
      </c>
      <c r="O68" s="502">
        <f t="shared" ref="O68:O81" si="22">1-(K68/N68)</f>
        <v>0.52040816326530615</v>
      </c>
      <c r="P68" s="164">
        <f t="shared" ref="P68:P81" si="23">N68-(K68+M68)</f>
        <v>114.24000000000001</v>
      </c>
    </row>
    <row r="69" spans="1:16" ht="13.15">
      <c r="A69" s="2" t="s">
        <v>353</v>
      </c>
      <c r="B69" s="4">
        <f t="shared" si="17"/>
        <v>116</v>
      </c>
      <c r="C69" s="4"/>
      <c r="D69" s="4">
        <v>0</v>
      </c>
      <c r="E69" s="4">
        <f t="shared" si="18"/>
        <v>527</v>
      </c>
      <c r="F69" s="4">
        <f t="shared" si="19"/>
        <v>6</v>
      </c>
      <c r="G69" s="4"/>
      <c r="H69" s="4">
        <v>0</v>
      </c>
      <c r="I69" s="4">
        <f t="shared" si="20"/>
        <v>46</v>
      </c>
      <c r="J69" s="4"/>
      <c r="K69" s="119">
        <f>(B69*0.96)+(F69*1.6)</f>
        <v>120.96000000000001</v>
      </c>
      <c r="L69" s="119">
        <f t="shared" ref="L69:L81" si="24">(C69*0.96)+(G69*1.6)</f>
        <v>0</v>
      </c>
      <c r="M69" s="119">
        <f t="shared" ref="M69:M81" si="25">(D69*0.96)+(H69*1.6)</f>
        <v>0</v>
      </c>
      <c r="N69" s="119">
        <f t="shared" si="21"/>
        <v>700.48</v>
      </c>
      <c r="O69" s="502">
        <f t="shared" si="22"/>
        <v>0.82731841023298314</v>
      </c>
      <c r="P69" s="164">
        <f t="shared" si="23"/>
        <v>579.52</v>
      </c>
    </row>
    <row r="70" spans="1:16" ht="13.15">
      <c r="A70" s="2" t="s">
        <v>350</v>
      </c>
      <c r="B70" s="4">
        <f t="shared" si="17"/>
        <v>122</v>
      </c>
      <c r="C70" s="4"/>
      <c r="D70" s="4">
        <v>1</v>
      </c>
      <c r="E70" s="4">
        <f t="shared" si="18"/>
        <v>268</v>
      </c>
      <c r="F70" s="4">
        <f t="shared" si="19"/>
        <v>0</v>
      </c>
      <c r="G70" s="4"/>
      <c r="H70" s="4">
        <v>0</v>
      </c>
      <c r="I70" s="4">
        <f t="shared" si="20"/>
        <v>12</v>
      </c>
      <c r="J70" s="4"/>
      <c r="K70" s="119">
        <f t="shared" ref="K70:K76" si="26">(B70*0.96)+(F70*1.6)</f>
        <v>117.11999999999999</v>
      </c>
      <c r="L70" s="119">
        <f t="shared" si="24"/>
        <v>0</v>
      </c>
      <c r="M70" s="119">
        <f t="shared" si="25"/>
        <v>0.96</v>
      </c>
      <c r="N70" s="119">
        <f t="shared" si="21"/>
        <v>394.56</v>
      </c>
      <c r="O70" s="502">
        <f t="shared" si="22"/>
        <v>0.7031630170316302</v>
      </c>
      <c r="P70" s="164">
        <f t="shared" si="23"/>
        <v>276.48</v>
      </c>
    </row>
    <row r="71" spans="1:16" ht="13.15">
      <c r="A71" s="515" t="s">
        <v>355</v>
      </c>
      <c r="B71" s="4">
        <f t="shared" si="17"/>
        <v>180</v>
      </c>
      <c r="C71" s="4"/>
      <c r="D71" s="4">
        <v>0</v>
      </c>
      <c r="E71" s="4">
        <f t="shared" si="18"/>
        <v>450</v>
      </c>
      <c r="F71" s="4">
        <f t="shared" si="19"/>
        <v>1</v>
      </c>
      <c r="G71" s="4"/>
      <c r="H71" s="4">
        <v>0</v>
      </c>
      <c r="I71" s="4">
        <f t="shared" si="20"/>
        <v>5</v>
      </c>
      <c r="J71" s="4"/>
      <c r="K71" s="119">
        <f t="shared" si="26"/>
        <v>174.39999999999998</v>
      </c>
      <c r="L71" s="119">
        <f t="shared" si="24"/>
        <v>0</v>
      </c>
      <c r="M71" s="119">
        <f t="shared" si="25"/>
        <v>0</v>
      </c>
      <c r="N71" s="119">
        <f t="shared" si="21"/>
        <v>614.4</v>
      </c>
      <c r="O71" s="502">
        <f t="shared" si="22"/>
        <v>0.71614583333333337</v>
      </c>
      <c r="P71" s="164">
        <f t="shared" si="23"/>
        <v>440</v>
      </c>
    </row>
    <row r="72" spans="1:16" ht="13.15">
      <c r="A72" s="2" t="s">
        <v>357</v>
      </c>
      <c r="B72" s="4">
        <f t="shared" si="17"/>
        <v>21</v>
      </c>
      <c r="C72" s="4"/>
      <c r="D72" s="4">
        <v>0</v>
      </c>
      <c r="E72" s="4">
        <f t="shared" si="18"/>
        <v>8</v>
      </c>
      <c r="F72" s="4">
        <f t="shared" si="19"/>
        <v>0</v>
      </c>
      <c r="G72" s="4"/>
      <c r="H72" s="4">
        <v>0</v>
      </c>
      <c r="I72" s="4">
        <f t="shared" si="20"/>
        <v>0</v>
      </c>
      <c r="J72" s="4"/>
      <c r="K72" s="119">
        <f t="shared" si="26"/>
        <v>20.16</v>
      </c>
      <c r="L72" s="119">
        <f t="shared" si="24"/>
        <v>0</v>
      </c>
      <c r="M72" s="119">
        <f t="shared" si="25"/>
        <v>0</v>
      </c>
      <c r="N72" s="119">
        <f t="shared" si="21"/>
        <v>27.84</v>
      </c>
      <c r="O72" s="502">
        <f t="shared" si="22"/>
        <v>0.27586206896551724</v>
      </c>
      <c r="P72" s="164">
        <f t="shared" si="23"/>
        <v>7.68</v>
      </c>
    </row>
    <row r="73" spans="1:16" ht="13.15">
      <c r="A73" s="2" t="s">
        <v>359</v>
      </c>
      <c r="B73" s="4">
        <f t="shared" si="17"/>
        <v>225</v>
      </c>
      <c r="C73" s="4"/>
      <c r="D73" s="4">
        <v>10</v>
      </c>
      <c r="E73" s="4">
        <f t="shared" si="18"/>
        <v>161</v>
      </c>
      <c r="F73" s="4">
        <f t="shared" si="19"/>
        <v>0</v>
      </c>
      <c r="G73" s="4"/>
      <c r="H73" s="4">
        <v>0</v>
      </c>
      <c r="I73" s="4">
        <f t="shared" si="20"/>
        <v>0</v>
      </c>
      <c r="J73" s="4"/>
      <c r="K73" s="119">
        <f t="shared" si="26"/>
        <v>216</v>
      </c>
      <c r="L73" s="119">
        <f t="shared" si="24"/>
        <v>0</v>
      </c>
      <c r="M73" s="119">
        <f t="shared" si="25"/>
        <v>9.6</v>
      </c>
      <c r="N73" s="119">
        <f t="shared" si="21"/>
        <v>380.15999999999997</v>
      </c>
      <c r="O73" s="502">
        <f t="shared" si="22"/>
        <v>0.43181818181818177</v>
      </c>
      <c r="P73" s="164">
        <f t="shared" si="23"/>
        <v>154.55999999999997</v>
      </c>
    </row>
    <row r="74" spans="1:16" ht="13.15">
      <c r="A74" s="2" t="s">
        <v>534</v>
      </c>
      <c r="B74" s="4">
        <f t="shared" si="17"/>
        <v>84</v>
      </c>
      <c r="C74" s="4"/>
      <c r="D74" s="4">
        <v>0</v>
      </c>
      <c r="E74" s="4">
        <f t="shared" si="18"/>
        <v>252</v>
      </c>
      <c r="F74" s="4">
        <f t="shared" si="19"/>
        <v>0</v>
      </c>
      <c r="G74" s="4"/>
      <c r="H74" s="4">
        <v>0</v>
      </c>
      <c r="I74" s="4">
        <f t="shared" si="20"/>
        <v>0</v>
      </c>
      <c r="J74" s="4"/>
      <c r="K74" s="119">
        <f>(B74*0.96)+(F74*1.6)</f>
        <v>80.64</v>
      </c>
      <c r="L74" s="119">
        <f>(C74*0.96)+(G74*1.6)</f>
        <v>0</v>
      </c>
      <c r="M74" s="119">
        <f>(D74*0.96)+(H74*1.6)</f>
        <v>0</v>
      </c>
      <c r="N74" s="119">
        <f t="shared" si="21"/>
        <v>322.56</v>
      </c>
      <c r="O74" s="502">
        <f>1-(K74/N74)</f>
        <v>0.75</v>
      </c>
      <c r="P74" s="164">
        <f t="shared" si="23"/>
        <v>241.92000000000002</v>
      </c>
    </row>
    <row r="75" spans="1:16" ht="13.15">
      <c r="A75" s="2" t="s">
        <v>535</v>
      </c>
      <c r="B75" s="4">
        <f t="shared" ref="B75:B81" si="27">C57-E57</f>
        <v>73</v>
      </c>
      <c r="C75" s="4"/>
      <c r="D75" s="4">
        <v>0</v>
      </c>
      <c r="E75" s="4">
        <f t="shared" si="18"/>
        <v>99</v>
      </c>
      <c r="F75" s="4">
        <f t="shared" si="19"/>
        <v>0</v>
      </c>
      <c r="G75" s="4"/>
      <c r="H75" s="4">
        <v>1</v>
      </c>
      <c r="I75" s="4">
        <f t="shared" si="20"/>
        <v>6</v>
      </c>
      <c r="J75" s="4"/>
      <c r="K75" s="119">
        <f t="shared" si="26"/>
        <v>70.08</v>
      </c>
      <c r="L75" s="119">
        <f t="shared" si="24"/>
        <v>0</v>
      </c>
      <c r="M75" s="119">
        <f t="shared" si="25"/>
        <v>1.6</v>
      </c>
      <c r="N75" s="119">
        <f t="shared" ref="N75:N81" si="28">(C57*0.96)+(D57*1.6)</f>
        <v>176.32</v>
      </c>
      <c r="O75" s="502">
        <f t="shared" si="22"/>
        <v>0.60254083484573506</v>
      </c>
      <c r="P75" s="164">
        <f t="shared" si="23"/>
        <v>104.64</v>
      </c>
    </row>
    <row r="76" spans="1:16" ht="13.15">
      <c r="A76" s="2" t="s">
        <v>363</v>
      </c>
      <c r="B76" s="4">
        <f t="shared" si="27"/>
        <v>247</v>
      </c>
      <c r="C76" s="4"/>
      <c r="D76" s="4">
        <v>1</v>
      </c>
      <c r="E76" s="4">
        <f t="shared" si="18"/>
        <v>264</v>
      </c>
      <c r="F76" s="4">
        <f t="shared" si="19"/>
        <v>14</v>
      </c>
      <c r="G76" s="4"/>
      <c r="H76" s="4">
        <v>0</v>
      </c>
      <c r="I76" s="4">
        <f t="shared" si="20"/>
        <v>7</v>
      </c>
      <c r="J76" s="4"/>
      <c r="K76" s="119">
        <f t="shared" si="26"/>
        <v>259.52</v>
      </c>
      <c r="L76" s="119">
        <f t="shared" si="24"/>
        <v>0</v>
      </c>
      <c r="M76" s="119">
        <f t="shared" si="25"/>
        <v>0.96</v>
      </c>
      <c r="N76" s="119">
        <f t="shared" si="28"/>
        <v>525.12</v>
      </c>
      <c r="O76" s="502">
        <f t="shared" si="22"/>
        <v>0.50578915295551496</v>
      </c>
      <c r="P76" s="164">
        <f t="shared" si="23"/>
        <v>264.64000000000004</v>
      </c>
    </row>
    <row r="77" spans="1:16" ht="13.15">
      <c r="A77" s="2" t="s">
        <v>536</v>
      </c>
      <c r="B77" s="4">
        <f t="shared" si="27"/>
        <v>51</v>
      </c>
      <c r="C77" s="4"/>
      <c r="D77" s="4">
        <v>4</v>
      </c>
      <c r="E77" s="4">
        <f t="shared" si="18"/>
        <v>0</v>
      </c>
      <c r="F77" s="4">
        <v>0</v>
      </c>
      <c r="G77" s="4"/>
      <c r="H77" s="4">
        <v>0</v>
      </c>
      <c r="I77" s="4">
        <v>0</v>
      </c>
      <c r="J77" s="4"/>
      <c r="K77" s="119">
        <f>(B77*0.96)+(F77*1.6)</f>
        <v>48.96</v>
      </c>
      <c r="L77" s="119">
        <f>(C77*0.96)+(G77*1.6)</f>
        <v>0</v>
      </c>
      <c r="M77" s="119">
        <f>(D77*0.96)+(H77*1.6)</f>
        <v>3.84</v>
      </c>
      <c r="N77" s="119">
        <f t="shared" si="28"/>
        <v>52.8</v>
      </c>
      <c r="O77" s="502">
        <f>1-(K77/N77)</f>
        <v>7.272727272727264E-2</v>
      </c>
      <c r="P77" s="164">
        <f>N77-(K77+M77)</f>
        <v>0</v>
      </c>
    </row>
    <row r="78" spans="1:16" ht="13.15">
      <c r="A78" s="2" t="s">
        <v>537</v>
      </c>
      <c r="B78" s="4">
        <f t="shared" si="27"/>
        <v>100</v>
      </c>
      <c r="C78" s="4"/>
      <c r="D78" s="4">
        <v>0</v>
      </c>
      <c r="E78" s="4">
        <f t="shared" si="18"/>
        <v>56</v>
      </c>
      <c r="F78" s="4">
        <f>D60-F60</f>
        <v>0</v>
      </c>
      <c r="G78" s="4"/>
      <c r="H78" s="4">
        <v>0</v>
      </c>
      <c r="I78" s="4">
        <f>D60-F78-H78</f>
        <v>0</v>
      </c>
      <c r="J78" s="4"/>
      <c r="K78" s="119">
        <f>(B78*0.96)+(F78*1.6)</f>
        <v>96</v>
      </c>
      <c r="L78" s="119">
        <f t="shared" si="24"/>
        <v>0</v>
      </c>
      <c r="M78" s="119">
        <f t="shared" si="25"/>
        <v>0</v>
      </c>
      <c r="N78" s="119">
        <f t="shared" si="28"/>
        <v>149.76</v>
      </c>
      <c r="O78" s="502">
        <f t="shared" si="22"/>
        <v>0.35897435897435892</v>
      </c>
      <c r="P78" s="164">
        <f t="shared" si="23"/>
        <v>53.759999999999991</v>
      </c>
    </row>
    <row r="79" spans="1:16" ht="13.15">
      <c r="A79" s="2" t="s">
        <v>538</v>
      </c>
      <c r="B79" s="4">
        <f t="shared" si="27"/>
        <v>41</v>
      </c>
      <c r="C79" s="4"/>
      <c r="D79" s="4">
        <v>0</v>
      </c>
      <c r="E79" s="4">
        <f t="shared" si="18"/>
        <v>115</v>
      </c>
      <c r="F79" s="4">
        <f>D61-F61</f>
        <v>0</v>
      </c>
      <c r="G79" s="4"/>
      <c r="H79" s="4">
        <v>0</v>
      </c>
      <c r="I79" s="4">
        <f>D61-F79-H79</f>
        <v>0</v>
      </c>
      <c r="J79" s="4"/>
      <c r="K79" s="119">
        <f>(B79*0.96)+(F79*1.6)</f>
        <v>39.36</v>
      </c>
      <c r="L79" s="119">
        <f>(C79*0.96)+(G79*1.6)</f>
        <v>0</v>
      </c>
      <c r="M79" s="119">
        <f>(D79*0.96)+(H79*1.6)</f>
        <v>0</v>
      </c>
      <c r="N79" s="119">
        <f t="shared" si="28"/>
        <v>149.76</v>
      </c>
      <c r="O79" s="502">
        <f>1-(K79/N79)</f>
        <v>0.73717948717948723</v>
      </c>
      <c r="P79" s="164">
        <f>N79-(K79+M79)</f>
        <v>110.39999999999999</v>
      </c>
    </row>
    <row r="80" spans="1:16" ht="13.15">
      <c r="A80" s="2" t="s">
        <v>369</v>
      </c>
      <c r="B80" s="4">
        <f t="shared" si="27"/>
        <v>152</v>
      </c>
      <c r="C80" s="4"/>
      <c r="D80" s="4">
        <v>0</v>
      </c>
      <c r="E80" s="4">
        <f t="shared" si="18"/>
        <v>488</v>
      </c>
      <c r="F80" s="4">
        <f>D62-F62</f>
        <v>8</v>
      </c>
      <c r="G80" s="4"/>
      <c r="H80" s="4">
        <v>1</v>
      </c>
      <c r="I80" s="4">
        <f>D62-F80-H80</f>
        <v>0</v>
      </c>
      <c r="J80" s="4"/>
      <c r="K80" s="119">
        <f>(B80*0.96)+(F80*1.6)</f>
        <v>158.72</v>
      </c>
      <c r="L80" s="119">
        <f t="shared" si="24"/>
        <v>0</v>
      </c>
      <c r="M80" s="119">
        <f t="shared" si="25"/>
        <v>1.6</v>
      </c>
      <c r="N80" s="119">
        <f t="shared" si="28"/>
        <v>628.79999999999995</v>
      </c>
      <c r="O80" s="502">
        <f t="shared" si="22"/>
        <v>0.74758269720101778</v>
      </c>
      <c r="P80" s="164">
        <f t="shared" si="23"/>
        <v>468.47999999999996</v>
      </c>
    </row>
    <row r="81" spans="1:16" ht="13.15">
      <c r="A81" s="2" t="s">
        <v>371</v>
      </c>
      <c r="B81" s="4">
        <f t="shared" si="27"/>
        <v>64</v>
      </c>
      <c r="C81" s="4"/>
      <c r="D81" s="4">
        <v>0</v>
      </c>
      <c r="E81" s="4">
        <f t="shared" si="18"/>
        <v>41</v>
      </c>
      <c r="F81" s="4">
        <f>D63-F63</f>
        <v>0</v>
      </c>
      <c r="G81" s="4"/>
      <c r="H81" s="4">
        <v>0</v>
      </c>
      <c r="I81" s="4">
        <f>D63-F81-H81</f>
        <v>0</v>
      </c>
      <c r="J81" s="4"/>
      <c r="K81" s="119">
        <f>(B81*0.96)+(F81*1.6)</f>
        <v>61.44</v>
      </c>
      <c r="L81" s="119">
        <f t="shared" si="24"/>
        <v>0</v>
      </c>
      <c r="M81" s="119">
        <f t="shared" si="25"/>
        <v>0</v>
      </c>
      <c r="N81" s="119">
        <f t="shared" si="28"/>
        <v>100.8</v>
      </c>
      <c r="O81" s="502">
        <f t="shared" si="22"/>
        <v>0.39047619047619053</v>
      </c>
      <c r="P81" s="164">
        <f t="shared" si="23"/>
        <v>39.36</v>
      </c>
    </row>
    <row r="82" spans="1:16" ht="13.15">
      <c r="A82" s="50"/>
      <c r="B82" s="51" t="s">
        <v>540</v>
      </c>
      <c r="C82" s="54" t="s">
        <v>541</v>
      </c>
      <c r="D82" s="51" t="s">
        <v>542</v>
      </c>
      <c r="E82" s="4"/>
      <c r="F82" s="4"/>
      <c r="G82" s="4"/>
      <c r="K82" s="10"/>
      <c r="L82" s="10"/>
      <c r="M82" s="10"/>
      <c r="N82" s="10"/>
      <c r="O82" s="505"/>
      <c r="P82" s="485"/>
    </row>
    <row r="83" spans="1:16" ht="13.15">
      <c r="A83" s="50" t="s">
        <v>536</v>
      </c>
      <c r="B83" s="53">
        <f>C59-E59</f>
        <v>51</v>
      </c>
      <c r="C83" s="53">
        <v>0</v>
      </c>
      <c r="D83" s="53">
        <f>(C59-B83)-C83</f>
        <v>4</v>
      </c>
      <c r="E83" s="4"/>
      <c r="F83" s="4"/>
      <c r="G83" s="4"/>
    </row>
    <row r="84" spans="1:16" ht="13.15">
      <c r="A84" s="50"/>
      <c r="B84" s="53" t="s">
        <v>543</v>
      </c>
      <c r="C84" s="53" t="s">
        <v>544</v>
      </c>
      <c r="D84" s="53" t="s">
        <v>545</v>
      </c>
      <c r="E84" s="4"/>
      <c r="F84" s="4"/>
      <c r="G84" s="4"/>
    </row>
    <row r="85" spans="1:16" ht="13.15">
      <c r="A85" s="50" t="s">
        <v>546</v>
      </c>
      <c r="B85" s="52">
        <f>B83*0.96</f>
        <v>48.96</v>
      </c>
      <c r="C85" s="52">
        <f>C83*0.96</f>
        <v>0</v>
      </c>
      <c r="D85" s="52">
        <f>D83*0.96</f>
        <v>3.84</v>
      </c>
    </row>
    <row r="86" spans="1:16" ht="13.15">
      <c r="B86" s="3" t="s">
        <v>513</v>
      </c>
      <c r="C86" s="796" t="s">
        <v>529</v>
      </c>
      <c r="D86" s="3" t="s">
        <v>516</v>
      </c>
      <c r="E86" s="3" t="s">
        <v>517</v>
      </c>
      <c r="F86" s="2" t="s">
        <v>530</v>
      </c>
      <c r="G86" s="3" t="s">
        <v>520</v>
      </c>
    </row>
    <row r="87" spans="1:16" ht="13.15">
      <c r="A87" s="28" t="s">
        <v>531</v>
      </c>
      <c r="B87" s="4">
        <f>SUM(B68:B81)</f>
        <v>1579</v>
      </c>
      <c r="C87" s="4">
        <f>SUM(E68:E81)</f>
        <v>2833</v>
      </c>
      <c r="D87" s="4">
        <f>SUM(F68:F81)</f>
        <v>33</v>
      </c>
      <c r="E87" s="4">
        <f>SUM(G68:G81)</f>
        <v>0</v>
      </c>
      <c r="F87" s="4">
        <f>SUM(H68:H81)</f>
        <v>2</v>
      </c>
      <c r="G87" s="4">
        <f>SUM(I68:I81)</f>
        <v>85</v>
      </c>
    </row>
    <row r="93" spans="1:16" ht="13.15">
      <c r="A93" s="2" t="s">
        <v>547</v>
      </c>
      <c r="B93" s="2" t="s">
        <v>548</v>
      </c>
      <c r="C93" s="2" t="s">
        <v>549</v>
      </c>
      <c r="D93" s="2" t="s">
        <v>541</v>
      </c>
      <c r="E93" s="2" t="s">
        <v>550</v>
      </c>
      <c r="F93" s="2" t="s">
        <v>551</v>
      </c>
      <c r="G93" s="3" t="s">
        <v>552</v>
      </c>
      <c r="H93" s="21" t="s">
        <v>553</v>
      </c>
      <c r="I93" s="21"/>
      <c r="J93" s="21"/>
    </row>
    <row r="94" spans="1:16" ht="13.15">
      <c r="A94" s="2" t="s">
        <v>554</v>
      </c>
      <c r="B94">
        <v>20</v>
      </c>
      <c r="C94">
        <f>B94*8.5</f>
        <v>170</v>
      </c>
      <c r="D94">
        <v>1</v>
      </c>
      <c r="E94">
        <f>D94*0.8</f>
        <v>0.8</v>
      </c>
      <c r="F94">
        <v>23</v>
      </c>
      <c r="G94">
        <f>F94*8.5</f>
        <v>195.5</v>
      </c>
    </row>
    <row r="95" spans="1:16" ht="13.15">
      <c r="A95" s="2" t="s">
        <v>555</v>
      </c>
      <c r="B95">
        <v>14</v>
      </c>
      <c r="C95">
        <f>B95*8.5</f>
        <v>119</v>
      </c>
      <c r="D95">
        <v>6</v>
      </c>
      <c r="E95">
        <f>D95*0.8</f>
        <v>4.8000000000000007</v>
      </c>
      <c r="F95">
        <v>27</v>
      </c>
      <c r="G95">
        <f>F95*8.5</f>
        <v>229.5</v>
      </c>
    </row>
    <row r="96" spans="1:16" ht="13.15">
      <c r="A96" s="2" t="s">
        <v>556</v>
      </c>
      <c r="B96">
        <v>8.5</v>
      </c>
      <c r="C96">
        <f>B96*8.5</f>
        <v>72.25</v>
      </c>
      <c r="D96">
        <v>3</v>
      </c>
      <c r="E96">
        <f>D96*0.8</f>
        <v>2.4000000000000004</v>
      </c>
      <c r="F96">
        <v>27</v>
      </c>
      <c r="G96">
        <f>F96*8.5</f>
        <v>229.5</v>
      </c>
    </row>
    <row r="97" spans="1:11" ht="13.15">
      <c r="A97" s="2" t="s">
        <v>557</v>
      </c>
      <c r="B97">
        <v>16.5</v>
      </c>
      <c r="C97">
        <f>B97*8.5</f>
        <v>140.25</v>
      </c>
      <c r="D97">
        <v>28</v>
      </c>
      <c r="E97">
        <f>D97*0.8</f>
        <v>22.400000000000002</v>
      </c>
      <c r="F97">
        <v>27</v>
      </c>
      <c r="G97">
        <f>F97*8.5</f>
        <v>229.5</v>
      </c>
    </row>
    <row r="98" spans="1:11" ht="13.15">
      <c r="A98" s="2" t="s">
        <v>558</v>
      </c>
      <c r="B98" s="2" t="s">
        <v>559</v>
      </c>
      <c r="C98" s="2" t="s">
        <v>550</v>
      </c>
      <c r="D98" s="3" t="s">
        <v>560</v>
      </c>
      <c r="E98" s="3" t="s">
        <v>553</v>
      </c>
      <c r="H98" s="22" t="s">
        <v>561</v>
      </c>
      <c r="K98" t="s">
        <v>562</v>
      </c>
    </row>
    <row r="99" spans="1:11" ht="13.15">
      <c r="A99" s="2" t="s">
        <v>554</v>
      </c>
      <c r="B99">
        <f>G94-C94</f>
        <v>25.5</v>
      </c>
      <c r="C99">
        <f>E94</f>
        <v>0.8</v>
      </c>
      <c r="D99">
        <f>G94-B99-C99</f>
        <v>169.2</v>
      </c>
      <c r="H99" s="22">
        <f>SUM(G94/100)*25</f>
        <v>48.875</v>
      </c>
      <c r="K99">
        <f>SUM(D99-H99)</f>
        <v>120.32499999999999</v>
      </c>
    </row>
    <row r="100" spans="1:11" ht="13.15">
      <c r="A100" s="2" t="s">
        <v>555</v>
      </c>
      <c r="B100">
        <f>G95-C95</f>
        <v>110.5</v>
      </c>
      <c r="C100">
        <f>E95</f>
        <v>4.8000000000000007</v>
      </c>
      <c r="D100">
        <f>G95-B100-C100</f>
        <v>114.2</v>
      </c>
      <c r="H100" s="22">
        <f>SUM(G95/100)*25</f>
        <v>57.375</v>
      </c>
      <c r="K100">
        <f>SUM(D100-H100)</f>
        <v>56.825000000000003</v>
      </c>
    </row>
    <row r="101" spans="1:11" ht="13.15">
      <c r="A101" s="2" t="s">
        <v>556</v>
      </c>
      <c r="B101">
        <f>G96-C96</f>
        <v>157.25</v>
      </c>
      <c r="C101">
        <f>E96</f>
        <v>2.4000000000000004</v>
      </c>
      <c r="D101">
        <f>G96-B101-C101</f>
        <v>69.849999999999994</v>
      </c>
      <c r="H101" s="22">
        <f>SUM(G96/100)*25</f>
        <v>57.375</v>
      </c>
      <c r="K101">
        <f>SUM(D101-H101)</f>
        <v>12.474999999999994</v>
      </c>
    </row>
    <row r="102" spans="1:11" ht="13.15">
      <c r="A102" s="2" t="s">
        <v>557</v>
      </c>
      <c r="B102">
        <f>G97-C97</f>
        <v>89.25</v>
      </c>
      <c r="C102">
        <f>E97</f>
        <v>22.400000000000002</v>
      </c>
      <c r="D102">
        <f>G97-B102-C102</f>
        <v>117.85</v>
      </c>
      <c r="H102" s="22">
        <f>SUM(G97/100)*25</f>
        <v>57.375</v>
      </c>
      <c r="K102">
        <f>SUM(D102-H102)</f>
        <v>60.474999999999994</v>
      </c>
    </row>
    <row r="105" spans="1:11" ht="13.15">
      <c r="A105" s="2" t="s">
        <v>563</v>
      </c>
      <c r="B105" s="2" t="s">
        <v>559</v>
      </c>
      <c r="C105" s="2" t="s">
        <v>550</v>
      </c>
      <c r="D105" s="3" t="s">
        <v>560</v>
      </c>
    </row>
    <row r="106" spans="1:11" ht="13.15">
      <c r="A106" s="2" t="s">
        <v>564</v>
      </c>
      <c r="B106">
        <f>382-(25*8.5)</f>
        <v>169.5</v>
      </c>
      <c r="C106">
        <f>4*0.8</f>
        <v>3.2</v>
      </c>
      <c r="D106">
        <v>382</v>
      </c>
    </row>
    <row r="107" spans="1:11" ht="13.15">
      <c r="A107" s="2" t="s">
        <v>565</v>
      </c>
      <c r="B107">
        <f>221-(11*8.5)</f>
        <v>127.5</v>
      </c>
      <c r="C107">
        <f>2*0.8</f>
        <v>1.6</v>
      </c>
      <c r="D107">
        <v>221</v>
      </c>
    </row>
    <row r="108" spans="1:11" ht="13.15">
      <c r="A108" s="2" t="s">
        <v>566</v>
      </c>
      <c r="B108">
        <f>B28</f>
        <v>1298</v>
      </c>
      <c r="C108">
        <f>H39</f>
        <v>0</v>
      </c>
      <c r="D108">
        <f>SUM(D106+D107)</f>
        <v>603</v>
      </c>
    </row>
    <row r="112" spans="1:11" ht="13.15">
      <c r="A112" s="801" t="s">
        <v>567</v>
      </c>
    </row>
    <row r="113" spans="1:4" ht="13.15">
      <c r="A113" s="3" t="s">
        <v>512</v>
      </c>
      <c r="B113" s="5" t="str">
        <f>J32</f>
        <v xml:space="preserve">Used (m²) </v>
      </c>
      <c r="C113" s="5" t="str">
        <f>L32</f>
        <v xml:space="preserve">Forecast (m²) </v>
      </c>
      <c r="D113" s="5" t="str">
        <f>O32</f>
        <v xml:space="preserve">Remaining (m²) </v>
      </c>
    </row>
    <row r="114" spans="1:4" ht="13.15">
      <c r="A114" s="3" t="s">
        <v>293</v>
      </c>
      <c r="B114" s="10">
        <f>J35</f>
        <v>935.04</v>
      </c>
      <c r="C114" s="10">
        <f>L35</f>
        <v>0</v>
      </c>
      <c r="D114" s="10">
        <f>O35</f>
        <v>352.32000000000016</v>
      </c>
    </row>
    <row r="115" spans="1:4" ht="13.15">
      <c r="A115" s="3" t="s">
        <v>290</v>
      </c>
      <c r="B115" s="10">
        <f>J25</f>
        <v>1058.24</v>
      </c>
      <c r="C115" s="10">
        <f>L25</f>
        <v>3.84</v>
      </c>
      <c r="D115" s="10">
        <f>O25</f>
        <v>273.2800000000002</v>
      </c>
    </row>
    <row r="116" spans="1:4" ht="13.15">
      <c r="A116" s="3" t="s">
        <v>312</v>
      </c>
      <c r="B116" s="10">
        <f>J36</f>
        <v>2165.44</v>
      </c>
      <c r="C116" s="10">
        <f>L36</f>
        <v>0</v>
      </c>
      <c r="D116" s="10">
        <f>O36</f>
        <v>920.31999999999971</v>
      </c>
    </row>
    <row r="117" spans="1:4" ht="13.15">
      <c r="A117" s="3" t="s">
        <v>336</v>
      </c>
      <c r="B117" s="10">
        <f>J41</f>
        <v>1346.56</v>
      </c>
      <c r="C117" s="10">
        <f>L41</f>
        <v>13.44</v>
      </c>
      <c r="D117" s="10">
        <f>O41</f>
        <v>874.88000000000011</v>
      </c>
    </row>
    <row r="118" spans="1:4" ht="13.15">
      <c r="A118" s="3" t="s">
        <v>339</v>
      </c>
      <c r="B118" s="10">
        <f>J42</f>
        <v>1082.8800000000001</v>
      </c>
      <c r="C118" s="10">
        <f>L42</f>
        <v>0</v>
      </c>
      <c r="D118" s="10">
        <f>O42</f>
        <v>494.07999999999993</v>
      </c>
    </row>
  </sheetData>
  <conditionalFormatting sqref="O22:O29 O31 O33:O42 P43:P48 Q49:Q63 P64:P82">
    <cfRule type="cellIs" dxfId="92" priority="4" stopIfTrue="1" operator="equal">
      <formula>"100"</formula>
    </cfRule>
    <cfRule type="cellIs" dxfId="91" priority="5" stopIfTrue="1" operator="equal">
      <formula>"0.1"</formula>
    </cfRule>
    <cfRule type="cellIs" dxfId="90" priority="6" stopIfTrue="1" operator="equal">
      <formula>"3"</formula>
    </cfRule>
  </conditionalFormatting>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20"/>
  <sheetViews>
    <sheetView topLeftCell="A101" zoomScale="80" zoomScaleNormal="80" workbookViewId="0">
      <selection activeCell="G113" sqref="G113"/>
    </sheetView>
  </sheetViews>
  <sheetFormatPr defaultColWidth="8.6640625" defaultRowHeight="10.15"/>
  <cols>
    <col min="1" max="1" width="12.1640625" bestFit="1" customWidth="1"/>
    <col min="2" max="2" width="13" bestFit="1" customWidth="1"/>
    <col min="3" max="3" width="15.6640625" bestFit="1" customWidth="1"/>
    <col min="4" max="4" width="19.6640625" bestFit="1" customWidth="1"/>
    <col min="5" max="5" width="20.5" bestFit="1" customWidth="1"/>
    <col min="6" max="6" width="25.1640625" bestFit="1" customWidth="1"/>
    <col min="7" max="7" width="13" bestFit="1" customWidth="1"/>
    <col min="8" max="9" width="15.6640625" bestFit="1" customWidth="1"/>
    <col min="10" max="10" width="12.1640625" customWidth="1"/>
    <col min="11" max="11" width="17.1640625" customWidth="1"/>
    <col min="12" max="12" width="17.6640625" customWidth="1"/>
    <col min="13" max="13" width="31.1640625" customWidth="1"/>
    <col min="14" max="14" width="27.1640625" customWidth="1"/>
  </cols>
  <sheetData>
    <row r="1" spans="1:12" ht="39.6">
      <c r="A1" s="796" t="s">
        <v>512</v>
      </c>
      <c r="B1" s="796" t="s">
        <v>568</v>
      </c>
      <c r="C1" s="796" t="s">
        <v>569</v>
      </c>
      <c r="D1" s="796" t="s">
        <v>570</v>
      </c>
      <c r="E1" s="796" t="s">
        <v>423</v>
      </c>
      <c r="F1" s="796" t="s">
        <v>571</v>
      </c>
      <c r="G1" s="796" t="s">
        <v>572</v>
      </c>
      <c r="H1" s="796"/>
      <c r="I1" s="796"/>
      <c r="J1" s="796"/>
      <c r="K1" s="1387" t="s">
        <v>573</v>
      </c>
      <c r="L1" s="1387"/>
    </row>
    <row r="2" spans="1:12" ht="12.75" customHeight="1">
      <c r="A2" s="796"/>
      <c r="B2" s="796"/>
      <c r="C2" s="796"/>
      <c r="D2" s="796"/>
      <c r="E2" s="796"/>
      <c r="F2" s="796"/>
      <c r="G2" s="796"/>
      <c r="H2" s="796"/>
      <c r="I2" s="796"/>
      <c r="J2" s="796"/>
      <c r="K2" s="796" t="s">
        <v>574</v>
      </c>
      <c r="L2" s="796" t="s">
        <v>575</v>
      </c>
    </row>
    <row r="3" spans="1:12" ht="13.15">
      <c r="A3" s="3" t="s">
        <v>274</v>
      </c>
      <c r="B3" s="6">
        <f>'Plant loading'!G4</f>
        <v>170.91200000000001</v>
      </c>
      <c r="C3" s="4">
        <f>SUM('Plant loading'!J4:J8)</f>
        <v>630</v>
      </c>
      <c r="D3" s="4">
        <f>SUM('Plant loading'!L4:L8)</f>
        <v>315</v>
      </c>
      <c r="E3" s="4">
        <v>630</v>
      </c>
      <c r="F3" s="4">
        <f>SUM(E3/2)</f>
        <v>315</v>
      </c>
      <c r="G3" s="4"/>
      <c r="K3" s="20">
        <f>SUM(M21:M26)</f>
        <v>680.40000000000009</v>
      </c>
      <c r="L3" s="20">
        <f>SUM(N21:N26)</f>
        <v>340.20000000000005</v>
      </c>
    </row>
    <row r="4" spans="1:12" ht="13.15">
      <c r="A4" s="3" t="s">
        <v>280</v>
      </c>
      <c r="B4" s="6">
        <f>'Plant loading'!G9</f>
        <v>386.95</v>
      </c>
      <c r="C4" s="4">
        <f>SUM('Plant loading'!J9:J16)</f>
        <v>1008</v>
      </c>
      <c r="D4" s="4">
        <f>SUM('Plant loading'!L9:L16)</f>
        <v>504</v>
      </c>
      <c r="E4" s="4">
        <v>1008</v>
      </c>
      <c r="F4" s="4">
        <f t="shared" ref="F4:F16" si="0">SUM(E4/2)</f>
        <v>504</v>
      </c>
      <c r="G4" s="4"/>
      <c r="K4" s="20">
        <f>SUM(M27:M34)</f>
        <v>1088.6400000000001</v>
      </c>
      <c r="L4" s="20">
        <f>SUM(N27:N34)</f>
        <v>544.32000000000005</v>
      </c>
    </row>
    <row r="5" spans="1:12" ht="13.15">
      <c r="A5" s="3" t="s">
        <v>287</v>
      </c>
      <c r="B5" s="6">
        <f>'Plant loading'!G17</f>
        <v>123.4425</v>
      </c>
      <c r="C5" s="6">
        <f>SUM('Plant loading'!J17:J21)</f>
        <v>630</v>
      </c>
      <c r="D5" s="6">
        <f>SUM('Plant loading'!L17:L21)</f>
        <v>315</v>
      </c>
      <c r="E5" s="4">
        <v>630</v>
      </c>
      <c r="F5" s="4">
        <f>SUM(E5/2)</f>
        <v>315</v>
      </c>
      <c r="G5" s="4"/>
      <c r="K5" s="20">
        <f>SUM(M35:M39)</f>
        <v>680.40000000000009</v>
      </c>
      <c r="L5" s="20">
        <f>SUM(N35:N39)</f>
        <v>340.20000000000005</v>
      </c>
    </row>
    <row r="6" spans="1:12" ht="13.15">
      <c r="A6" s="3" t="s">
        <v>290</v>
      </c>
      <c r="B6" s="6">
        <f>'Plant loading'!G22</f>
        <v>288.14150000000001</v>
      </c>
      <c r="C6" s="4">
        <f>SUM('Plant loading'!J22:J27)</f>
        <v>756</v>
      </c>
      <c r="D6" s="4">
        <f>SUM('Plant loading'!L22:L27)</f>
        <v>378</v>
      </c>
      <c r="E6" s="4">
        <v>756</v>
      </c>
      <c r="F6" s="4">
        <v>378</v>
      </c>
      <c r="G6" s="4"/>
      <c r="K6" s="20">
        <f>SUM(M40:M44)</f>
        <v>680.40000000000009</v>
      </c>
      <c r="L6" s="20">
        <f>SUM(N40:N44)</f>
        <v>340.20000000000005</v>
      </c>
    </row>
    <row r="7" spans="1:12" ht="13.15">
      <c r="A7" s="3" t="s">
        <v>293</v>
      </c>
      <c r="B7" s="6">
        <f>'Plant loading'!G28</f>
        <v>82.622</v>
      </c>
      <c r="C7" s="4">
        <f>SUM('Plant loading'!J28:J31)</f>
        <v>504</v>
      </c>
      <c r="D7" s="4">
        <f>SUM('Plant loading'!L28:L31)</f>
        <v>252</v>
      </c>
      <c r="E7" s="4">
        <v>600</v>
      </c>
      <c r="F7" s="4">
        <f t="shared" si="0"/>
        <v>300</v>
      </c>
      <c r="G7" s="4"/>
      <c r="K7" s="20">
        <f>SUM(M46:M49)</f>
        <v>544.32000000000005</v>
      </c>
      <c r="L7" s="20">
        <f>SUM(N46:N49)</f>
        <v>272.16000000000003</v>
      </c>
    </row>
    <row r="8" spans="1:12" ht="13.15">
      <c r="A8" s="3" t="s">
        <v>305</v>
      </c>
      <c r="B8" s="6">
        <f>'Plant loading'!G32</f>
        <v>274.84350000000001</v>
      </c>
      <c r="C8" s="6">
        <f>SUM('Plant loading'!J32:J38)</f>
        <v>936</v>
      </c>
      <c r="D8" s="6">
        <f>SUM('Plant loading'!L32:L38)</f>
        <v>465</v>
      </c>
      <c r="E8" s="4">
        <v>930</v>
      </c>
      <c r="F8" s="4">
        <v>465</v>
      </c>
      <c r="G8" s="4"/>
      <c r="K8" s="20">
        <f>SUM(M50:M54)</f>
        <v>680.40000000000009</v>
      </c>
      <c r="L8" s="20">
        <f>SUM(N50:N54)</f>
        <v>340.20000000000005</v>
      </c>
    </row>
    <row r="9" spans="1:12" ht="13.15">
      <c r="A9" s="796" t="s">
        <v>297</v>
      </c>
      <c r="B9" s="6">
        <f>'Plant loading'!G39</f>
        <v>285.08949999999999</v>
      </c>
      <c r="C9" s="4">
        <f>SUM('Plant loading'!J39:J46)</f>
        <v>966</v>
      </c>
      <c r="D9" s="4">
        <f>SUM('Plant loading'!L39:L46)</f>
        <v>462</v>
      </c>
      <c r="E9" s="4">
        <v>960</v>
      </c>
      <c r="F9" s="4">
        <v>462</v>
      </c>
      <c r="G9" s="4"/>
      <c r="H9" s="4"/>
      <c r="I9" s="4"/>
      <c r="J9" s="4"/>
      <c r="K9" s="20">
        <f>SUM(M55:M60)</f>
        <v>855.3599999999999</v>
      </c>
      <c r="L9" s="20">
        <f>SUM(N55:N60)</f>
        <v>427.67999999999995</v>
      </c>
    </row>
    <row r="10" spans="1:12" ht="13.15">
      <c r="A10" s="3" t="s">
        <v>312</v>
      </c>
      <c r="B10" s="6">
        <f>'Plant loading'!G47</f>
        <v>122.7885</v>
      </c>
      <c r="C10" s="4">
        <f>SUM('Plant loading'!J47:J55)</f>
        <v>798</v>
      </c>
      <c r="D10" s="4">
        <f>SUM('Plant loading'!L47:L55)</f>
        <v>398</v>
      </c>
      <c r="E10" s="4">
        <v>966</v>
      </c>
      <c r="F10" s="4">
        <f t="shared" si="0"/>
        <v>483</v>
      </c>
      <c r="G10" s="4"/>
      <c r="H10" s="4"/>
      <c r="I10" s="4"/>
      <c r="J10" s="4"/>
      <c r="K10" s="20">
        <f>SUM(M61:M69)</f>
        <v>861.84000000000015</v>
      </c>
      <c r="L10" s="20">
        <f>SUM(N61:N69)</f>
        <v>430.92000000000007</v>
      </c>
    </row>
    <row r="11" spans="1:12" ht="13.15">
      <c r="A11" s="3" t="s">
        <v>315</v>
      </c>
      <c r="B11" s="6">
        <f>'Plant loading'!G56</f>
        <v>333.976</v>
      </c>
      <c r="C11" s="4">
        <f>SUM('Plant loading'!J56:J63)</f>
        <v>1002</v>
      </c>
      <c r="D11" s="4">
        <f>SUM('Plant loading'!L56:L63)</f>
        <v>480</v>
      </c>
      <c r="E11" s="4">
        <v>956</v>
      </c>
      <c r="F11" s="4">
        <v>460</v>
      </c>
      <c r="G11" s="4"/>
      <c r="H11" s="4"/>
      <c r="I11" s="4"/>
      <c r="J11" s="4"/>
      <c r="K11" s="20">
        <f>SUM(M70:M75)</f>
        <v>855.3599999999999</v>
      </c>
      <c r="L11" s="20">
        <f>SUM(N70:N75)</f>
        <v>427.67999999999995</v>
      </c>
    </row>
    <row r="12" spans="1:12" ht="13.15">
      <c r="A12" s="3" t="s">
        <v>320</v>
      </c>
      <c r="B12" s="6">
        <f>'Plant loading'!G64</f>
        <v>389.18450000000001</v>
      </c>
      <c r="C12" s="4">
        <f>SUM('Plant loading'!J64:J71)</f>
        <v>978</v>
      </c>
      <c r="D12" s="4">
        <f>SUM('Plant loading'!L64:L71)</f>
        <v>480</v>
      </c>
      <c r="E12" s="4">
        <v>960</v>
      </c>
      <c r="F12" s="4">
        <v>481</v>
      </c>
      <c r="G12" s="4"/>
      <c r="K12" s="20">
        <f>SUM(M76:M81)</f>
        <v>952.56000000000006</v>
      </c>
      <c r="L12" s="20">
        <f>SUM(N76:N81)</f>
        <v>476.28000000000003</v>
      </c>
    </row>
    <row r="13" spans="1:12" ht="13.15">
      <c r="A13" s="3" t="s">
        <v>328</v>
      </c>
      <c r="B13" s="6">
        <f>'Plant loading'!G72</f>
        <v>278.22250000000003</v>
      </c>
      <c r="C13" s="4">
        <f>SUM('Plant loading'!J72:J79)</f>
        <v>978</v>
      </c>
      <c r="D13" s="4">
        <f>SUM('Plant loading'!L72:L79)</f>
        <v>465</v>
      </c>
      <c r="E13" s="4">
        <v>946</v>
      </c>
      <c r="F13" s="4">
        <v>468</v>
      </c>
      <c r="G13" s="4"/>
      <c r="K13" s="20">
        <f>SUM(M82:M87)</f>
        <v>822.96</v>
      </c>
      <c r="L13" s="20">
        <f>SUM(N82:N87)</f>
        <v>411.48</v>
      </c>
    </row>
    <row r="14" spans="1:12" ht="13.15">
      <c r="A14" s="3" t="s">
        <v>333</v>
      </c>
      <c r="B14" s="6">
        <f>'Plant loading'!G80</f>
        <v>106.384</v>
      </c>
      <c r="C14" s="4">
        <f>SUM('Plant loading'!J80:J84)</f>
        <v>630</v>
      </c>
      <c r="D14" s="4">
        <f>SUM('Plant loading'!L80:L84)</f>
        <v>315</v>
      </c>
      <c r="E14" s="4">
        <v>630</v>
      </c>
      <c r="F14" s="4">
        <f t="shared" si="0"/>
        <v>315</v>
      </c>
      <c r="G14" s="4"/>
      <c r="K14" s="20">
        <f>SUM(M88:M92)</f>
        <v>680.40000000000009</v>
      </c>
      <c r="L14" s="20">
        <f>SUM(N88:N92)</f>
        <v>340.20000000000005</v>
      </c>
    </row>
    <row r="15" spans="1:12" ht="13.15">
      <c r="A15" s="3" t="s">
        <v>336</v>
      </c>
      <c r="B15" s="6">
        <f>'Plant loading'!G85</f>
        <v>92.867999999999995</v>
      </c>
      <c r="C15" s="4">
        <f>SUM('Plant loading'!J85:J88)</f>
        <v>504</v>
      </c>
      <c r="D15" s="4">
        <f>SUM('Plant loading'!L85:L88)</f>
        <v>252</v>
      </c>
      <c r="E15" s="4">
        <v>600</v>
      </c>
      <c r="F15" s="4">
        <f t="shared" si="0"/>
        <v>300</v>
      </c>
      <c r="G15" s="4"/>
      <c r="K15" s="20">
        <f>SUM(M93:M96)</f>
        <v>544.32000000000005</v>
      </c>
      <c r="L15" s="20">
        <f>SUM(N93:N96)</f>
        <v>272.16000000000003</v>
      </c>
    </row>
    <row r="16" spans="1:12" ht="13.15">
      <c r="A16" s="3" t="s">
        <v>339</v>
      </c>
      <c r="B16" s="6">
        <f>'Plant loading'!G89</f>
        <v>109.8175</v>
      </c>
      <c r="C16" s="4">
        <f>SUM('Plant loading'!J89:J93)</f>
        <v>609</v>
      </c>
      <c r="D16" s="4">
        <f>SUM('Plant loading'!L89:L93)</f>
        <v>304</v>
      </c>
      <c r="E16" s="4">
        <v>609</v>
      </c>
      <c r="F16" s="4">
        <f t="shared" si="0"/>
        <v>304.5</v>
      </c>
      <c r="G16" s="4"/>
      <c r="K16" s="20">
        <f>SUM(M97:M101)</f>
        <v>657.72</v>
      </c>
      <c r="L16" s="20">
        <f>SUM(N97:N101)</f>
        <v>328.86</v>
      </c>
    </row>
    <row r="20" spans="1:14">
      <c r="G20" s="1386" t="s">
        <v>576</v>
      </c>
      <c r="H20" s="1386"/>
      <c r="I20" s="1386" t="s">
        <v>577</v>
      </c>
      <c r="J20" s="1386"/>
      <c r="K20" s="1386" t="s">
        <v>578</v>
      </c>
      <c r="L20" s="1386"/>
      <c r="M20" s="1386" t="s">
        <v>579</v>
      </c>
      <c r="N20" s="1386"/>
    </row>
    <row r="21" spans="1:14">
      <c r="A21" s="795" t="s">
        <v>512</v>
      </c>
      <c r="B21" s="795" t="s">
        <v>580</v>
      </c>
      <c r="C21" s="795" t="s">
        <v>581</v>
      </c>
      <c r="D21" s="795" t="s">
        <v>582</v>
      </c>
      <c r="E21" s="795" t="s">
        <v>583</v>
      </c>
      <c r="F21" s="795" t="s">
        <v>584</v>
      </c>
      <c r="G21" s="795" t="s">
        <v>574</v>
      </c>
      <c r="H21" s="795" t="s">
        <v>575</v>
      </c>
      <c r="I21" s="795" t="s">
        <v>574</v>
      </c>
      <c r="J21" s="795" t="s">
        <v>575</v>
      </c>
      <c r="K21" s="795" t="s">
        <v>574</v>
      </c>
      <c r="L21" s="795" t="s">
        <v>575</v>
      </c>
      <c r="M21" s="795" t="s">
        <v>574</v>
      </c>
      <c r="N21" s="795" t="s">
        <v>575</v>
      </c>
    </row>
    <row r="22" spans="1:14">
      <c r="A22" s="19" t="str">
        <f>'Plant loading'!A4</f>
        <v>Acton</v>
      </c>
      <c r="B22" s="17" t="str">
        <f>'Plant loading'!B4</f>
        <v>PEAAN</v>
      </c>
      <c r="C22" s="17" t="str">
        <f>'Plant loading'!C4</f>
        <v>eSure</v>
      </c>
      <c r="D22" s="17">
        <f>'Plant loading'!E4</f>
        <v>630</v>
      </c>
      <c r="E22" s="18">
        <f>'Plant loading'!H4</f>
        <v>36</v>
      </c>
      <c r="F22" s="17">
        <f>'Plant loading'!I4</f>
        <v>3.5</v>
      </c>
      <c r="G22" s="16">
        <f>D22/E22</f>
        <v>17.5</v>
      </c>
      <c r="H22" s="16">
        <f>D22/(E22/2)</f>
        <v>35</v>
      </c>
      <c r="I22" s="799">
        <f>IF(AND(C22="eSure",AND(G22&gt;=19.2,G22&lt;=44.8)),0.97,0.92)</f>
        <v>0.92</v>
      </c>
      <c r="J22" s="799">
        <f t="shared" ref="J22:J56" si="1">IF(AND(C22="eSure",AND(H22&gt;=19.2,H22&lt;=44.8)),0.97,0.92)</f>
        <v>0.97</v>
      </c>
      <c r="K22" s="16">
        <f>((D22*54.5)/1000)*(1+(1-I22))</f>
        <v>37.081800000000001</v>
      </c>
      <c r="L22" s="16">
        <f>((D22*54.5)/1000)*(1+(1-J22))</f>
        <v>35.365050000000004</v>
      </c>
      <c r="M22" s="16">
        <f>(E22*F22)*1.08</f>
        <v>136.08000000000001</v>
      </c>
      <c r="N22" s="16">
        <f>((E22/2)*F22)*1.08</f>
        <v>68.040000000000006</v>
      </c>
    </row>
    <row r="23" spans="1:14">
      <c r="A23" s="19" t="str">
        <f>'Plant loading'!A5</f>
        <v>Acton</v>
      </c>
      <c r="B23" s="17" t="str">
        <f>'Plant loading'!B5</f>
        <v>PEBAN</v>
      </c>
      <c r="C23" s="17" t="str">
        <f>'Plant loading'!C5</f>
        <v>eSure</v>
      </c>
      <c r="D23" s="17">
        <f>'Plant loading'!E5</f>
        <v>607</v>
      </c>
      <c r="E23" s="18">
        <f>'Plant loading'!H5</f>
        <v>36</v>
      </c>
      <c r="F23" s="17">
        <f>'Plant loading'!I5</f>
        <v>3.5</v>
      </c>
      <c r="G23" s="16">
        <f t="shared" ref="G23:G63" si="2">D23/E23</f>
        <v>16.861111111111111</v>
      </c>
      <c r="H23" s="16">
        <f t="shared" ref="H23:H63" si="3">D23/(E23/2)</f>
        <v>33.722222222222221</v>
      </c>
      <c r="I23" s="799">
        <f t="shared" ref="I23:I88" si="4">IF(AND(C23="eSure",AND(G23&gt;=19.2,G23&lt;=44.8)),0.97,0.92)</f>
        <v>0.92</v>
      </c>
      <c r="J23" s="799">
        <f t="shared" si="1"/>
        <v>0.97</v>
      </c>
      <c r="K23" s="16">
        <f t="shared" ref="K23:K88" si="5">((D23*54.5)/1000)*(1+(1-I23))</f>
        <v>35.728020000000001</v>
      </c>
      <c r="L23" s="16">
        <f t="shared" ref="L23:L88" si="6">((D23*54.5)/1000)*(1+(1-J23))</f>
        <v>34.073945000000002</v>
      </c>
      <c r="M23" s="16">
        <f t="shared" ref="M23:M88" si="7">(E23*F23)*1.08</f>
        <v>136.08000000000001</v>
      </c>
      <c r="N23" s="16">
        <f t="shared" ref="N23:N88" si="8">((E23/2)*F23)*1.08</f>
        <v>68.040000000000006</v>
      </c>
    </row>
    <row r="24" spans="1:14">
      <c r="A24" s="19" t="str">
        <f>'Plant loading'!A6</f>
        <v>Acton</v>
      </c>
      <c r="B24" s="17" t="str">
        <f>'Plant loading'!B6</f>
        <v>PECAN</v>
      </c>
      <c r="C24" s="17" t="str">
        <f>'Plant loading'!C6</f>
        <v>eSure</v>
      </c>
      <c r="D24" s="17">
        <f>'Plant loading'!E6</f>
        <v>476</v>
      </c>
      <c r="E24" s="18">
        <f>'Plant loading'!H6</f>
        <v>36</v>
      </c>
      <c r="F24" s="17">
        <f>'Plant loading'!I6</f>
        <v>3.5</v>
      </c>
      <c r="G24" s="16">
        <f t="shared" si="2"/>
        <v>13.222222222222221</v>
      </c>
      <c r="H24" s="16">
        <f t="shared" si="3"/>
        <v>26.444444444444443</v>
      </c>
      <c r="I24" s="799">
        <f t="shared" si="4"/>
        <v>0.92</v>
      </c>
      <c r="J24" s="799">
        <f t="shared" si="1"/>
        <v>0.97</v>
      </c>
      <c r="K24" s="16">
        <f t="shared" si="5"/>
        <v>28.017360000000004</v>
      </c>
      <c r="L24" s="16">
        <f t="shared" si="6"/>
        <v>26.72026</v>
      </c>
      <c r="M24" s="16">
        <f t="shared" si="7"/>
        <v>136.08000000000001</v>
      </c>
      <c r="N24" s="16">
        <f t="shared" si="8"/>
        <v>68.040000000000006</v>
      </c>
    </row>
    <row r="25" spans="1:14">
      <c r="A25" s="19" t="str">
        <f>'Plant loading'!A7</f>
        <v>Acton</v>
      </c>
      <c r="B25" s="17" t="str">
        <f>'Plant loading'!B7</f>
        <v>PEFAN</v>
      </c>
      <c r="C25" s="17" t="str">
        <f>'Plant loading'!C7</f>
        <v>eSure</v>
      </c>
      <c r="D25" s="17">
        <f>'Plant loading'!E7</f>
        <v>696</v>
      </c>
      <c r="E25" s="18">
        <f>'Plant loading'!H7</f>
        <v>36</v>
      </c>
      <c r="F25" s="17">
        <f>'Plant loading'!I7</f>
        <v>3.5</v>
      </c>
      <c r="G25" s="16">
        <f t="shared" si="2"/>
        <v>19.333333333333332</v>
      </c>
      <c r="H25" s="16">
        <f t="shared" si="3"/>
        <v>38.666666666666664</v>
      </c>
      <c r="I25" s="799">
        <f t="shared" si="4"/>
        <v>0.97</v>
      </c>
      <c r="J25" s="799">
        <f t="shared" si="1"/>
        <v>0.97</v>
      </c>
      <c r="K25" s="16">
        <f t="shared" si="5"/>
        <v>39.069960000000002</v>
      </c>
      <c r="L25" s="16">
        <f t="shared" si="6"/>
        <v>39.069960000000002</v>
      </c>
      <c r="M25" s="16">
        <f t="shared" si="7"/>
        <v>136.08000000000001</v>
      </c>
      <c r="N25" s="16">
        <f t="shared" si="8"/>
        <v>68.040000000000006</v>
      </c>
    </row>
    <row r="26" spans="1:14">
      <c r="A26" s="19" t="str">
        <f>'Plant loading'!A8</f>
        <v>Acton</v>
      </c>
      <c r="B26" s="17" t="str">
        <f>'Plant loading'!B8</f>
        <v>PEGAN</v>
      </c>
      <c r="C26" s="17" t="str">
        <f>'Plant loading'!C8</f>
        <v>eSure</v>
      </c>
      <c r="D26" s="17">
        <f>'Plant loading'!E8</f>
        <v>727</v>
      </c>
      <c r="E26" s="18">
        <f>'Plant loading'!H8</f>
        <v>36</v>
      </c>
      <c r="F26" s="17">
        <f>'Plant loading'!I8</f>
        <v>3.5</v>
      </c>
      <c r="G26" s="16">
        <f t="shared" si="2"/>
        <v>20.194444444444443</v>
      </c>
      <c r="H26" s="16">
        <f t="shared" si="3"/>
        <v>40.388888888888886</v>
      </c>
      <c r="I26" s="799">
        <f t="shared" si="4"/>
        <v>0.97</v>
      </c>
      <c r="J26" s="799">
        <f t="shared" si="1"/>
        <v>0.97</v>
      </c>
      <c r="K26" s="16">
        <f t="shared" si="5"/>
        <v>40.810144999999999</v>
      </c>
      <c r="L26" s="16">
        <f t="shared" si="6"/>
        <v>40.810144999999999</v>
      </c>
      <c r="M26" s="16">
        <f t="shared" si="7"/>
        <v>136.08000000000001</v>
      </c>
      <c r="N26" s="16">
        <f t="shared" si="8"/>
        <v>68.040000000000006</v>
      </c>
    </row>
    <row r="27" spans="1:14">
      <c r="A27" s="19" t="str">
        <f>'Plant loading'!A9</f>
        <v>Basingstoke</v>
      </c>
      <c r="B27" s="17" t="str">
        <f>'Plant loading'!B9</f>
        <v>PEABE</v>
      </c>
      <c r="C27" s="17" t="str">
        <f>'Plant loading'!C9</f>
        <v>eSure</v>
      </c>
      <c r="D27" s="17">
        <f>'Plant loading'!E9</f>
        <v>804</v>
      </c>
      <c r="E27" s="18">
        <f>'Plant loading'!H9</f>
        <v>36</v>
      </c>
      <c r="F27" s="17">
        <f>'Plant loading'!I9</f>
        <v>3.5</v>
      </c>
      <c r="G27" s="16">
        <f t="shared" si="2"/>
        <v>22.333333333333332</v>
      </c>
      <c r="H27" s="16">
        <f t="shared" si="3"/>
        <v>44.666666666666664</v>
      </c>
      <c r="I27" s="799">
        <f t="shared" si="4"/>
        <v>0.97</v>
      </c>
      <c r="J27" s="799">
        <f t="shared" si="1"/>
        <v>0.97</v>
      </c>
      <c r="K27" s="16">
        <f t="shared" si="5"/>
        <v>45.132539999999999</v>
      </c>
      <c r="L27" s="16">
        <f t="shared" si="6"/>
        <v>45.132539999999999</v>
      </c>
      <c r="M27" s="16">
        <f t="shared" si="7"/>
        <v>136.08000000000001</v>
      </c>
      <c r="N27" s="16">
        <f t="shared" si="8"/>
        <v>68.040000000000006</v>
      </c>
    </row>
    <row r="28" spans="1:14">
      <c r="A28" s="19" t="str">
        <f>'Plant loading'!A10</f>
        <v>Basingstoke</v>
      </c>
      <c r="B28" s="17" t="str">
        <f>'Plant loading'!B10</f>
        <v>PEBBE</v>
      </c>
      <c r="C28" s="17" t="str">
        <f>'Plant loading'!C10</f>
        <v>eSure</v>
      </c>
      <c r="D28" s="17">
        <f>'Plant loading'!E10</f>
        <v>912</v>
      </c>
      <c r="E28" s="18">
        <f>'Plant loading'!H10</f>
        <v>36</v>
      </c>
      <c r="F28" s="17">
        <f>'Plant loading'!I10</f>
        <v>3.5</v>
      </c>
      <c r="G28" s="16">
        <f t="shared" si="2"/>
        <v>25.333333333333332</v>
      </c>
      <c r="H28" s="16">
        <f t="shared" si="3"/>
        <v>50.666666666666664</v>
      </c>
      <c r="I28" s="799">
        <f t="shared" si="4"/>
        <v>0.97</v>
      </c>
      <c r="J28" s="799">
        <f t="shared" si="1"/>
        <v>0.92</v>
      </c>
      <c r="K28" s="16">
        <f t="shared" si="5"/>
        <v>51.195120000000003</v>
      </c>
      <c r="L28" s="16">
        <f t="shared" si="6"/>
        <v>53.680320000000002</v>
      </c>
      <c r="M28" s="16">
        <f t="shared" si="7"/>
        <v>136.08000000000001</v>
      </c>
      <c r="N28" s="16">
        <f t="shared" si="8"/>
        <v>68.040000000000006</v>
      </c>
    </row>
    <row r="29" spans="1:14">
      <c r="A29" s="19" t="str">
        <f>'Plant loading'!A11</f>
        <v>Basingstoke</v>
      </c>
      <c r="B29" s="17" t="str">
        <f>'Plant loading'!B11</f>
        <v>PECBE</v>
      </c>
      <c r="C29" s="17" t="str">
        <f>'Plant loading'!C11</f>
        <v>eSure</v>
      </c>
      <c r="D29" s="17">
        <f>'Plant loading'!E11</f>
        <v>858</v>
      </c>
      <c r="E29" s="18">
        <f>'Plant loading'!H11</f>
        <v>36</v>
      </c>
      <c r="F29" s="17">
        <f>'Plant loading'!I11</f>
        <v>3.5</v>
      </c>
      <c r="G29" s="16">
        <f t="shared" si="2"/>
        <v>23.833333333333332</v>
      </c>
      <c r="H29" s="16">
        <f t="shared" si="3"/>
        <v>47.666666666666664</v>
      </c>
      <c r="I29" s="799">
        <f t="shared" si="4"/>
        <v>0.97</v>
      </c>
      <c r="J29" s="799">
        <f t="shared" si="1"/>
        <v>0.92</v>
      </c>
      <c r="K29" s="16">
        <f t="shared" si="5"/>
        <v>48.163830000000004</v>
      </c>
      <c r="L29" s="16">
        <f t="shared" si="6"/>
        <v>50.501880000000007</v>
      </c>
      <c r="M29" s="16">
        <f t="shared" si="7"/>
        <v>136.08000000000001</v>
      </c>
      <c r="N29" s="16">
        <f t="shared" si="8"/>
        <v>68.040000000000006</v>
      </c>
    </row>
    <row r="30" spans="1:14">
      <c r="A30" s="19" t="str">
        <f>'Plant loading'!A12</f>
        <v>Basingstoke</v>
      </c>
      <c r="B30" s="17" t="str">
        <f>'Plant loading'!B12</f>
        <v>PEEBE</v>
      </c>
      <c r="C30" s="17" t="str">
        <f>'Plant loading'!C12</f>
        <v>eSure</v>
      </c>
      <c r="D30" s="17">
        <f>'Plant loading'!E12</f>
        <v>890</v>
      </c>
      <c r="E30" s="18">
        <f>'Plant loading'!H12</f>
        <v>36</v>
      </c>
      <c r="F30" s="17">
        <f>'Plant loading'!I12</f>
        <v>3.5</v>
      </c>
      <c r="G30" s="16">
        <f t="shared" si="2"/>
        <v>24.722222222222221</v>
      </c>
      <c r="H30" s="16">
        <f t="shared" si="3"/>
        <v>49.444444444444443</v>
      </c>
      <c r="I30" s="799">
        <f t="shared" si="4"/>
        <v>0.97</v>
      </c>
      <c r="J30" s="799">
        <f t="shared" si="1"/>
        <v>0.92</v>
      </c>
      <c r="K30" s="16">
        <f t="shared" si="5"/>
        <v>49.960150000000006</v>
      </c>
      <c r="L30" s="16">
        <f t="shared" si="6"/>
        <v>52.385400000000004</v>
      </c>
      <c r="M30" s="16">
        <f t="shared" si="7"/>
        <v>136.08000000000001</v>
      </c>
      <c r="N30" s="16">
        <f t="shared" si="8"/>
        <v>68.040000000000006</v>
      </c>
    </row>
    <row r="31" spans="1:14">
      <c r="A31" s="19" t="str">
        <f>'Plant loading'!A13</f>
        <v>Basingstoke</v>
      </c>
      <c r="B31" s="17" t="str">
        <f>'Plant loading'!B13</f>
        <v>PEFBE</v>
      </c>
      <c r="C31" s="17" t="str">
        <f>'Plant loading'!C13</f>
        <v>eSure</v>
      </c>
      <c r="D31" s="17">
        <f>'Plant loading'!E13</f>
        <v>875</v>
      </c>
      <c r="E31" s="18">
        <f>'Plant loading'!H13</f>
        <v>36</v>
      </c>
      <c r="F31" s="17">
        <f>'Plant loading'!I13</f>
        <v>3.5</v>
      </c>
      <c r="G31" s="16">
        <f t="shared" si="2"/>
        <v>24.305555555555557</v>
      </c>
      <c r="H31" s="16">
        <f t="shared" si="3"/>
        <v>48.611111111111114</v>
      </c>
      <c r="I31" s="799">
        <f t="shared" si="4"/>
        <v>0.97</v>
      </c>
      <c r="J31" s="799">
        <f t="shared" si="1"/>
        <v>0.92</v>
      </c>
      <c r="K31" s="16">
        <f t="shared" si="5"/>
        <v>49.118124999999999</v>
      </c>
      <c r="L31" s="16">
        <f t="shared" si="6"/>
        <v>51.502500000000005</v>
      </c>
      <c r="M31" s="16">
        <f t="shared" si="7"/>
        <v>136.08000000000001</v>
      </c>
      <c r="N31" s="16">
        <f t="shared" si="8"/>
        <v>68.040000000000006</v>
      </c>
    </row>
    <row r="32" spans="1:14">
      <c r="A32" s="19" t="str">
        <f>'Plant loading'!A14</f>
        <v>Basingstoke</v>
      </c>
      <c r="B32" s="17" t="str">
        <f>'Plant loading'!B14</f>
        <v>PEGBE</v>
      </c>
      <c r="C32" s="17" t="str">
        <f>'Plant loading'!C14</f>
        <v>eSure</v>
      </c>
      <c r="D32" s="17">
        <f>'Plant loading'!E14</f>
        <v>954</v>
      </c>
      <c r="E32" s="18">
        <f>'Plant loading'!H14</f>
        <v>36</v>
      </c>
      <c r="F32" s="17">
        <f>'Plant loading'!I14</f>
        <v>3.5</v>
      </c>
      <c r="G32" s="16">
        <f>D32/E32</f>
        <v>26.5</v>
      </c>
      <c r="H32" s="16">
        <f>D32/(E32/2)</f>
        <v>53</v>
      </c>
      <c r="I32" s="799">
        <f>IF(AND(C32="eSure",AND(G32&gt;=19.2,G32&lt;=44.8)),0.97,0.92)</f>
        <v>0.97</v>
      </c>
      <c r="J32" s="799">
        <f>IF(AND(C32="eSure",AND(H32&gt;=19.2,H32&lt;=44.8)),0.97,0.92)</f>
        <v>0.92</v>
      </c>
      <c r="K32" s="16">
        <f>((D32*54.5)/1000)*(1+(1-I32))</f>
        <v>53.552790000000002</v>
      </c>
      <c r="L32" s="16">
        <f>((D32*54.5)/1000)*(1+(1-J32))</f>
        <v>56.152440000000006</v>
      </c>
      <c r="M32" s="16">
        <f>(E32*F32)*1.08</f>
        <v>136.08000000000001</v>
      </c>
      <c r="N32" s="16">
        <f>((E32/2)*F32)*1.08</f>
        <v>68.040000000000006</v>
      </c>
    </row>
    <row r="33" spans="1:14">
      <c r="A33" s="19" t="str">
        <f>'Plant loading'!A15</f>
        <v>Basingstoke</v>
      </c>
      <c r="B33" s="17" t="str">
        <f>'Plant loading'!B15</f>
        <v>PEHBE</v>
      </c>
      <c r="C33" s="17" t="str">
        <f>'Plant loading'!C15</f>
        <v>eSure</v>
      </c>
      <c r="D33" s="17">
        <f>'Plant loading'!E15</f>
        <v>874</v>
      </c>
      <c r="E33" s="18">
        <f>'Plant loading'!H15</f>
        <v>36</v>
      </c>
      <c r="F33" s="17">
        <f>'Plant loading'!I15</f>
        <v>3.5</v>
      </c>
      <c r="G33" s="16">
        <f t="shared" si="2"/>
        <v>24.277777777777779</v>
      </c>
      <c r="H33" s="16">
        <f t="shared" si="3"/>
        <v>48.555555555555557</v>
      </c>
      <c r="I33" s="799">
        <f t="shared" si="4"/>
        <v>0.97</v>
      </c>
      <c r="J33" s="799">
        <f t="shared" si="1"/>
        <v>0.92</v>
      </c>
      <c r="K33" s="16">
        <f t="shared" si="5"/>
        <v>49.061990000000002</v>
      </c>
      <c r="L33" s="16">
        <f t="shared" si="6"/>
        <v>51.443640000000009</v>
      </c>
      <c r="M33" s="16">
        <f t="shared" si="7"/>
        <v>136.08000000000001</v>
      </c>
      <c r="N33" s="16">
        <f t="shared" si="8"/>
        <v>68.040000000000006</v>
      </c>
    </row>
    <row r="34" spans="1:14">
      <c r="A34" s="19" t="str">
        <f>'Plant loading'!A16</f>
        <v>Basingstoke</v>
      </c>
      <c r="B34" s="17" t="str">
        <f>'Plant loading'!B16</f>
        <v>PEIBE</v>
      </c>
      <c r="C34" s="17" t="str">
        <f>'Plant loading'!C16</f>
        <v>eSure</v>
      </c>
      <c r="D34" s="17">
        <f>'Plant loading'!E16</f>
        <v>933</v>
      </c>
      <c r="E34" s="18">
        <f>'Plant loading'!H16</f>
        <v>36</v>
      </c>
      <c r="F34" s="17">
        <f>'Plant loading'!I16</f>
        <v>3.5</v>
      </c>
      <c r="G34" s="16">
        <f t="shared" si="2"/>
        <v>25.916666666666668</v>
      </c>
      <c r="H34" s="16">
        <f t="shared" si="3"/>
        <v>51.833333333333336</v>
      </c>
      <c r="I34" s="799">
        <f t="shared" si="4"/>
        <v>0.97</v>
      </c>
      <c r="J34" s="799">
        <f t="shared" si="1"/>
        <v>0.92</v>
      </c>
      <c r="K34" s="16">
        <f t="shared" si="5"/>
        <v>52.373955000000002</v>
      </c>
      <c r="L34" s="16">
        <f t="shared" si="6"/>
        <v>54.916380000000004</v>
      </c>
      <c r="M34" s="16">
        <f t="shared" si="7"/>
        <v>136.08000000000001</v>
      </c>
      <c r="N34" s="16">
        <f t="shared" si="8"/>
        <v>68.040000000000006</v>
      </c>
    </row>
    <row r="35" spans="1:14">
      <c r="A35" s="19" t="str">
        <f>'Plant loading'!A17</f>
        <v>Crawley</v>
      </c>
      <c r="B35" s="17" t="str">
        <f>'Plant loading'!B17</f>
        <v>PEACY</v>
      </c>
      <c r="C35" s="17" t="str">
        <f>'Plant loading'!C17</f>
        <v>eSure</v>
      </c>
      <c r="D35" s="17">
        <f>'Plant loading'!E17</f>
        <v>363</v>
      </c>
      <c r="E35" s="18">
        <f>'Plant loading'!H17</f>
        <v>36</v>
      </c>
      <c r="F35" s="17">
        <f>'Plant loading'!I17</f>
        <v>3.5</v>
      </c>
      <c r="G35" s="16">
        <f t="shared" si="2"/>
        <v>10.083333333333334</v>
      </c>
      <c r="H35" s="16">
        <f t="shared" si="3"/>
        <v>20.166666666666668</v>
      </c>
      <c r="I35" s="799">
        <f t="shared" si="4"/>
        <v>0.92</v>
      </c>
      <c r="J35" s="799">
        <f t="shared" si="1"/>
        <v>0.97</v>
      </c>
      <c r="K35" s="16">
        <f t="shared" si="5"/>
        <v>21.36618</v>
      </c>
      <c r="L35" s="16">
        <f t="shared" si="6"/>
        <v>20.377005</v>
      </c>
      <c r="M35" s="16">
        <f t="shared" si="7"/>
        <v>136.08000000000001</v>
      </c>
      <c r="N35" s="16">
        <f t="shared" si="8"/>
        <v>68.040000000000006</v>
      </c>
    </row>
    <row r="36" spans="1:14">
      <c r="A36" s="19" t="str">
        <f>'Plant loading'!A18</f>
        <v>Crawley</v>
      </c>
      <c r="B36" s="17" t="str">
        <f>'Plant loading'!B18</f>
        <v>PEBCY</v>
      </c>
      <c r="C36" s="17" t="str">
        <f>'Plant loading'!C18</f>
        <v>eSure</v>
      </c>
      <c r="D36" s="17">
        <f>'Plant loading'!E18</f>
        <v>482</v>
      </c>
      <c r="E36" s="18">
        <f>'Plant loading'!H18</f>
        <v>36</v>
      </c>
      <c r="F36" s="17">
        <f>'Plant loading'!I18</f>
        <v>3.5</v>
      </c>
      <c r="G36" s="16">
        <f t="shared" si="2"/>
        <v>13.388888888888889</v>
      </c>
      <c r="H36" s="16">
        <f t="shared" si="3"/>
        <v>26.777777777777779</v>
      </c>
      <c r="I36" s="799">
        <f t="shared" si="4"/>
        <v>0.92</v>
      </c>
      <c r="J36" s="799">
        <f t="shared" si="1"/>
        <v>0.97</v>
      </c>
      <c r="K36" s="16">
        <f t="shared" si="5"/>
        <v>28.370519999999999</v>
      </c>
      <c r="L36" s="16">
        <f t="shared" si="6"/>
        <v>27.05707</v>
      </c>
      <c r="M36" s="16">
        <f t="shared" si="7"/>
        <v>136.08000000000001</v>
      </c>
      <c r="N36" s="16">
        <f t="shared" si="8"/>
        <v>68.040000000000006</v>
      </c>
    </row>
    <row r="37" spans="1:14">
      <c r="A37" s="19" t="str">
        <f>'Plant loading'!A19</f>
        <v>Crawley</v>
      </c>
      <c r="B37" s="17" t="str">
        <f>'Plant loading'!B19</f>
        <v>PECCY</v>
      </c>
      <c r="C37" s="17" t="str">
        <f>'Plant loading'!C19</f>
        <v>eSure</v>
      </c>
      <c r="D37" s="17">
        <f>'Plant loading'!E19</f>
        <v>618</v>
      </c>
      <c r="E37" s="18">
        <f>'Plant loading'!H19</f>
        <v>36</v>
      </c>
      <c r="F37" s="17">
        <f>'Plant loading'!I19</f>
        <v>3.5</v>
      </c>
      <c r="G37" s="16">
        <f t="shared" si="2"/>
        <v>17.166666666666668</v>
      </c>
      <c r="H37" s="16">
        <f t="shared" si="3"/>
        <v>34.333333333333336</v>
      </c>
      <c r="I37" s="799">
        <f t="shared" si="4"/>
        <v>0.92</v>
      </c>
      <c r="J37" s="799">
        <f t="shared" si="1"/>
        <v>0.97</v>
      </c>
      <c r="K37" s="16">
        <f t="shared" si="5"/>
        <v>36.375479999999996</v>
      </c>
      <c r="L37" s="16">
        <f t="shared" si="6"/>
        <v>34.691429999999997</v>
      </c>
      <c r="M37" s="16">
        <f t="shared" si="7"/>
        <v>136.08000000000001</v>
      </c>
      <c r="N37" s="16">
        <f t="shared" si="8"/>
        <v>68.040000000000006</v>
      </c>
    </row>
    <row r="38" spans="1:14">
      <c r="A38" s="19" t="str">
        <f>'Plant loading'!A20</f>
        <v>Crawley</v>
      </c>
      <c r="B38" s="17" t="str">
        <f>'Plant loading'!B20</f>
        <v>PEDCY</v>
      </c>
      <c r="C38" s="17" t="str">
        <f>'Plant loading'!C20</f>
        <v>eSure</v>
      </c>
      <c r="D38" s="17">
        <f>'Plant loading'!E20</f>
        <v>481</v>
      </c>
      <c r="E38" s="18">
        <f>'Plant loading'!H20</f>
        <v>36</v>
      </c>
      <c r="F38" s="17">
        <f>'Plant loading'!I20</f>
        <v>3.5</v>
      </c>
      <c r="G38" s="16">
        <f t="shared" si="2"/>
        <v>13.361111111111111</v>
      </c>
      <c r="H38" s="16">
        <f t="shared" si="3"/>
        <v>26.722222222222221</v>
      </c>
      <c r="I38" s="799">
        <f t="shared" si="4"/>
        <v>0.92</v>
      </c>
      <c r="J38" s="799">
        <f t="shared" si="1"/>
        <v>0.97</v>
      </c>
      <c r="K38" s="16">
        <f t="shared" si="5"/>
        <v>28.311660000000003</v>
      </c>
      <c r="L38" s="16">
        <f t="shared" si="6"/>
        <v>27.000935000000002</v>
      </c>
      <c r="M38" s="16">
        <f t="shared" si="7"/>
        <v>136.08000000000001</v>
      </c>
      <c r="N38" s="16">
        <f t="shared" si="8"/>
        <v>68.040000000000006</v>
      </c>
    </row>
    <row r="39" spans="1:14">
      <c r="A39" s="19" t="str">
        <f>'Plant loading'!A21</f>
        <v>Crawley</v>
      </c>
      <c r="B39" s="17" t="str">
        <f>'Plant loading'!B21</f>
        <v>PEECY</v>
      </c>
      <c r="C39" s="17" t="str">
        <f>'Plant loading'!C21</f>
        <v>eSure</v>
      </c>
      <c r="D39" s="17">
        <f>'Plant loading'!E21</f>
        <v>321</v>
      </c>
      <c r="E39" s="18">
        <f>'Plant loading'!H21</f>
        <v>36</v>
      </c>
      <c r="F39" s="17">
        <f>'Plant loading'!I21</f>
        <v>3.5</v>
      </c>
      <c r="G39" s="16">
        <f t="shared" si="2"/>
        <v>8.9166666666666661</v>
      </c>
      <c r="H39" s="16">
        <f t="shared" si="3"/>
        <v>17.833333333333332</v>
      </c>
      <c r="I39" s="799">
        <f t="shared" si="4"/>
        <v>0.92</v>
      </c>
      <c r="J39" s="799">
        <f t="shared" si="1"/>
        <v>0.92</v>
      </c>
      <c r="K39" s="16">
        <f t="shared" si="5"/>
        <v>18.89406</v>
      </c>
      <c r="L39" s="16">
        <f t="shared" si="6"/>
        <v>18.89406</v>
      </c>
      <c r="M39" s="16">
        <f t="shared" si="7"/>
        <v>136.08000000000001</v>
      </c>
      <c r="N39" s="16">
        <f t="shared" si="8"/>
        <v>68.040000000000006</v>
      </c>
    </row>
    <row r="40" spans="1:14">
      <c r="A40" s="19" t="str">
        <f>'Plant loading'!A22</f>
        <v>Edinburgh</v>
      </c>
      <c r="B40" s="17" t="str">
        <f>'Plant loading'!B22</f>
        <v>PECEH</v>
      </c>
      <c r="C40" s="17" t="str">
        <f>'Plant loading'!C22</f>
        <v>eSure</v>
      </c>
      <c r="D40" s="17">
        <f>'Plant loading'!E22</f>
        <v>834</v>
      </c>
      <c r="E40" s="18">
        <f>'Plant loading'!H22</f>
        <v>36</v>
      </c>
      <c r="F40" s="17">
        <f>'Plant loading'!I22</f>
        <v>3.5</v>
      </c>
      <c r="G40" s="16">
        <f t="shared" si="2"/>
        <v>23.166666666666668</v>
      </c>
      <c r="H40" s="16">
        <f t="shared" si="3"/>
        <v>46.333333333333336</v>
      </c>
      <c r="I40" s="799">
        <f t="shared" si="4"/>
        <v>0.97</v>
      </c>
      <c r="J40" s="799">
        <f t="shared" si="1"/>
        <v>0.92</v>
      </c>
      <c r="K40" s="16">
        <f t="shared" si="5"/>
        <v>46.816590000000005</v>
      </c>
      <c r="L40" s="16">
        <f t="shared" si="6"/>
        <v>49.089240000000004</v>
      </c>
      <c r="M40" s="16">
        <f t="shared" si="7"/>
        <v>136.08000000000001</v>
      </c>
      <c r="N40" s="16">
        <f t="shared" si="8"/>
        <v>68.040000000000006</v>
      </c>
    </row>
    <row r="41" spans="1:14">
      <c r="A41" s="19" t="str">
        <f>'Plant loading'!A23</f>
        <v>Edinburgh</v>
      </c>
      <c r="B41" s="17" t="str">
        <f>'Plant loading'!B23</f>
        <v>PEDEH</v>
      </c>
      <c r="C41" s="17" t="str">
        <f>'Plant loading'!C23</f>
        <v>eSure</v>
      </c>
      <c r="D41" s="17">
        <f>'Plant loading'!E23</f>
        <v>920</v>
      </c>
      <c r="E41" s="18">
        <f>'Plant loading'!H23</f>
        <v>36</v>
      </c>
      <c r="F41" s="17">
        <f>'Plant loading'!I23</f>
        <v>3.5</v>
      </c>
      <c r="G41" s="16">
        <f t="shared" si="2"/>
        <v>25.555555555555557</v>
      </c>
      <c r="H41" s="16">
        <f t="shared" si="3"/>
        <v>51.111111111111114</v>
      </c>
      <c r="I41" s="799">
        <f t="shared" si="4"/>
        <v>0.97</v>
      </c>
      <c r="J41" s="799">
        <f t="shared" si="1"/>
        <v>0.92</v>
      </c>
      <c r="K41" s="16">
        <f t="shared" si="5"/>
        <v>51.644200000000005</v>
      </c>
      <c r="L41" s="16">
        <f t="shared" si="6"/>
        <v>54.151200000000003</v>
      </c>
      <c r="M41" s="16">
        <f t="shared" si="7"/>
        <v>136.08000000000001</v>
      </c>
      <c r="N41" s="16">
        <f t="shared" si="8"/>
        <v>68.040000000000006</v>
      </c>
    </row>
    <row r="42" spans="1:14">
      <c r="A42" s="19" t="str">
        <f>'Plant loading'!A24</f>
        <v>Edinburgh</v>
      </c>
      <c r="B42" s="17" t="str">
        <f>'Plant loading'!B24</f>
        <v>PEEEH</v>
      </c>
      <c r="C42" s="17" t="str">
        <f>'Plant loading'!C24</f>
        <v>eSure</v>
      </c>
      <c r="D42" s="17">
        <f>'Plant loading'!E24</f>
        <v>880</v>
      </c>
      <c r="E42" s="18">
        <f>'Plant loading'!H24</f>
        <v>36</v>
      </c>
      <c r="F42" s="17">
        <f>'Plant loading'!I24</f>
        <v>3.5</v>
      </c>
      <c r="G42" s="16">
        <f t="shared" si="2"/>
        <v>24.444444444444443</v>
      </c>
      <c r="H42" s="16">
        <f t="shared" si="3"/>
        <v>48.888888888888886</v>
      </c>
      <c r="I42" s="799">
        <f t="shared" si="4"/>
        <v>0.97</v>
      </c>
      <c r="J42" s="799">
        <f t="shared" si="1"/>
        <v>0.92</v>
      </c>
      <c r="K42" s="16">
        <f t="shared" si="5"/>
        <v>49.398800000000001</v>
      </c>
      <c r="L42" s="16">
        <f t="shared" si="6"/>
        <v>51.796800000000005</v>
      </c>
      <c r="M42" s="16">
        <f t="shared" si="7"/>
        <v>136.08000000000001</v>
      </c>
      <c r="N42" s="16">
        <f t="shared" si="8"/>
        <v>68.040000000000006</v>
      </c>
    </row>
    <row r="43" spans="1:14">
      <c r="A43" s="19" t="str">
        <f>'Plant loading'!A25</f>
        <v>Edinburgh</v>
      </c>
      <c r="B43" s="17" t="str">
        <f>'Plant loading'!B25</f>
        <v>PEFEH</v>
      </c>
      <c r="C43" s="17" t="str">
        <f>'Plant loading'!C25</f>
        <v>eSure</v>
      </c>
      <c r="D43" s="17">
        <f>'Plant loading'!E25</f>
        <v>836</v>
      </c>
      <c r="E43" s="18">
        <f>'Plant loading'!H25</f>
        <v>36</v>
      </c>
      <c r="F43" s="17">
        <f>'Plant loading'!I25</f>
        <v>3.5</v>
      </c>
      <c r="G43" s="16">
        <f t="shared" si="2"/>
        <v>23.222222222222221</v>
      </c>
      <c r="H43" s="16">
        <f t="shared" si="3"/>
        <v>46.444444444444443</v>
      </c>
      <c r="I43" s="799">
        <f t="shared" si="4"/>
        <v>0.97</v>
      </c>
      <c r="J43" s="799">
        <f t="shared" si="1"/>
        <v>0.92</v>
      </c>
      <c r="K43" s="16">
        <f t="shared" si="5"/>
        <v>46.92886</v>
      </c>
      <c r="L43" s="16">
        <f t="shared" si="6"/>
        <v>49.206960000000002</v>
      </c>
      <c r="M43" s="16">
        <f t="shared" si="7"/>
        <v>136.08000000000001</v>
      </c>
      <c r="N43" s="16">
        <f t="shared" si="8"/>
        <v>68.040000000000006</v>
      </c>
    </row>
    <row r="44" spans="1:14">
      <c r="A44" s="19" t="str">
        <f>'Plant loading'!A26</f>
        <v>Edinburgh</v>
      </c>
      <c r="B44" s="17" t="str">
        <f>'Plant loading'!B26</f>
        <v>PEGEH</v>
      </c>
      <c r="C44" s="17" t="str">
        <f>'Plant loading'!C26</f>
        <v>eSure</v>
      </c>
      <c r="D44" s="17">
        <f>'Plant loading'!E26</f>
        <v>930</v>
      </c>
      <c r="E44" s="18">
        <f>'Plant loading'!H26</f>
        <v>36</v>
      </c>
      <c r="F44" s="17">
        <f>'Plant loading'!I26</f>
        <v>3.5</v>
      </c>
      <c r="G44" s="16">
        <f t="shared" si="2"/>
        <v>25.833333333333332</v>
      </c>
      <c r="H44" s="16">
        <f t="shared" si="3"/>
        <v>51.666666666666664</v>
      </c>
      <c r="I44" s="799">
        <f t="shared" si="4"/>
        <v>0.97</v>
      </c>
      <c r="J44" s="799">
        <f t="shared" si="1"/>
        <v>0.92</v>
      </c>
      <c r="K44" s="16">
        <f t="shared" si="5"/>
        <v>52.205550000000002</v>
      </c>
      <c r="L44" s="16">
        <f t="shared" si="6"/>
        <v>54.73980000000001</v>
      </c>
      <c r="M44" s="16">
        <f t="shared" si="7"/>
        <v>136.08000000000001</v>
      </c>
      <c r="N44" s="16">
        <f t="shared" si="8"/>
        <v>68.040000000000006</v>
      </c>
    </row>
    <row r="45" spans="1:14">
      <c r="A45" s="19" t="s">
        <v>76</v>
      </c>
      <c r="B45" s="17" t="str">
        <f>'Plant loading'!B27</f>
        <v>PEHEH</v>
      </c>
      <c r="C45" s="17" t="str">
        <f>'Plant loading'!C27</f>
        <v>eSure</v>
      </c>
      <c r="D45" s="17">
        <f>'Plant loading'!E27</f>
        <v>887</v>
      </c>
      <c r="E45" s="18">
        <f>'Plant loading'!H27</f>
        <v>36</v>
      </c>
      <c r="F45" s="17">
        <f>'Plant loading'!I27</f>
        <v>3.5</v>
      </c>
      <c r="G45" s="16">
        <f t="shared" si="2"/>
        <v>24.638888888888889</v>
      </c>
      <c r="H45" s="16">
        <f t="shared" si="3"/>
        <v>49.277777777777779</v>
      </c>
      <c r="I45" s="799">
        <f t="shared" si="4"/>
        <v>0.97</v>
      </c>
      <c r="J45" s="799">
        <f t="shared" si="1"/>
        <v>0.92</v>
      </c>
      <c r="K45" s="16">
        <f>((D45*54.5)/1000)*(1+(1-I45))</f>
        <v>49.791745000000006</v>
      </c>
      <c r="L45" s="16">
        <f>((D45*54.5)/1000)*(1+(1-J45))</f>
        <v>52.20882000000001</v>
      </c>
      <c r="M45" s="16">
        <f>(E45*F45)*1.08</f>
        <v>136.08000000000001</v>
      </c>
      <c r="N45" s="16">
        <f>((E45/2)*F45)*1.08</f>
        <v>68.040000000000006</v>
      </c>
    </row>
    <row r="46" spans="1:14">
      <c r="A46" s="19" t="str">
        <f>'Plant loading'!A28</f>
        <v>Esher</v>
      </c>
      <c r="B46" s="17" t="str">
        <f>'Plant loading'!B28</f>
        <v>PEDER</v>
      </c>
      <c r="C46" s="17" t="str">
        <f>'Plant loading'!C28</f>
        <v>eSure</v>
      </c>
      <c r="D46" s="17">
        <f>'Plant loading'!E28</f>
        <v>424</v>
      </c>
      <c r="E46" s="18">
        <f>'Plant loading'!H28</f>
        <v>36</v>
      </c>
      <c r="F46" s="17">
        <f>'Plant loading'!I28</f>
        <v>3.5</v>
      </c>
      <c r="G46" s="16">
        <f t="shared" si="2"/>
        <v>11.777777777777779</v>
      </c>
      <c r="H46" s="16">
        <f t="shared" si="3"/>
        <v>23.555555555555557</v>
      </c>
      <c r="I46" s="799">
        <f t="shared" si="4"/>
        <v>0.92</v>
      </c>
      <c r="J46" s="799">
        <f t="shared" si="1"/>
        <v>0.97</v>
      </c>
      <c r="K46" s="16">
        <f t="shared" si="5"/>
        <v>24.956640000000004</v>
      </c>
      <c r="L46" s="16">
        <f t="shared" si="6"/>
        <v>23.80124</v>
      </c>
      <c r="M46" s="16">
        <f t="shared" si="7"/>
        <v>136.08000000000001</v>
      </c>
      <c r="N46" s="16">
        <f t="shared" si="8"/>
        <v>68.040000000000006</v>
      </c>
    </row>
    <row r="47" spans="1:14">
      <c r="A47" s="19" t="str">
        <f>'Plant loading'!A29</f>
        <v>Esher</v>
      </c>
      <c r="B47" s="17" t="str">
        <f>'Plant loading'!B29</f>
        <v>PEEER</v>
      </c>
      <c r="C47" s="17" t="str">
        <f>'Plant loading'!C29</f>
        <v>eSure</v>
      </c>
      <c r="D47" s="17">
        <f>'Plant loading'!E29</f>
        <v>340</v>
      </c>
      <c r="E47" s="18">
        <f>'Plant loading'!H29</f>
        <v>36</v>
      </c>
      <c r="F47" s="17">
        <f>'Plant loading'!I29</f>
        <v>3.5</v>
      </c>
      <c r="G47" s="16">
        <f t="shared" si="2"/>
        <v>9.4444444444444446</v>
      </c>
      <c r="H47" s="16">
        <f t="shared" si="3"/>
        <v>18.888888888888889</v>
      </c>
      <c r="I47" s="799">
        <f t="shared" si="4"/>
        <v>0.92</v>
      </c>
      <c r="J47" s="799">
        <f t="shared" si="1"/>
        <v>0.92</v>
      </c>
      <c r="K47" s="16">
        <f t="shared" si="5"/>
        <v>20.012400000000003</v>
      </c>
      <c r="L47" s="16">
        <f t="shared" si="6"/>
        <v>20.012400000000003</v>
      </c>
      <c r="M47" s="16">
        <f t="shared" si="7"/>
        <v>136.08000000000001</v>
      </c>
      <c r="N47" s="16">
        <f t="shared" si="8"/>
        <v>68.040000000000006</v>
      </c>
    </row>
    <row r="48" spans="1:14">
      <c r="A48" s="19" t="str">
        <f>'Plant loading'!A30</f>
        <v>Esher</v>
      </c>
      <c r="B48" s="17" t="str">
        <f>'Plant loading'!B30</f>
        <v>PEFER</v>
      </c>
      <c r="C48" s="17" t="str">
        <f>'Plant loading'!C30</f>
        <v>eSure</v>
      </c>
      <c r="D48" s="17">
        <f>'Plant loading'!E30</f>
        <v>437</v>
      </c>
      <c r="E48" s="18">
        <f>'Plant loading'!H30</f>
        <v>36</v>
      </c>
      <c r="F48" s="17">
        <f>'Plant loading'!I30</f>
        <v>3.5</v>
      </c>
      <c r="G48" s="16">
        <f t="shared" si="2"/>
        <v>12.138888888888889</v>
      </c>
      <c r="H48" s="16">
        <f t="shared" si="3"/>
        <v>24.277777777777779</v>
      </c>
      <c r="I48" s="799">
        <f t="shared" si="4"/>
        <v>0.92</v>
      </c>
      <c r="J48" s="799">
        <f t="shared" si="1"/>
        <v>0.97</v>
      </c>
      <c r="K48" s="16">
        <f t="shared" si="5"/>
        <v>25.721820000000005</v>
      </c>
      <c r="L48" s="16">
        <f t="shared" si="6"/>
        <v>24.530995000000001</v>
      </c>
      <c r="M48" s="16">
        <f t="shared" si="7"/>
        <v>136.08000000000001</v>
      </c>
      <c r="N48" s="16">
        <f t="shared" si="8"/>
        <v>68.040000000000006</v>
      </c>
    </row>
    <row r="49" spans="1:14">
      <c r="A49" s="19" t="str">
        <f>'Plant loading'!A31</f>
        <v>Esher</v>
      </c>
      <c r="B49" s="17" t="str">
        <f>'Plant loading'!B31</f>
        <v>PEGER</v>
      </c>
      <c r="C49" s="17" t="str">
        <f>'Plant loading'!C31</f>
        <v>eSure</v>
      </c>
      <c r="D49" s="17">
        <f>'Plant loading'!E31</f>
        <v>315</v>
      </c>
      <c r="E49" s="18">
        <f>'Plant loading'!H31</f>
        <v>36</v>
      </c>
      <c r="F49" s="17">
        <f>'Plant loading'!I31</f>
        <v>3.5</v>
      </c>
      <c r="G49" s="16">
        <f t="shared" si="2"/>
        <v>8.75</v>
      </c>
      <c r="H49" s="16">
        <f t="shared" si="3"/>
        <v>17.5</v>
      </c>
      <c r="I49" s="799">
        <f t="shared" si="4"/>
        <v>0.92</v>
      </c>
      <c r="J49" s="799">
        <f t="shared" si="1"/>
        <v>0.92</v>
      </c>
      <c r="K49" s="16">
        <f t="shared" si="5"/>
        <v>18.540900000000001</v>
      </c>
      <c r="L49" s="16">
        <f t="shared" si="6"/>
        <v>18.540900000000001</v>
      </c>
      <c r="M49" s="16">
        <f t="shared" si="7"/>
        <v>136.08000000000001</v>
      </c>
      <c r="N49" s="16">
        <f t="shared" si="8"/>
        <v>68.040000000000006</v>
      </c>
    </row>
    <row r="50" spans="1:14">
      <c r="A50" s="19" t="str">
        <f>'Plant loading'!A32</f>
        <v>Gloucester</v>
      </c>
      <c r="B50" s="17" t="str">
        <f>'Plant loading'!B32</f>
        <v>PEAGR</v>
      </c>
      <c r="C50" s="17" t="str">
        <f>'Plant loading'!C32</f>
        <v>eSure</v>
      </c>
      <c r="D50" s="17">
        <f>'Plant loading'!E32</f>
        <v>664</v>
      </c>
      <c r="E50" s="18">
        <f>'Plant loading'!H32</f>
        <v>36</v>
      </c>
      <c r="F50" s="17">
        <f>'Plant loading'!I32</f>
        <v>3.5</v>
      </c>
      <c r="G50" s="16">
        <f t="shared" si="2"/>
        <v>18.444444444444443</v>
      </c>
      <c r="H50" s="16">
        <f t="shared" si="3"/>
        <v>36.888888888888886</v>
      </c>
      <c r="I50" s="799">
        <f t="shared" si="4"/>
        <v>0.92</v>
      </c>
      <c r="J50" s="799">
        <f t="shared" si="1"/>
        <v>0.97</v>
      </c>
      <c r="K50" s="16">
        <f t="shared" si="5"/>
        <v>39.083040000000004</v>
      </c>
      <c r="L50" s="16">
        <f t="shared" si="6"/>
        <v>37.27364</v>
      </c>
      <c r="M50" s="16">
        <f t="shared" si="7"/>
        <v>136.08000000000001</v>
      </c>
      <c r="N50" s="16">
        <f t="shared" si="8"/>
        <v>68.040000000000006</v>
      </c>
    </row>
    <row r="51" spans="1:14">
      <c r="A51" s="19" t="str">
        <f>'Plant loading'!A33</f>
        <v>Gloucester</v>
      </c>
      <c r="B51" s="17" t="str">
        <f>'Plant loading'!B33</f>
        <v>PEBGR</v>
      </c>
      <c r="C51" s="17" t="str">
        <f>'Plant loading'!C33</f>
        <v>eSure</v>
      </c>
      <c r="D51" s="17">
        <f>'Plant loading'!E33</f>
        <v>811</v>
      </c>
      <c r="E51" s="18">
        <f>'Plant loading'!H33</f>
        <v>36</v>
      </c>
      <c r="F51" s="17">
        <f>'Plant loading'!I33</f>
        <v>3.5</v>
      </c>
      <c r="G51" s="16">
        <f t="shared" si="2"/>
        <v>22.527777777777779</v>
      </c>
      <c r="H51" s="16">
        <f t="shared" si="3"/>
        <v>45.055555555555557</v>
      </c>
      <c r="I51" s="799">
        <f t="shared" si="4"/>
        <v>0.97</v>
      </c>
      <c r="J51" s="799">
        <f t="shared" si="1"/>
        <v>0.92</v>
      </c>
      <c r="K51" s="16">
        <f t="shared" si="5"/>
        <v>45.525485000000003</v>
      </c>
      <c r="L51" s="16">
        <f t="shared" si="6"/>
        <v>47.735460000000003</v>
      </c>
      <c r="M51" s="16">
        <f t="shared" si="7"/>
        <v>136.08000000000001</v>
      </c>
      <c r="N51" s="16">
        <f t="shared" si="8"/>
        <v>68.040000000000006</v>
      </c>
    </row>
    <row r="52" spans="1:14">
      <c r="A52" s="19" t="str">
        <f>'Plant loading'!A34</f>
        <v>Gloucester</v>
      </c>
      <c r="B52" s="17" t="str">
        <f>'Plant loading'!B34</f>
        <v>PECGR</v>
      </c>
      <c r="C52" s="17" t="str">
        <f>'Plant loading'!C34</f>
        <v>eSure</v>
      </c>
      <c r="D52" s="17">
        <f>'Plant loading'!E34</f>
        <v>764</v>
      </c>
      <c r="E52" s="18">
        <f>'Plant loading'!H34</f>
        <v>36</v>
      </c>
      <c r="F52" s="17">
        <f>'Plant loading'!I34</f>
        <v>3.5</v>
      </c>
      <c r="G52" s="16">
        <f t="shared" si="2"/>
        <v>21.222222222222221</v>
      </c>
      <c r="H52" s="16">
        <f t="shared" si="3"/>
        <v>42.444444444444443</v>
      </c>
      <c r="I52" s="799">
        <f t="shared" si="4"/>
        <v>0.97</v>
      </c>
      <c r="J52" s="799">
        <f t="shared" si="1"/>
        <v>0.97</v>
      </c>
      <c r="K52" s="16">
        <f t="shared" si="5"/>
        <v>42.887140000000002</v>
      </c>
      <c r="L52" s="16">
        <f t="shared" si="6"/>
        <v>42.887140000000002</v>
      </c>
      <c r="M52" s="16">
        <f t="shared" si="7"/>
        <v>136.08000000000001</v>
      </c>
      <c r="N52" s="16">
        <f t="shared" si="8"/>
        <v>68.040000000000006</v>
      </c>
    </row>
    <row r="53" spans="1:14">
      <c r="A53" s="19" t="str">
        <f>'Plant loading'!A35</f>
        <v>Gloucester</v>
      </c>
      <c r="B53" s="17" t="str">
        <f>'Plant loading'!B35</f>
        <v>PEDGR</v>
      </c>
      <c r="C53" s="17" t="str">
        <f>'Plant loading'!C35</f>
        <v>eSure</v>
      </c>
      <c r="D53" s="17">
        <f>'Plant loading'!E35</f>
        <v>744</v>
      </c>
      <c r="E53" s="18">
        <f>'Plant loading'!H35</f>
        <v>36</v>
      </c>
      <c r="F53" s="17">
        <f>'Plant loading'!I35</f>
        <v>3.5</v>
      </c>
      <c r="G53" s="16">
        <f t="shared" si="2"/>
        <v>20.666666666666668</v>
      </c>
      <c r="H53" s="16">
        <f t="shared" si="3"/>
        <v>41.333333333333336</v>
      </c>
      <c r="I53" s="799">
        <f t="shared" si="4"/>
        <v>0.97</v>
      </c>
      <c r="J53" s="799">
        <f t="shared" si="1"/>
        <v>0.97</v>
      </c>
      <c r="K53" s="16">
        <f t="shared" si="5"/>
        <v>41.76444</v>
      </c>
      <c r="L53" s="16">
        <f t="shared" si="6"/>
        <v>41.76444</v>
      </c>
      <c r="M53" s="16">
        <f t="shared" si="7"/>
        <v>136.08000000000001</v>
      </c>
      <c r="N53" s="16">
        <f t="shared" si="8"/>
        <v>68.040000000000006</v>
      </c>
    </row>
    <row r="54" spans="1:14">
      <c r="A54" s="19" t="str">
        <f>'Plant loading'!A36</f>
        <v>Gloucester</v>
      </c>
      <c r="B54" s="17" t="str">
        <f>'Plant loading'!B36</f>
        <v>PEEGR</v>
      </c>
      <c r="C54" s="17" t="str">
        <f>'Plant loading'!C36</f>
        <v>eSure</v>
      </c>
      <c r="D54" s="17">
        <f>'Plant loading'!E36</f>
        <v>724</v>
      </c>
      <c r="E54" s="18">
        <f>'Plant loading'!H36</f>
        <v>36</v>
      </c>
      <c r="F54" s="17">
        <f>'Plant loading'!I36</f>
        <v>3.5</v>
      </c>
      <c r="G54" s="16">
        <f t="shared" si="2"/>
        <v>20.111111111111111</v>
      </c>
      <c r="H54" s="16">
        <f t="shared" si="3"/>
        <v>40.222222222222221</v>
      </c>
      <c r="I54" s="799">
        <f t="shared" si="4"/>
        <v>0.97</v>
      </c>
      <c r="J54" s="799">
        <f t="shared" si="1"/>
        <v>0.97</v>
      </c>
      <c r="K54" s="16">
        <f t="shared" si="5"/>
        <v>40.641739999999999</v>
      </c>
      <c r="L54" s="16">
        <f t="shared" si="6"/>
        <v>40.641739999999999</v>
      </c>
      <c r="M54" s="16">
        <f t="shared" si="7"/>
        <v>136.08000000000001</v>
      </c>
      <c r="N54" s="16">
        <f t="shared" si="8"/>
        <v>68.040000000000006</v>
      </c>
    </row>
    <row r="55" spans="1:14">
      <c r="A55" s="19" t="str">
        <f>'Plant loading'!A39</f>
        <v>Gravelly Hill</v>
      </c>
      <c r="B55" s="17" t="str">
        <f>'Plant loading'!B39</f>
        <v>BMGMTX-DCSYS01</v>
      </c>
      <c r="C55" s="17" t="str">
        <f>'Plant loading'!C39</f>
        <v>HDR48-ES</v>
      </c>
      <c r="D55" s="17">
        <f>'Plant loading'!E39</f>
        <v>736</v>
      </c>
      <c r="E55" s="18">
        <f>'Plant loading'!H39</f>
        <v>44</v>
      </c>
      <c r="F55" s="17">
        <f>'Plant loading'!I39</f>
        <v>3</v>
      </c>
      <c r="G55" s="16">
        <f t="shared" si="2"/>
        <v>16.727272727272727</v>
      </c>
      <c r="H55" s="16">
        <f t="shared" si="3"/>
        <v>33.454545454545453</v>
      </c>
      <c r="I55" s="799">
        <f t="shared" si="4"/>
        <v>0.92</v>
      </c>
      <c r="J55" s="799">
        <f t="shared" si="1"/>
        <v>0.92</v>
      </c>
      <c r="K55" s="16">
        <f t="shared" si="5"/>
        <v>43.320960000000007</v>
      </c>
      <c r="L55" s="16">
        <f t="shared" si="6"/>
        <v>43.320960000000007</v>
      </c>
      <c r="M55" s="16">
        <f t="shared" si="7"/>
        <v>142.56</v>
      </c>
      <c r="N55" s="16">
        <f t="shared" si="8"/>
        <v>71.28</v>
      </c>
    </row>
    <row r="56" spans="1:14">
      <c r="A56" s="19" t="str">
        <f>'Plant loading'!A40</f>
        <v>Gravelly Hill</v>
      </c>
      <c r="B56" s="17" t="str">
        <f>'Plant loading'!B40</f>
        <v>BMGMTX-DCSYS02</v>
      </c>
      <c r="C56" s="17" t="str">
        <f>'Plant loading'!C40</f>
        <v>HDR48-ES</v>
      </c>
      <c r="D56" s="17">
        <f>'Plant loading'!E40</f>
        <v>754</v>
      </c>
      <c r="E56" s="18">
        <f>'Plant loading'!H40</f>
        <v>44</v>
      </c>
      <c r="F56" s="17">
        <f>'Plant loading'!I40</f>
        <v>3</v>
      </c>
      <c r="G56" s="16">
        <f t="shared" si="2"/>
        <v>17.136363636363637</v>
      </c>
      <c r="H56" s="16">
        <f t="shared" si="3"/>
        <v>34.272727272727273</v>
      </c>
      <c r="I56" s="799">
        <f t="shared" si="4"/>
        <v>0.92</v>
      </c>
      <c r="J56" s="799">
        <f t="shared" si="1"/>
        <v>0.92</v>
      </c>
      <c r="K56" s="16">
        <f t="shared" si="5"/>
        <v>44.380440000000007</v>
      </c>
      <c r="L56" s="16">
        <f t="shared" si="6"/>
        <v>44.380440000000007</v>
      </c>
      <c r="M56" s="16">
        <f t="shared" si="7"/>
        <v>142.56</v>
      </c>
      <c r="N56" s="16">
        <f t="shared" si="8"/>
        <v>71.28</v>
      </c>
    </row>
    <row r="57" spans="1:14">
      <c r="A57" s="19" t="str">
        <f>'Plant loading'!A41</f>
        <v>Gravelly Hill</v>
      </c>
      <c r="B57" s="17" t="str">
        <f>'Plant loading'!B41</f>
        <v>BMGMTX-DCSYS03</v>
      </c>
      <c r="C57" s="17" t="str">
        <f>'Plant loading'!C41</f>
        <v>HDR48-ES</v>
      </c>
      <c r="D57" s="17">
        <f>'Plant loading'!E41</f>
        <v>771</v>
      </c>
      <c r="E57" s="18">
        <f>'Plant loading'!H41</f>
        <v>44</v>
      </c>
      <c r="F57" s="17">
        <f>'Plant loading'!I41</f>
        <v>3</v>
      </c>
      <c r="G57" s="16">
        <f t="shared" si="2"/>
        <v>17.522727272727273</v>
      </c>
      <c r="H57" s="16">
        <f t="shared" si="3"/>
        <v>35.045454545454547</v>
      </c>
      <c r="I57" s="799">
        <f t="shared" si="4"/>
        <v>0.92</v>
      </c>
      <c r="J57" s="799">
        <f t="shared" ref="J57:J86" si="9">IF(AND(C57="eSure",AND(H57&gt;=19.2,H57&lt;=44.8)),0.97,0.92)</f>
        <v>0.92</v>
      </c>
      <c r="K57" s="16">
        <f t="shared" si="5"/>
        <v>45.381060000000005</v>
      </c>
      <c r="L57" s="16">
        <f t="shared" si="6"/>
        <v>45.381060000000005</v>
      </c>
      <c r="M57" s="16">
        <f t="shared" si="7"/>
        <v>142.56</v>
      </c>
      <c r="N57" s="16">
        <f t="shared" si="8"/>
        <v>71.28</v>
      </c>
    </row>
    <row r="58" spans="1:14">
      <c r="A58" s="19" t="str">
        <f>'Plant loading'!A42</f>
        <v>Gravelly Hill</v>
      </c>
      <c r="B58" s="17" t="str">
        <f>'Plant loading'!B42</f>
        <v>BMGMTX-DCSYS04</v>
      </c>
      <c r="C58" s="17" t="str">
        <f>'Plant loading'!C42</f>
        <v>HDR48-ES</v>
      </c>
      <c r="D58" s="17">
        <f>'Plant loading'!E42</f>
        <v>764</v>
      </c>
      <c r="E58" s="18">
        <f>'Plant loading'!H42</f>
        <v>44</v>
      </c>
      <c r="F58" s="17">
        <f>'Plant loading'!I42</f>
        <v>3</v>
      </c>
      <c r="G58" s="16">
        <f t="shared" si="2"/>
        <v>17.363636363636363</v>
      </c>
      <c r="H58" s="16">
        <f t="shared" si="3"/>
        <v>34.727272727272727</v>
      </c>
      <c r="I58" s="799">
        <f t="shared" si="4"/>
        <v>0.92</v>
      </c>
      <c r="J58" s="799">
        <f t="shared" si="9"/>
        <v>0.92</v>
      </c>
      <c r="K58" s="16">
        <f t="shared" si="5"/>
        <v>44.96904</v>
      </c>
      <c r="L58" s="16">
        <f t="shared" si="6"/>
        <v>44.96904</v>
      </c>
      <c r="M58" s="16">
        <f t="shared" si="7"/>
        <v>142.56</v>
      </c>
      <c r="N58" s="16">
        <f t="shared" si="8"/>
        <v>71.28</v>
      </c>
    </row>
    <row r="59" spans="1:14">
      <c r="A59" s="19" t="str">
        <f>'Plant loading'!A43</f>
        <v>Gravelly Hill</v>
      </c>
      <c r="B59" s="17" t="str">
        <f>'Plant loading'!B43</f>
        <v>BMGMTX-DCSYS05</v>
      </c>
      <c r="C59" s="17" t="str">
        <f>'Plant loading'!C43</f>
        <v>HDR48-ES</v>
      </c>
      <c r="D59" s="17">
        <f>'Plant loading'!E43</f>
        <v>794</v>
      </c>
      <c r="E59" s="18">
        <f>'Plant loading'!H43</f>
        <v>44</v>
      </c>
      <c r="F59" s="17">
        <f>'Plant loading'!I43</f>
        <v>3</v>
      </c>
      <c r="G59" s="16">
        <f t="shared" si="2"/>
        <v>18.045454545454547</v>
      </c>
      <c r="H59" s="16">
        <f t="shared" si="3"/>
        <v>36.090909090909093</v>
      </c>
      <c r="I59" s="799">
        <f t="shared" si="4"/>
        <v>0.92</v>
      </c>
      <c r="J59" s="799">
        <f t="shared" si="9"/>
        <v>0.92</v>
      </c>
      <c r="K59" s="16">
        <f t="shared" si="5"/>
        <v>46.734840000000005</v>
      </c>
      <c r="L59" s="16">
        <f t="shared" si="6"/>
        <v>46.734840000000005</v>
      </c>
      <c r="M59" s="16">
        <f t="shared" si="7"/>
        <v>142.56</v>
      </c>
      <c r="N59" s="16">
        <f t="shared" si="8"/>
        <v>71.28</v>
      </c>
    </row>
    <row r="60" spans="1:14">
      <c r="A60" s="19" t="str">
        <f>'Plant loading'!A44</f>
        <v>Gravelly Hill</v>
      </c>
      <c r="B60" s="17" t="str">
        <f>'Plant loading'!B44</f>
        <v>BMGMTX-DCSYS06</v>
      </c>
      <c r="C60" s="17" t="str">
        <f>'Plant loading'!C44</f>
        <v>HDR48-ES</v>
      </c>
      <c r="D60" s="17">
        <f>'Plant loading'!E44</f>
        <v>839</v>
      </c>
      <c r="E60" s="18">
        <f>'Plant loading'!H44</f>
        <v>44</v>
      </c>
      <c r="F60" s="17">
        <f>'Plant loading'!I44</f>
        <v>3</v>
      </c>
      <c r="G60" s="16">
        <f t="shared" si="2"/>
        <v>19.068181818181817</v>
      </c>
      <c r="H60" s="16">
        <f t="shared" si="3"/>
        <v>38.136363636363633</v>
      </c>
      <c r="I60" s="799">
        <f t="shared" si="4"/>
        <v>0.92</v>
      </c>
      <c r="J60" s="799">
        <f t="shared" si="9"/>
        <v>0.92</v>
      </c>
      <c r="K60" s="16">
        <f t="shared" si="5"/>
        <v>49.383539999999996</v>
      </c>
      <c r="L60" s="16">
        <f t="shared" si="6"/>
        <v>49.383539999999996</v>
      </c>
      <c r="M60" s="16">
        <f t="shared" si="7"/>
        <v>142.56</v>
      </c>
      <c r="N60" s="16">
        <f t="shared" si="8"/>
        <v>71.28</v>
      </c>
    </row>
    <row r="61" spans="1:14">
      <c r="A61" s="19" t="str">
        <f>'Plant loading'!A47</f>
        <v>Kings Cross</v>
      </c>
      <c r="B61" s="17" t="str">
        <f>'Plant loading'!B47</f>
        <v>PEAKS</v>
      </c>
      <c r="C61" s="17" t="str">
        <f>'Plant loading'!C47</f>
        <v>eSure</v>
      </c>
      <c r="D61" s="17">
        <f>'Plant loading'!E47</f>
        <v>242</v>
      </c>
      <c r="E61" s="18">
        <f>'Plant loading'!H47</f>
        <v>24</v>
      </c>
      <c r="F61" s="17">
        <f>'Plant loading'!I47</f>
        <v>3.5</v>
      </c>
      <c r="G61" s="16">
        <f t="shared" si="2"/>
        <v>10.083333333333334</v>
      </c>
      <c r="H61" s="16">
        <f t="shared" si="3"/>
        <v>20.166666666666668</v>
      </c>
      <c r="I61" s="799">
        <f t="shared" si="4"/>
        <v>0.92</v>
      </c>
      <c r="J61" s="799">
        <f t="shared" si="9"/>
        <v>0.97</v>
      </c>
      <c r="K61" s="16">
        <f t="shared" si="5"/>
        <v>14.244120000000001</v>
      </c>
      <c r="L61" s="16">
        <f t="shared" si="6"/>
        <v>13.584670000000001</v>
      </c>
      <c r="M61" s="16">
        <f t="shared" si="7"/>
        <v>90.72</v>
      </c>
      <c r="N61" s="16">
        <f t="shared" si="8"/>
        <v>45.36</v>
      </c>
    </row>
    <row r="62" spans="1:14">
      <c r="A62" s="19" t="str">
        <f>'Plant loading'!A48</f>
        <v>Kings Cross</v>
      </c>
      <c r="B62" s="17" t="str">
        <f>'Plant loading'!B48</f>
        <v>PEBKS</v>
      </c>
      <c r="C62" s="17" t="str">
        <f>'Plant loading'!C48</f>
        <v>eSure</v>
      </c>
      <c r="D62" s="17">
        <f>'Plant loading'!E48</f>
        <v>330</v>
      </c>
      <c r="E62" s="18">
        <f>'Plant loading'!H48</f>
        <v>30</v>
      </c>
      <c r="F62" s="17">
        <f>'Plant loading'!I48</f>
        <v>3.5</v>
      </c>
      <c r="G62" s="16">
        <f t="shared" si="2"/>
        <v>11</v>
      </c>
      <c r="H62" s="16">
        <f t="shared" si="3"/>
        <v>22</v>
      </c>
      <c r="I62" s="799">
        <f t="shared" si="4"/>
        <v>0.92</v>
      </c>
      <c r="J62" s="799">
        <f t="shared" si="9"/>
        <v>0.97</v>
      </c>
      <c r="K62" s="16">
        <f t="shared" si="5"/>
        <v>19.4238</v>
      </c>
      <c r="L62" s="16">
        <f t="shared" si="6"/>
        <v>18.524550000000001</v>
      </c>
      <c r="M62" s="16">
        <f t="shared" si="7"/>
        <v>113.4</v>
      </c>
      <c r="N62" s="16">
        <f t="shared" si="8"/>
        <v>56.7</v>
      </c>
    </row>
    <row r="63" spans="1:14">
      <c r="A63" s="19" t="str">
        <f>'Plant loading'!A49</f>
        <v>Kings Cross</v>
      </c>
      <c r="B63" s="17" t="str">
        <f>'Plant loading'!B49</f>
        <v>PEEKS</v>
      </c>
      <c r="C63" s="17" t="str">
        <f>'Plant loading'!C49</f>
        <v>eSure</v>
      </c>
      <c r="D63" s="17">
        <f>'Plant loading'!E49</f>
        <v>100</v>
      </c>
      <c r="E63" s="18">
        <f>'Plant loading'!H49</f>
        <v>12</v>
      </c>
      <c r="F63" s="17">
        <f>'Plant loading'!I49</f>
        <v>3.5</v>
      </c>
      <c r="G63" s="16">
        <f t="shared" si="2"/>
        <v>8.3333333333333339</v>
      </c>
      <c r="H63" s="16">
        <f t="shared" si="3"/>
        <v>16.666666666666668</v>
      </c>
      <c r="I63" s="799">
        <f t="shared" si="4"/>
        <v>0.92</v>
      </c>
      <c r="J63" s="799">
        <f t="shared" si="9"/>
        <v>0.92</v>
      </c>
      <c r="K63" s="16">
        <f t="shared" si="5"/>
        <v>5.886000000000001</v>
      </c>
      <c r="L63" s="16">
        <f t="shared" si="6"/>
        <v>5.886000000000001</v>
      </c>
      <c r="M63" s="16">
        <f t="shared" si="7"/>
        <v>45.36</v>
      </c>
      <c r="N63" s="16">
        <f t="shared" si="8"/>
        <v>22.68</v>
      </c>
    </row>
    <row r="64" spans="1:14">
      <c r="A64" s="19" t="str">
        <f>'Plant loading'!A50</f>
        <v>Kings Cross</v>
      </c>
      <c r="B64" s="17" t="str">
        <f>'Plant loading'!B50</f>
        <v>PEIKS</v>
      </c>
      <c r="C64" s="17" t="str">
        <f>'Plant loading'!C50</f>
        <v>eSure</v>
      </c>
      <c r="D64" s="17">
        <f>'Plant loading'!E50</f>
        <v>505</v>
      </c>
      <c r="E64" s="18">
        <f>'Plant loading'!H50</f>
        <v>36</v>
      </c>
      <c r="F64" s="17">
        <f>'Plant loading'!I50</f>
        <v>3.5</v>
      </c>
      <c r="G64" s="16">
        <f>D64/E64</f>
        <v>14.027777777777779</v>
      </c>
      <c r="H64" s="16">
        <f>D64/(E64/2)</f>
        <v>28.055555555555557</v>
      </c>
      <c r="I64" s="799">
        <f t="shared" si="4"/>
        <v>0.92</v>
      </c>
      <c r="J64" s="799">
        <f t="shared" si="9"/>
        <v>0.97</v>
      </c>
      <c r="K64" s="16">
        <f t="shared" si="5"/>
        <v>29.724300000000003</v>
      </c>
      <c r="L64" s="16">
        <f t="shared" si="6"/>
        <v>28.348175000000001</v>
      </c>
      <c r="M64" s="16">
        <f t="shared" si="7"/>
        <v>136.08000000000001</v>
      </c>
      <c r="N64" s="16">
        <f t="shared" si="8"/>
        <v>68.040000000000006</v>
      </c>
    </row>
    <row r="65" spans="1:14">
      <c r="A65" s="19" t="str">
        <f>'Plant loading'!A51</f>
        <v>Kings Cross</v>
      </c>
      <c r="B65" s="17" t="str">
        <f>'Plant loading'!B51</f>
        <v>PEJKS</v>
      </c>
      <c r="C65" s="17" t="str">
        <f>'Plant loading'!C51</f>
        <v>eSure</v>
      </c>
      <c r="D65" s="17">
        <f>'Plant loading'!E51</f>
        <v>251</v>
      </c>
      <c r="E65" s="18">
        <f>'Plant loading'!H51</f>
        <v>36</v>
      </c>
      <c r="F65" s="17">
        <f>'Plant loading'!I51</f>
        <v>3.5</v>
      </c>
      <c r="G65" s="16">
        <f t="shared" ref="G65:G76" si="10">D65/E65</f>
        <v>6.9722222222222223</v>
      </c>
      <c r="H65" s="16">
        <f t="shared" ref="H65:H76" si="11">D65/(E65/2)</f>
        <v>13.944444444444445</v>
      </c>
      <c r="I65" s="799">
        <f t="shared" si="4"/>
        <v>0.92</v>
      </c>
      <c r="J65" s="799">
        <f t="shared" si="9"/>
        <v>0.92</v>
      </c>
      <c r="K65" s="16">
        <f t="shared" si="5"/>
        <v>14.773860000000003</v>
      </c>
      <c r="L65" s="16">
        <f t="shared" si="6"/>
        <v>14.773860000000003</v>
      </c>
      <c r="M65" s="16">
        <f t="shared" si="7"/>
        <v>136.08000000000001</v>
      </c>
      <c r="N65" s="16">
        <f t="shared" si="8"/>
        <v>68.040000000000006</v>
      </c>
    </row>
    <row r="66" spans="1:14">
      <c r="A66" s="19" t="str">
        <f>'Plant loading'!A52</f>
        <v>Kings Cross</v>
      </c>
      <c r="B66" s="17" t="str">
        <f>'Plant loading'!B52</f>
        <v>PEKKS</v>
      </c>
      <c r="C66" s="17" t="str">
        <f>'Plant loading'!C52</f>
        <v>eSure</v>
      </c>
      <c r="D66" s="17">
        <f>'Plant loading'!E52</f>
        <v>429</v>
      </c>
      <c r="E66" s="18">
        <f>'Plant loading'!H52</f>
        <v>30</v>
      </c>
      <c r="F66" s="17">
        <f>'Plant loading'!I52</f>
        <v>3.5</v>
      </c>
      <c r="G66" s="16">
        <f t="shared" si="10"/>
        <v>14.3</v>
      </c>
      <c r="H66" s="16">
        <f t="shared" si="11"/>
        <v>28.6</v>
      </c>
      <c r="I66" s="799">
        <f t="shared" si="4"/>
        <v>0.92</v>
      </c>
      <c r="J66" s="799">
        <f t="shared" si="9"/>
        <v>0.97</v>
      </c>
      <c r="K66" s="16">
        <f t="shared" si="5"/>
        <v>25.250940000000003</v>
      </c>
      <c r="L66" s="16">
        <f t="shared" si="6"/>
        <v>24.081915000000002</v>
      </c>
      <c r="M66" s="16">
        <f t="shared" si="7"/>
        <v>113.4</v>
      </c>
      <c r="N66" s="16">
        <f t="shared" si="8"/>
        <v>56.7</v>
      </c>
    </row>
    <row r="67" spans="1:14">
      <c r="A67" s="19" t="str">
        <f>'Plant loading'!A53</f>
        <v>Kings Cross</v>
      </c>
      <c r="B67" s="17" t="str">
        <f>'Plant loading'!B53</f>
        <v>PELKS</v>
      </c>
      <c r="C67" s="17" t="str">
        <f>'Plant loading'!C53</f>
        <v>eSure</v>
      </c>
      <c r="D67" s="17">
        <f>'Plant loading'!E53</f>
        <v>154</v>
      </c>
      <c r="E67" s="18">
        <f>'Plant loading'!H53</f>
        <v>24</v>
      </c>
      <c r="F67" s="17">
        <f>'Plant loading'!I53</f>
        <v>3.5</v>
      </c>
      <c r="G67" s="16">
        <f t="shared" si="10"/>
        <v>6.416666666666667</v>
      </c>
      <c r="H67" s="16">
        <f t="shared" si="11"/>
        <v>12.833333333333334</v>
      </c>
      <c r="I67" s="799">
        <f t="shared" si="4"/>
        <v>0.92</v>
      </c>
      <c r="J67" s="799">
        <f t="shared" si="9"/>
        <v>0.92</v>
      </c>
      <c r="K67" s="16">
        <f t="shared" si="5"/>
        <v>9.0644400000000012</v>
      </c>
      <c r="L67" s="16">
        <f t="shared" si="6"/>
        <v>9.0644400000000012</v>
      </c>
      <c r="M67" s="16">
        <f t="shared" si="7"/>
        <v>90.72</v>
      </c>
      <c r="N67" s="16">
        <f t="shared" si="8"/>
        <v>45.36</v>
      </c>
    </row>
    <row r="68" spans="1:14">
      <c r="A68" s="19" t="str">
        <f>'Plant loading'!A54</f>
        <v>Kings Cross</v>
      </c>
      <c r="B68" s="17" t="str">
        <f>'Plant loading'!B54</f>
        <v>PEMKS</v>
      </c>
      <c r="C68" s="17" t="str">
        <f>'Plant loading'!C54</f>
        <v>eSure</v>
      </c>
      <c r="D68" s="17">
        <f>'Plant loading'!E54</f>
        <v>139</v>
      </c>
      <c r="E68" s="18">
        <f>'Plant loading'!H54</f>
        <v>24</v>
      </c>
      <c r="F68" s="17">
        <f>'Plant loading'!I54</f>
        <v>3.5</v>
      </c>
      <c r="G68" s="16">
        <f t="shared" si="10"/>
        <v>5.791666666666667</v>
      </c>
      <c r="H68" s="16">
        <f t="shared" si="11"/>
        <v>11.583333333333334</v>
      </c>
      <c r="I68" s="799">
        <f t="shared" si="4"/>
        <v>0.92</v>
      </c>
      <c r="J68" s="799">
        <f t="shared" si="9"/>
        <v>0.92</v>
      </c>
      <c r="K68" s="16">
        <f t="shared" si="5"/>
        <v>8.18154</v>
      </c>
      <c r="L68" s="16">
        <f t="shared" si="6"/>
        <v>8.18154</v>
      </c>
      <c r="M68" s="16">
        <f t="shared" si="7"/>
        <v>90.72</v>
      </c>
      <c r="N68" s="16">
        <f t="shared" si="8"/>
        <v>45.36</v>
      </c>
    </row>
    <row r="69" spans="1:14">
      <c r="A69" s="19" t="str">
        <f>'Plant loading'!A55</f>
        <v>Kings Cross</v>
      </c>
      <c r="B69" s="17" t="str">
        <f>'Plant loading'!B55</f>
        <v>PENKS</v>
      </c>
      <c r="C69" s="17" t="str">
        <f>'Plant loading'!C55</f>
        <v>eSure</v>
      </c>
      <c r="D69" s="17">
        <f>'Plant loading'!E55</f>
        <v>103</v>
      </c>
      <c r="E69" s="18">
        <f>'Plant loading'!H55</f>
        <v>12</v>
      </c>
      <c r="F69" s="17">
        <f>'Plant loading'!I55</f>
        <v>3.5</v>
      </c>
      <c r="G69" s="16">
        <f t="shared" si="10"/>
        <v>8.5833333333333339</v>
      </c>
      <c r="H69" s="16">
        <f t="shared" si="11"/>
        <v>17.166666666666668</v>
      </c>
      <c r="I69" s="799">
        <f t="shared" si="4"/>
        <v>0.92</v>
      </c>
      <c r="J69" s="799">
        <f t="shared" si="9"/>
        <v>0.92</v>
      </c>
      <c r="K69" s="16">
        <f t="shared" si="5"/>
        <v>6.0625800000000005</v>
      </c>
      <c r="L69" s="16">
        <f t="shared" si="6"/>
        <v>6.0625800000000005</v>
      </c>
      <c r="M69" s="16">
        <f t="shared" si="7"/>
        <v>45.36</v>
      </c>
      <c r="N69" s="16">
        <f t="shared" si="8"/>
        <v>22.68</v>
      </c>
    </row>
    <row r="70" spans="1:14">
      <c r="A70" s="19" t="str">
        <f>'Plant loading'!A56</f>
        <v>Leyland</v>
      </c>
      <c r="B70" s="17" t="str">
        <f>'Plant loading'!B56</f>
        <v>LLDMTX-DCSYS01</v>
      </c>
      <c r="C70" s="17" t="str">
        <f>'Plant loading'!C56</f>
        <v>HDR48-ES</v>
      </c>
      <c r="D70" s="17">
        <f>'Plant loading'!E56</f>
        <v>896</v>
      </c>
      <c r="E70" s="18">
        <f>'Plant loading'!H56</f>
        <v>44</v>
      </c>
      <c r="F70" s="17">
        <f>'Plant loading'!I56</f>
        <v>3</v>
      </c>
      <c r="G70" s="16">
        <f t="shared" si="10"/>
        <v>20.363636363636363</v>
      </c>
      <c r="H70" s="16">
        <f t="shared" si="11"/>
        <v>40.727272727272727</v>
      </c>
      <c r="I70" s="799">
        <f t="shared" si="4"/>
        <v>0.92</v>
      </c>
      <c r="J70" s="799">
        <f t="shared" si="9"/>
        <v>0.92</v>
      </c>
      <c r="K70" s="16">
        <f t="shared" si="5"/>
        <v>52.738560000000007</v>
      </c>
      <c r="L70" s="16">
        <f t="shared" si="6"/>
        <v>52.738560000000007</v>
      </c>
      <c r="M70" s="16">
        <f t="shared" si="7"/>
        <v>142.56</v>
      </c>
      <c r="N70" s="16">
        <f t="shared" si="8"/>
        <v>71.28</v>
      </c>
    </row>
    <row r="71" spans="1:14">
      <c r="A71" s="19" t="str">
        <f>'Plant loading'!A57</f>
        <v>Leyland</v>
      </c>
      <c r="B71" s="17" t="str">
        <f>'Plant loading'!B57</f>
        <v>LLDMTX-DCSYS02</v>
      </c>
      <c r="C71" s="17" t="str">
        <f>'Plant loading'!C57</f>
        <v>HDR48-ES</v>
      </c>
      <c r="D71" s="17">
        <f>'Plant loading'!E57</f>
        <v>822</v>
      </c>
      <c r="E71" s="18">
        <f>'Plant loading'!H57</f>
        <v>44</v>
      </c>
      <c r="F71" s="17">
        <f>'Plant loading'!I57</f>
        <v>3</v>
      </c>
      <c r="G71" s="16">
        <f t="shared" si="10"/>
        <v>18.681818181818183</v>
      </c>
      <c r="H71" s="16">
        <f t="shared" si="11"/>
        <v>37.363636363636367</v>
      </c>
      <c r="I71" s="799">
        <f t="shared" si="4"/>
        <v>0.92</v>
      </c>
      <c r="J71" s="799">
        <f t="shared" si="9"/>
        <v>0.92</v>
      </c>
      <c r="K71" s="16">
        <f t="shared" si="5"/>
        <v>48.382920000000006</v>
      </c>
      <c r="L71" s="16">
        <f t="shared" si="6"/>
        <v>48.382920000000006</v>
      </c>
      <c r="M71" s="16">
        <f t="shared" si="7"/>
        <v>142.56</v>
      </c>
      <c r="N71" s="16">
        <f t="shared" si="8"/>
        <v>71.28</v>
      </c>
    </row>
    <row r="72" spans="1:14">
      <c r="A72" s="19" t="str">
        <f>'Plant loading'!A58</f>
        <v>Leyland</v>
      </c>
      <c r="B72" s="17" t="str">
        <f>'Plant loading'!B58</f>
        <v>LLDMTX-DCSYS03</v>
      </c>
      <c r="C72" s="17" t="str">
        <f>'Plant loading'!C58</f>
        <v>HDR48-ES</v>
      </c>
      <c r="D72" s="17">
        <f>'Plant loading'!E58</f>
        <v>945</v>
      </c>
      <c r="E72" s="18">
        <f>'Plant loading'!H58</f>
        <v>44</v>
      </c>
      <c r="F72" s="17">
        <f>'Plant loading'!I58</f>
        <v>3</v>
      </c>
      <c r="G72" s="16">
        <f t="shared" si="10"/>
        <v>21.477272727272727</v>
      </c>
      <c r="H72" s="16">
        <f t="shared" si="11"/>
        <v>42.954545454545453</v>
      </c>
      <c r="I72" s="799">
        <f t="shared" si="4"/>
        <v>0.92</v>
      </c>
      <c r="J72" s="799">
        <f t="shared" si="9"/>
        <v>0.92</v>
      </c>
      <c r="K72" s="16">
        <f t="shared" si="5"/>
        <v>55.622700000000002</v>
      </c>
      <c r="L72" s="16">
        <f t="shared" si="6"/>
        <v>55.622700000000002</v>
      </c>
      <c r="M72" s="16">
        <f t="shared" si="7"/>
        <v>142.56</v>
      </c>
      <c r="N72" s="16">
        <f t="shared" si="8"/>
        <v>71.28</v>
      </c>
    </row>
    <row r="73" spans="1:14">
      <c r="A73" s="19" t="str">
        <f>'Plant loading'!A59</f>
        <v>Leyland</v>
      </c>
      <c r="B73" s="17" t="str">
        <f>'Plant loading'!B59</f>
        <v>LLDMTX-DCSYS04</v>
      </c>
      <c r="C73" s="17" t="str">
        <f>'Plant loading'!C59</f>
        <v>HDR48-ES</v>
      </c>
      <c r="D73" s="17">
        <f>'Plant loading'!E59</f>
        <v>860</v>
      </c>
      <c r="E73" s="18">
        <f>'Plant loading'!H59</f>
        <v>44</v>
      </c>
      <c r="F73" s="17">
        <f>'Plant loading'!I59</f>
        <v>3</v>
      </c>
      <c r="G73" s="16">
        <f t="shared" si="10"/>
        <v>19.545454545454547</v>
      </c>
      <c r="H73" s="16">
        <f t="shared" si="11"/>
        <v>39.090909090909093</v>
      </c>
      <c r="I73" s="799">
        <f t="shared" si="4"/>
        <v>0.92</v>
      </c>
      <c r="J73" s="799">
        <f t="shared" si="9"/>
        <v>0.92</v>
      </c>
      <c r="K73" s="16">
        <f t="shared" si="5"/>
        <v>50.619599999999998</v>
      </c>
      <c r="L73" s="16">
        <f t="shared" si="6"/>
        <v>50.619599999999998</v>
      </c>
      <c r="M73" s="16">
        <f t="shared" si="7"/>
        <v>142.56</v>
      </c>
      <c r="N73" s="16">
        <f t="shared" si="8"/>
        <v>71.28</v>
      </c>
    </row>
    <row r="74" spans="1:14">
      <c r="A74" s="19" t="str">
        <f>'Plant loading'!A60</f>
        <v>Leyland</v>
      </c>
      <c r="B74" s="17" t="str">
        <f>'Plant loading'!B60</f>
        <v>LLDMTX-DCSYS05</v>
      </c>
      <c r="C74" s="17" t="str">
        <f>'Plant loading'!C60</f>
        <v>HDR48-ES</v>
      </c>
      <c r="D74" s="17">
        <f>'Plant loading'!E60</f>
        <v>917</v>
      </c>
      <c r="E74" s="18">
        <f>'Plant loading'!H60</f>
        <v>44</v>
      </c>
      <c r="F74" s="17">
        <f>'Plant loading'!I60</f>
        <v>3</v>
      </c>
      <c r="G74" s="16">
        <f t="shared" si="10"/>
        <v>20.84090909090909</v>
      </c>
      <c r="H74" s="16">
        <f t="shared" si="11"/>
        <v>41.68181818181818</v>
      </c>
      <c r="I74" s="799">
        <f t="shared" si="4"/>
        <v>0.92</v>
      </c>
      <c r="J74" s="799">
        <f t="shared" si="9"/>
        <v>0.92</v>
      </c>
      <c r="K74" s="16">
        <f t="shared" si="5"/>
        <v>53.974620000000002</v>
      </c>
      <c r="L74" s="16">
        <f t="shared" si="6"/>
        <v>53.974620000000002</v>
      </c>
      <c r="M74" s="16">
        <f t="shared" si="7"/>
        <v>142.56</v>
      </c>
      <c r="N74" s="16">
        <f t="shared" si="8"/>
        <v>71.28</v>
      </c>
    </row>
    <row r="75" spans="1:14">
      <c r="A75" s="19" t="str">
        <f>'Plant loading'!A61</f>
        <v>Leyland</v>
      </c>
      <c r="B75" s="17" t="str">
        <f>'Plant loading'!B61</f>
        <v>LLDMTX-DCSYS06</v>
      </c>
      <c r="C75" s="17" t="str">
        <f>'Plant loading'!C61</f>
        <v>HDR48-ES</v>
      </c>
      <c r="D75" s="17">
        <f>'Plant loading'!E61</f>
        <v>892</v>
      </c>
      <c r="E75" s="18">
        <f>'Plant loading'!H61</f>
        <v>44</v>
      </c>
      <c r="F75" s="17">
        <f>'Plant loading'!I61</f>
        <v>3</v>
      </c>
      <c r="G75" s="16">
        <f t="shared" si="10"/>
        <v>20.272727272727273</v>
      </c>
      <c r="H75" s="16">
        <f t="shared" si="11"/>
        <v>40.545454545454547</v>
      </c>
      <c r="I75" s="799">
        <f t="shared" si="4"/>
        <v>0.92</v>
      </c>
      <c r="J75" s="799">
        <f t="shared" si="9"/>
        <v>0.92</v>
      </c>
      <c r="K75" s="16">
        <f t="shared" si="5"/>
        <v>52.503120000000003</v>
      </c>
      <c r="L75" s="16">
        <f t="shared" si="6"/>
        <v>52.503120000000003</v>
      </c>
      <c r="M75" s="16">
        <f t="shared" si="7"/>
        <v>142.56</v>
      </c>
      <c r="N75" s="16">
        <f t="shared" si="8"/>
        <v>71.28</v>
      </c>
    </row>
    <row r="76" spans="1:14">
      <c r="A76" s="19" t="str">
        <f>'Plant loading'!A64</f>
        <v>Milton Keynes</v>
      </c>
      <c r="B76" s="17" t="str">
        <f>'Plant loading'!B64</f>
        <v>PEAMS</v>
      </c>
      <c r="C76" s="17" t="str">
        <f>'Plant loading'!C64</f>
        <v>eSure</v>
      </c>
      <c r="D76" s="17">
        <f>'Plant loading'!E64</f>
        <v>1106</v>
      </c>
      <c r="E76" s="18">
        <f>'Plant loading'!H64</f>
        <v>42</v>
      </c>
      <c r="F76" s="17">
        <f>'Plant loading'!I64</f>
        <v>3.5</v>
      </c>
      <c r="G76" s="16">
        <f t="shared" si="10"/>
        <v>26.333333333333332</v>
      </c>
      <c r="H76" s="16">
        <f t="shared" si="11"/>
        <v>52.666666666666664</v>
      </c>
      <c r="I76" s="799">
        <f t="shared" si="4"/>
        <v>0.97</v>
      </c>
      <c r="J76" s="799">
        <f t="shared" si="9"/>
        <v>0.92</v>
      </c>
      <c r="K76" s="16">
        <f t="shared" si="5"/>
        <v>62.08531</v>
      </c>
      <c r="L76" s="16">
        <f t="shared" si="6"/>
        <v>65.099160000000012</v>
      </c>
      <c r="M76" s="16">
        <f t="shared" si="7"/>
        <v>158.76000000000002</v>
      </c>
      <c r="N76" s="16">
        <f t="shared" si="8"/>
        <v>79.38000000000001</v>
      </c>
    </row>
    <row r="77" spans="1:14">
      <c r="A77" s="19" t="str">
        <f>'Plant loading'!A65</f>
        <v>Milton Keynes</v>
      </c>
      <c r="B77" s="17" t="str">
        <f>'Plant loading'!B65</f>
        <v>PEBMS</v>
      </c>
      <c r="C77" s="17" t="str">
        <f>'Plant loading'!C65</f>
        <v>eSure</v>
      </c>
      <c r="D77" s="17">
        <f>'Plant loading'!E65</f>
        <v>1042</v>
      </c>
      <c r="E77" s="18">
        <f>'Plant loading'!H65</f>
        <v>42</v>
      </c>
      <c r="F77" s="17">
        <f>'Plant loading'!I65</f>
        <v>3.5</v>
      </c>
      <c r="G77" s="16">
        <f>D77/E77</f>
        <v>24.80952380952381</v>
      </c>
      <c r="H77" s="16">
        <f>D77/(E77/2)</f>
        <v>49.61904761904762</v>
      </c>
      <c r="I77" s="799">
        <f t="shared" si="4"/>
        <v>0.97</v>
      </c>
      <c r="J77" s="799">
        <f t="shared" si="9"/>
        <v>0.92</v>
      </c>
      <c r="K77" s="16">
        <f t="shared" si="5"/>
        <v>58.492670000000004</v>
      </c>
      <c r="L77" s="16">
        <f t="shared" si="6"/>
        <v>61.332120000000003</v>
      </c>
      <c r="M77" s="16">
        <f t="shared" si="7"/>
        <v>158.76000000000002</v>
      </c>
      <c r="N77" s="16">
        <f t="shared" si="8"/>
        <v>79.38000000000001</v>
      </c>
    </row>
    <row r="78" spans="1:14">
      <c r="A78" s="19" t="str">
        <f>'Plant loading'!A66</f>
        <v>Milton Keynes</v>
      </c>
      <c r="B78" s="17" t="str">
        <f>'Plant loading'!B66</f>
        <v>PECMS</v>
      </c>
      <c r="C78" s="17" t="str">
        <f>'Plant loading'!C66</f>
        <v>eSure</v>
      </c>
      <c r="D78" s="17">
        <f>'Plant loading'!E66</f>
        <v>1084</v>
      </c>
      <c r="E78" s="18">
        <f>'Plant loading'!H66</f>
        <v>42</v>
      </c>
      <c r="F78" s="17">
        <f>'Plant loading'!I66</f>
        <v>3.5</v>
      </c>
      <c r="G78" s="16">
        <f t="shared" ref="G78:G91" si="12">D78/E78</f>
        <v>25.80952380952381</v>
      </c>
      <c r="H78" s="16">
        <f t="shared" ref="H78:H91" si="13">D78/(E78/2)</f>
        <v>51.61904761904762</v>
      </c>
      <c r="I78" s="799">
        <f t="shared" si="4"/>
        <v>0.97</v>
      </c>
      <c r="J78" s="799">
        <f t="shared" si="9"/>
        <v>0.92</v>
      </c>
      <c r="K78" s="16">
        <f t="shared" si="5"/>
        <v>60.850340000000003</v>
      </c>
      <c r="L78" s="16">
        <f t="shared" si="6"/>
        <v>63.804240000000007</v>
      </c>
      <c r="M78" s="16">
        <f t="shared" si="7"/>
        <v>158.76000000000002</v>
      </c>
      <c r="N78" s="16">
        <f t="shared" si="8"/>
        <v>79.38000000000001</v>
      </c>
    </row>
    <row r="79" spans="1:14">
      <c r="A79" s="19" t="str">
        <f>'Plant loading'!A67</f>
        <v>Milton Keynes</v>
      </c>
      <c r="B79" s="17" t="str">
        <f>'Plant loading'!B67</f>
        <v>PEDMS</v>
      </c>
      <c r="C79" s="17" t="str">
        <f>'Plant loading'!C67</f>
        <v>eSure</v>
      </c>
      <c r="D79" s="17">
        <f>'Plant loading'!E67</f>
        <v>1149</v>
      </c>
      <c r="E79" s="18">
        <f>'Plant loading'!H67</f>
        <v>42</v>
      </c>
      <c r="F79" s="17">
        <f>'Plant loading'!I67</f>
        <v>3.5</v>
      </c>
      <c r="G79" s="16">
        <f t="shared" si="12"/>
        <v>27.357142857142858</v>
      </c>
      <c r="H79" s="16">
        <f t="shared" si="13"/>
        <v>54.714285714285715</v>
      </c>
      <c r="I79" s="799">
        <f t="shared" si="4"/>
        <v>0.97</v>
      </c>
      <c r="J79" s="799">
        <f t="shared" si="9"/>
        <v>0.92</v>
      </c>
      <c r="K79" s="16">
        <f t="shared" si="5"/>
        <v>64.499115000000003</v>
      </c>
      <c r="L79" s="16">
        <f t="shared" si="6"/>
        <v>67.630139999999997</v>
      </c>
      <c r="M79" s="16">
        <f t="shared" si="7"/>
        <v>158.76000000000002</v>
      </c>
      <c r="N79" s="16">
        <f t="shared" si="8"/>
        <v>79.38000000000001</v>
      </c>
    </row>
    <row r="80" spans="1:14">
      <c r="A80" s="19" t="str">
        <f>'Plant loading'!A68</f>
        <v>Milton Keynes</v>
      </c>
      <c r="B80" s="17" t="str">
        <f>'Plant loading'!B68</f>
        <v>PEEMS</v>
      </c>
      <c r="C80" s="17" t="str">
        <f>'Plant loading'!C68</f>
        <v>eSure</v>
      </c>
      <c r="D80" s="17">
        <f>'Plant loading'!E68</f>
        <v>1078</v>
      </c>
      <c r="E80" s="18">
        <f>'Plant loading'!H68</f>
        <v>42</v>
      </c>
      <c r="F80" s="17">
        <f>'Plant loading'!I68</f>
        <v>3.5</v>
      </c>
      <c r="G80" s="16">
        <f t="shared" si="12"/>
        <v>25.666666666666668</v>
      </c>
      <c r="H80" s="16">
        <f t="shared" si="13"/>
        <v>51.333333333333336</v>
      </c>
      <c r="I80" s="799">
        <f t="shared" si="4"/>
        <v>0.97</v>
      </c>
      <c r="J80" s="799">
        <f t="shared" si="9"/>
        <v>0.92</v>
      </c>
      <c r="K80" s="16">
        <f t="shared" si="5"/>
        <v>60.513529999999996</v>
      </c>
      <c r="L80" s="16">
        <f t="shared" si="6"/>
        <v>63.451080000000005</v>
      </c>
      <c r="M80" s="16">
        <f t="shared" si="7"/>
        <v>158.76000000000002</v>
      </c>
      <c r="N80" s="16">
        <f t="shared" si="8"/>
        <v>79.38000000000001</v>
      </c>
    </row>
    <row r="81" spans="1:14">
      <c r="A81" s="19" t="str">
        <f>'Plant loading'!A69</f>
        <v>Milton Keynes</v>
      </c>
      <c r="B81" s="17" t="str">
        <f>'Plant loading'!B69</f>
        <v>PEFMS</v>
      </c>
      <c r="C81" s="17" t="str">
        <f>'Plant loading'!C69</f>
        <v>eSure</v>
      </c>
      <c r="D81" s="17">
        <f>'Plant loading'!E69</f>
        <v>1088</v>
      </c>
      <c r="E81" s="18">
        <f>'Plant loading'!H69</f>
        <v>42</v>
      </c>
      <c r="F81" s="17">
        <f>'Plant loading'!I69</f>
        <v>3.5</v>
      </c>
      <c r="G81" s="16">
        <f t="shared" si="12"/>
        <v>25.904761904761905</v>
      </c>
      <c r="H81" s="16">
        <f t="shared" si="13"/>
        <v>51.80952380952381</v>
      </c>
      <c r="I81" s="799">
        <f t="shared" si="4"/>
        <v>0.97</v>
      </c>
      <c r="J81" s="799">
        <f t="shared" si="9"/>
        <v>0.92</v>
      </c>
      <c r="K81" s="16">
        <f t="shared" si="5"/>
        <v>61.07488</v>
      </c>
      <c r="L81" s="16">
        <f t="shared" si="6"/>
        <v>64.039680000000004</v>
      </c>
      <c r="M81" s="16">
        <f t="shared" si="7"/>
        <v>158.76000000000002</v>
      </c>
      <c r="N81" s="16">
        <f t="shared" si="8"/>
        <v>79.38000000000001</v>
      </c>
    </row>
    <row r="82" spans="1:14">
      <c r="A82" s="19" t="str">
        <f>'Plant loading'!A72</f>
        <v>Oldham</v>
      </c>
      <c r="B82" s="17" t="str">
        <f>'Plant loading'!B72</f>
        <v>OLDMTX-DCSYS01</v>
      </c>
      <c r="C82" s="17" t="str">
        <f>'Plant loading'!C72</f>
        <v>HDR48-ES</v>
      </c>
      <c r="D82" s="17">
        <f>'Plant loading'!E72</f>
        <v>865</v>
      </c>
      <c r="E82" s="18">
        <f>'Plant loading'!H72</f>
        <v>44</v>
      </c>
      <c r="F82" s="17">
        <f>'Plant loading'!I72</f>
        <v>3</v>
      </c>
      <c r="G82" s="16">
        <f t="shared" si="12"/>
        <v>19.65909090909091</v>
      </c>
      <c r="H82" s="16">
        <f t="shared" si="13"/>
        <v>39.31818181818182</v>
      </c>
      <c r="I82" s="799">
        <f t="shared" si="4"/>
        <v>0.92</v>
      </c>
      <c r="J82" s="799">
        <f t="shared" si="9"/>
        <v>0.92</v>
      </c>
      <c r="K82" s="16">
        <f t="shared" si="5"/>
        <v>50.913899999999998</v>
      </c>
      <c r="L82" s="16">
        <f t="shared" si="6"/>
        <v>50.913899999999998</v>
      </c>
      <c r="M82" s="16">
        <f t="shared" si="7"/>
        <v>142.56</v>
      </c>
      <c r="N82" s="16">
        <f t="shared" si="8"/>
        <v>71.28</v>
      </c>
    </row>
    <row r="83" spans="1:14">
      <c r="A83" s="19" t="str">
        <f>'Plant loading'!A73</f>
        <v>Oldham</v>
      </c>
      <c r="B83" s="17" t="str">
        <f>'Plant loading'!B73</f>
        <v>OLDMTX-DCSYS02</v>
      </c>
      <c r="C83" s="17" t="str">
        <f>'Plant loading'!C73</f>
        <v>HDR48-ES</v>
      </c>
      <c r="D83" s="17">
        <f>'Plant loading'!E73</f>
        <v>726</v>
      </c>
      <c r="E83" s="18">
        <f>'Plant loading'!H73</f>
        <v>44</v>
      </c>
      <c r="F83" s="17">
        <f>'Plant loading'!I73</f>
        <v>3</v>
      </c>
      <c r="G83" s="16">
        <f t="shared" si="12"/>
        <v>16.5</v>
      </c>
      <c r="H83" s="16">
        <f t="shared" si="13"/>
        <v>33</v>
      </c>
      <c r="I83" s="799">
        <f t="shared" si="4"/>
        <v>0.92</v>
      </c>
      <c r="J83" s="799">
        <f t="shared" si="9"/>
        <v>0.92</v>
      </c>
      <c r="K83" s="16">
        <f t="shared" si="5"/>
        <v>42.73236</v>
      </c>
      <c r="L83" s="16">
        <f t="shared" si="6"/>
        <v>42.73236</v>
      </c>
      <c r="M83" s="16">
        <f t="shared" si="7"/>
        <v>142.56</v>
      </c>
      <c r="N83" s="16">
        <f t="shared" si="8"/>
        <v>71.28</v>
      </c>
    </row>
    <row r="84" spans="1:14">
      <c r="A84" s="19" t="str">
        <f>'Plant loading'!A74</f>
        <v>Oldham</v>
      </c>
      <c r="B84" s="17" t="str">
        <f>'Plant loading'!B74</f>
        <v>OLDMTX-DCSYS03</v>
      </c>
      <c r="C84" s="17" t="str">
        <f>'Plant loading'!C74</f>
        <v>HDR48-ES</v>
      </c>
      <c r="D84" s="17">
        <f>'Plant loading'!E74</f>
        <v>789</v>
      </c>
      <c r="E84" s="18">
        <f>'Plant loading'!H74</f>
        <v>44</v>
      </c>
      <c r="F84" s="17">
        <f>'Plant loading'!I74</f>
        <v>3</v>
      </c>
      <c r="G84" s="16">
        <f t="shared" si="12"/>
        <v>17.931818181818183</v>
      </c>
      <c r="H84" s="16">
        <f t="shared" si="13"/>
        <v>35.863636363636367</v>
      </c>
      <c r="I84" s="799">
        <f t="shared" si="4"/>
        <v>0.92</v>
      </c>
      <c r="J84" s="799">
        <f t="shared" si="9"/>
        <v>0.92</v>
      </c>
      <c r="K84" s="16">
        <f t="shared" si="5"/>
        <v>46.440540000000006</v>
      </c>
      <c r="L84" s="16">
        <f t="shared" si="6"/>
        <v>46.440540000000006</v>
      </c>
      <c r="M84" s="16">
        <f t="shared" si="7"/>
        <v>142.56</v>
      </c>
      <c r="N84" s="16">
        <f t="shared" si="8"/>
        <v>71.28</v>
      </c>
    </row>
    <row r="85" spans="1:14">
      <c r="A85" s="19" t="str">
        <f>'Plant loading'!A75</f>
        <v>Oldham</v>
      </c>
      <c r="B85" s="17" t="str">
        <f>'Plant loading'!B75</f>
        <v>OLDMTX-DCSYS04</v>
      </c>
      <c r="C85" s="17" t="str">
        <f>'Plant loading'!C75</f>
        <v>HDR48-ES</v>
      </c>
      <c r="D85" s="17">
        <f>'Plant loading'!E75</f>
        <v>597</v>
      </c>
      <c r="E85" s="18">
        <f>'Plant loading'!H75</f>
        <v>34</v>
      </c>
      <c r="F85" s="17">
        <f>'Plant loading'!I75</f>
        <v>3</v>
      </c>
      <c r="G85" s="16">
        <f t="shared" si="12"/>
        <v>17.558823529411764</v>
      </c>
      <c r="H85" s="16">
        <f t="shared" si="13"/>
        <v>35.117647058823529</v>
      </c>
      <c r="I85" s="799">
        <f t="shared" si="4"/>
        <v>0.92</v>
      </c>
      <c r="J85" s="799">
        <f t="shared" si="9"/>
        <v>0.92</v>
      </c>
      <c r="K85" s="16">
        <f t="shared" si="5"/>
        <v>35.139420000000001</v>
      </c>
      <c r="L85" s="16">
        <f t="shared" si="6"/>
        <v>35.139420000000001</v>
      </c>
      <c r="M85" s="16">
        <f t="shared" si="7"/>
        <v>110.16000000000001</v>
      </c>
      <c r="N85" s="16">
        <f t="shared" si="8"/>
        <v>55.080000000000005</v>
      </c>
    </row>
    <row r="86" spans="1:14">
      <c r="A86" s="19" t="str">
        <f>'Plant loading'!A76</f>
        <v>Oldham</v>
      </c>
      <c r="B86" s="17" t="str">
        <f>'Plant loading'!B76</f>
        <v>OLDMTX-DCSYS05</v>
      </c>
      <c r="C86" s="17" t="str">
        <f>'Plant loading'!C76</f>
        <v>HDR48-ES</v>
      </c>
      <c r="D86" s="17">
        <f>'Plant loading'!E76</f>
        <v>540</v>
      </c>
      <c r="E86" s="18">
        <f>'Plant loading'!H76</f>
        <v>44</v>
      </c>
      <c r="F86" s="17">
        <f>'Plant loading'!I76</f>
        <v>3</v>
      </c>
      <c r="G86" s="16">
        <f t="shared" si="12"/>
        <v>12.272727272727273</v>
      </c>
      <c r="H86" s="16">
        <f t="shared" si="13"/>
        <v>24.545454545454547</v>
      </c>
      <c r="I86" s="799">
        <f t="shared" si="4"/>
        <v>0.92</v>
      </c>
      <c r="J86" s="799">
        <f t="shared" si="9"/>
        <v>0.92</v>
      </c>
      <c r="K86" s="16">
        <f t="shared" si="5"/>
        <v>31.784400000000002</v>
      </c>
      <c r="L86" s="16">
        <f t="shared" si="6"/>
        <v>31.784400000000002</v>
      </c>
      <c r="M86" s="16">
        <f t="shared" si="7"/>
        <v>142.56</v>
      </c>
      <c r="N86" s="16">
        <f t="shared" si="8"/>
        <v>71.28</v>
      </c>
    </row>
    <row r="87" spans="1:14">
      <c r="A87" s="19" t="str">
        <f>'Plant loading'!A77</f>
        <v>Oldham</v>
      </c>
      <c r="B87" s="17" t="str">
        <f>'Plant loading'!B77</f>
        <v>OLDMTX-DCSYS06</v>
      </c>
      <c r="C87" s="17" t="str">
        <f>'Plant loading'!C77</f>
        <v>HDR48-ES</v>
      </c>
      <c r="D87" s="17">
        <f>'Plant loading'!E77</f>
        <v>629</v>
      </c>
      <c r="E87" s="18">
        <f>'Plant loading'!H77</f>
        <v>44</v>
      </c>
      <c r="F87" s="17">
        <f>'Plant loading'!I77</f>
        <v>3</v>
      </c>
      <c r="G87" s="16">
        <f t="shared" si="12"/>
        <v>14.295454545454545</v>
      </c>
      <c r="H87" s="16">
        <f t="shared" si="13"/>
        <v>28.59090909090909</v>
      </c>
      <c r="I87" s="799">
        <f t="shared" si="4"/>
        <v>0.92</v>
      </c>
      <c r="J87" s="799">
        <f t="shared" ref="J87:J101" si="14">IF(AND(C87="eSure",AND(H87&gt;=19.2,H87&lt;=44.8)),0.97,0.92)</f>
        <v>0.92</v>
      </c>
      <c r="K87" s="16">
        <f t="shared" si="5"/>
        <v>37.022940000000006</v>
      </c>
      <c r="L87" s="16">
        <f t="shared" si="6"/>
        <v>37.022940000000006</v>
      </c>
      <c r="M87" s="16">
        <f t="shared" si="7"/>
        <v>142.56</v>
      </c>
      <c r="N87" s="16">
        <f t="shared" si="8"/>
        <v>71.28</v>
      </c>
    </row>
    <row r="88" spans="1:14">
      <c r="A88" s="19" t="str">
        <f>'Plant loading'!A80</f>
        <v>Rotherham</v>
      </c>
      <c r="B88" s="17" t="str">
        <f>'Plant loading'!B80</f>
        <v>PEARM</v>
      </c>
      <c r="C88" s="17" t="str">
        <f>'Plant loading'!C80</f>
        <v>eSure</v>
      </c>
      <c r="D88" s="17">
        <f>'Plant loading'!E80</f>
        <v>422</v>
      </c>
      <c r="E88" s="18">
        <f>'Plant loading'!H80</f>
        <v>36</v>
      </c>
      <c r="F88" s="17">
        <f>'Plant loading'!I80</f>
        <v>3.5</v>
      </c>
      <c r="G88" s="16">
        <f t="shared" si="12"/>
        <v>11.722222222222221</v>
      </c>
      <c r="H88" s="16">
        <f t="shared" si="13"/>
        <v>23.444444444444443</v>
      </c>
      <c r="I88" s="799">
        <f t="shared" si="4"/>
        <v>0.92</v>
      </c>
      <c r="J88" s="799">
        <f t="shared" si="14"/>
        <v>0.97</v>
      </c>
      <c r="K88" s="16">
        <f t="shared" si="5"/>
        <v>24.838920000000002</v>
      </c>
      <c r="L88" s="16">
        <f t="shared" si="6"/>
        <v>23.688969999999998</v>
      </c>
      <c r="M88" s="16">
        <f t="shared" si="7"/>
        <v>136.08000000000001</v>
      </c>
      <c r="N88" s="16">
        <f t="shared" si="8"/>
        <v>68.040000000000006</v>
      </c>
    </row>
    <row r="89" spans="1:14">
      <c r="A89" s="19" t="str">
        <f>'Plant loading'!A81</f>
        <v>Rotherham</v>
      </c>
      <c r="B89" s="17" t="str">
        <f>'Plant loading'!B81</f>
        <v>PEBRM</v>
      </c>
      <c r="C89" s="17" t="str">
        <f>'Plant loading'!C81</f>
        <v>eSure</v>
      </c>
      <c r="D89" s="17">
        <f>'Plant loading'!E81</f>
        <v>523</v>
      </c>
      <c r="E89" s="18">
        <f>'Plant loading'!H81</f>
        <v>36</v>
      </c>
      <c r="F89" s="17">
        <f>'Plant loading'!I81</f>
        <v>3.5</v>
      </c>
      <c r="G89" s="16">
        <f t="shared" si="12"/>
        <v>14.527777777777779</v>
      </c>
      <c r="H89" s="16">
        <f t="shared" si="13"/>
        <v>29.055555555555557</v>
      </c>
      <c r="I89" s="799">
        <f t="shared" ref="I89:I101" si="15">IF(AND(C89="eSure",AND(G89&gt;=19.2,G89&lt;=44.8)),0.97,0.92)</f>
        <v>0.92</v>
      </c>
      <c r="J89" s="799">
        <f t="shared" si="14"/>
        <v>0.97</v>
      </c>
      <c r="K89" s="16">
        <f t="shared" ref="K89:K101" si="16">((D89*54.5)/1000)*(1+(1-I89))</f>
        <v>30.78378</v>
      </c>
      <c r="L89" s="16">
        <f t="shared" ref="L89:L101" si="17">((D89*54.5)/1000)*(1+(1-J89))</f>
        <v>29.358605000000001</v>
      </c>
      <c r="M89" s="16">
        <f t="shared" ref="M89:M101" si="18">(E89*F89)*1.08</f>
        <v>136.08000000000001</v>
      </c>
      <c r="N89" s="16">
        <f t="shared" ref="N89:N101" si="19">((E89/2)*F89)*1.08</f>
        <v>68.040000000000006</v>
      </c>
    </row>
    <row r="90" spans="1:14">
      <c r="A90" s="19" t="str">
        <f>'Plant loading'!A82</f>
        <v>Rotherham</v>
      </c>
      <c r="B90" s="17" t="str">
        <f>'Plant loading'!B82</f>
        <v>PECRM</v>
      </c>
      <c r="C90" s="17" t="str">
        <f>'Plant loading'!C82</f>
        <v>eSure</v>
      </c>
      <c r="D90" s="17">
        <f>'Plant loading'!E82</f>
        <v>532</v>
      </c>
      <c r="E90" s="18">
        <f>'Plant loading'!H82</f>
        <v>36</v>
      </c>
      <c r="F90" s="17">
        <f>'Plant loading'!I82</f>
        <v>3.5</v>
      </c>
      <c r="G90" s="16">
        <f t="shared" si="12"/>
        <v>14.777777777777779</v>
      </c>
      <c r="H90" s="16">
        <f t="shared" si="13"/>
        <v>29.555555555555557</v>
      </c>
      <c r="I90" s="799">
        <f t="shared" si="15"/>
        <v>0.92</v>
      </c>
      <c r="J90" s="799">
        <f t="shared" si="14"/>
        <v>0.97</v>
      </c>
      <c r="K90" s="16">
        <f t="shared" si="16"/>
        <v>31.31352</v>
      </c>
      <c r="L90" s="16">
        <f t="shared" si="17"/>
        <v>29.86382</v>
      </c>
      <c r="M90" s="16">
        <f t="shared" si="18"/>
        <v>136.08000000000001</v>
      </c>
      <c r="N90" s="16">
        <f t="shared" si="19"/>
        <v>68.040000000000006</v>
      </c>
    </row>
    <row r="91" spans="1:14">
      <c r="A91" s="19" t="str">
        <f>'Plant loading'!A83</f>
        <v>Rotherham</v>
      </c>
      <c r="B91" s="17" t="str">
        <f>'Plant loading'!B83</f>
        <v>PEDRM</v>
      </c>
      <c r="C91" s="17" t="str">
        <f>'Plant loading'!C83</f>
        <v>eSure</v>
      </c>
      <c r="D91" s="17">
        <f>'Plant loading'!E83</f>
        <v>263</v>
      </c>
      <c r="E91" s="18">
        <f>'Plant loading'!H83</f>
        <v>36</v>
      </c>
      <c r="F91" s="17">
        <f>'Plant loading'!I83</f>
        <v>3.5</v>
      </c>
      <c r="G91" s="16">
        <f t="shared" si="12"/>
        <v>7.3055555555555554</v>
      </c>
      <c r="H91" s="16">
        <f t="shared" si="13"/>
        <v>14.611111111111111</v>
      </c>
      <c r="I91" s="799">
        <f t="shared" si="15"/>
        <v>0.92</v>
      </c>
      <c r="J91" s="799">
        <f t="shared" si="14"/>
        <v>0.92</v>
      </c>
      <c r="K91" s="16">
        <f t="shared" si="16"/>
        <v>15.480180000000002</v>
      </c>
      <c r="L91" s="16">
        <f t="shared" si="17"/>
        <v>15.480180000000002</v>
      </c>
      <c r="M91" s="16">
        <f t="shared" si="18"/>
        <v>136.08000000000001</v>
      </c>
      <c r="N91" s="16">
        <f t="shared" si="19"/>
        <v>68.040000000000006</v>
      </c>
    </row>
    <row r="92" spans="1:14">
      <c r="A92" s="19" t="str">
        <f>'Plant loading'!A84</f>
        <v>Rotherham</v>
      </c>
      <c r="B92" s="17" t="str">
        <f>'Plant loading'!B84</f>
        <v>PEERM</v>
      </c>
      <c r="C92" s="17" t="str">
        <f>'Plant loading'!C84</f>
        <v>eSure</v>
      </c>
      <c r="D92" s="17">
        <f>'Plant loading'!E84</f>
        <v>212</v>
      </c>
      <c r="E92" s="18">
        <f>'Plant loading'!H84</f>
        <v>36</v>
      </c>
      <c r="F92" s="17">
        <f>'Plant loading'!I84</f>
        <v>3.5</v>
      </c>
      <c r="G92" s="16">
        <f t="shared" ref="G92:G101" si="20">D92/E92</f>
        <v>5.8888888888888893</v>
      </c>
      <c r="H92" s="16">
        <f t="shared" ref="H92:H101" si="21">D92/(E92/2)</f>
        <v>11.777777777777779</v>
      </c>
      <c r="I92" s="799">
        <f t="shared" si="15"/>
        <v>0.92</v>
      </c>
      <c r="J92" s="799">
        <f t="shared" si="14"/>
        <v>0.92</v>
      </c>
      <c r="K92" s="16">
        <f t="shared" si="16"/>
        <v>12.478320000000002</v>
      </c>
      <c r="L92" s="16">
        <f t="shared" si="17"/>
        <v>12.478320000000002</v>
      </c>
      <c r="M92" s="16">
        <f t="shared" si="18"/>
        <v>136.08000000000001</v>
      </c>
      <c r="N92" s="16">
        <f t="shared" si="19"/>
        <v>68.040000000000006</v>
      </c>
    </row>
    <row r="93" spans="1:14">
      <c r="A93" s="19" t="str">
        <f>'Plant loading'!A85</f>
        <v>Southampton</v>
      </c>
      <c r="B93" s="17" t="str">
        <f>'Plant loading'!B85</f>
        <v>PEASN</v>
      </c>
      <c r="C93" s="17" t="str">
        <f>'Plant loading'!C85</f>
        <v>eSure</v>
      </c>
      <c r="D93" s="17">
        <f>'Plant loading'!E85</f>
        <v>364</v>
      </c>
      <c r="E93" s="18">
        <f>'Plant loading'!H85</f>
        <v>36</v>
      </c>
      <c r="F93" s="17">
        <f>'Plant loading'!I85</f>
        <v>3.5</v>
      </c>
      <c r="G93" s="16">
        <f t="shared" si="20"/>
        <v>10.111111111111111</v>
      </c>
      <c r="H93" s="16">
        <f t="shared" si="21"/>
        <v>20.222222222222221</v>
      </c>
      <c r="I93" s="799">
        <f t="shared" si="15"/>
        <v>0.92</v>
      </c>
      <c r="J93" s="799">
        <f t="shared" si="14"/>
        <v>0.97</v>
      </c>
      <c r="K93" s="16">
        <f t="shared" si="16"/>
        <v>21.425040000000003</v>
      </c>
      <c r="L93" s="16">
        <f t="shared" si="17"/>
        <v>20.433140000000002</v>
      </c>
      <c r="M93" s="16">
        <f t="shared" si="18"/>
        <v>136.08000000000001</v>
      </c>
      <c r="N93" s="16">
        <f t="shared" si="19"/>
        <v>68.040000000000006</v>
      </c>
    </row>
    <row r="94" spans="1:14">
      <c r="A94" s="19" t="str">
        <f>'Plant loading'!A86</f>
        <v>Southampton</v>
      </c>
      <c r="B94" s="17" t="str">
        <f>'Plant loading'!B86</f>
        <v>PEBSN</v>
      </c>
      <c r="C94" s="17" t="str">
        <f>'Plant loading'!C86</f>
        <v>eSure</v>
      </c>
      <c r="D94" s="17">
        <f>'Plant loading'!E86</f>
        <v>520</v>
      </c>
      <c r="E94" s="18">
        <f>'Plant loading'!H86</f>
        <v>36</v>
      </c>
      <c r="F94" s="17">
        <f>'Plant loading'!I86</f>
        <v>3.5</v>
      </c>
      <c r="G94" s="16">
        <f t="shared" si="20"/>
        <v>14.444444444444445</v>
      </c>
      <c r="H94" s="16">
        <f t="shared" si="21"/>
        <v>28.888888888888889</v>
      </c>
      <c r="I94" s="799">
        <f t="shared" si="15"/>
        <v>0.92</v>
      </c>
      <c r="J94" s="799">
        <f t="shared" si="14"/>
        <v>0.97</v>
      </c>
      <c r="K94" s="16">
        <f t="shared" si="16"/>
        <v>30.607200000000002</v>
      </c>
      <c r="L94" s="16">
        <f t="shared" si="17"/>
        <v>29.190200000000001</v>
      </c>
      <c r="M94" s="16">
        <f t="shared" si="18"/>
        <v>136.08000000000001</v>
      </c>
      <c r="N94" s="16">
        <f t="shared" si="19"/>
        <v>68.040000000000006</v>
      </c>
    </row>
    <row r="95" spans="1:14">
      <c r="A95" s="19" t="str">
        <f>'Plant loading'!A87</f>
        <v>Southampton</v>
      </c>
      <c r="B95" s="17" t="str">
        <f>'Plant loading'!B87</f>
        <v>PECSN</v>
      </c>
      <c r="C95" s="17" t="str">
        <f>'Plant loading'!C87</f>
        <v>eSure</v>
      </c>
      <c r="D95" s="17">
        <f>'Plant loading'!E87</f>
        <v>472</v>
      </c>
      <c r="E95" s="18">
        <f>'Plant loading'!H87</f>
        <v>36</v>
      </c>
      <c r="F95" s="17">
        <f>'Plant loading'!I87</f>
        <v>3.5</v>
      </c>
      <c r="G95" s="16">
        <f t="shared" si="20"/>
        <v>13.111111111111111</v>
      </c>
      <c r="H95" s="16">
        <f t="shared" si="21"/>
        <v>26.222222222222221</v>
      </c>
      <c r="I95" s="799">
        <f t="shared" si="15"/>
        <v>0.92</v>
      </c>
      <c r="J95" s="799">
        <f t="shared" si="14"/>
        <v>0.97</v>
      </c>
      <c r="K95" s="16">
        <f t="shared" si="16"/>
        <v>27.781920000000003</v>
      </c>
      <c r="L95" s="16">
        <f t="shared" si="17"/>
        <v>26.495720000000002</v>
      </c>
      <c r="M95" s="16">
        <f t="shared" si="18"/>
        <v>136.08000000000001</v>
      </c>
      <c r="N95" s="16">
        <f t="shared" si="19"/>
        <v>68.040000000000006</v>
      </c>
    </row>
    <row r="96" spans="1:14">
      <c r="A96" s="19" t="str">
        <f>'Plant loading'!A88</f>
        <v>Southampton</v>
      </c>
      <c r="B96" s="17" t="str">
        <f>'Plant loading'!B88</f>
        <v>PEESN</v>
      </c>
      <c r="C96" s="17" t="str">
        <f>'Plant loading'!C88</f>
        <v>eSure</v>
      </c>
      <c r="D96" s="17">
        <f>'Plant loading'!E88</f>
        <v>348</v>
      </c>
      <c r="E96" s="18">
        <f>'Plant loading'!H88</f>
        <v>36</v>
      </c>
      <c r="F96" s="17">
        <f>'Plant loading'!I88</f>
        <v>3.5</v>
      </c>
      <c r="G96" s="16">
        <f t="shared" si="20"/>
        <v>9.6666666666666661</v>
      </c>
      <c r="H96" s="16">
        <f t="shared" si="21"/>
        <v>19.333333333333332</v>
      </c>
      <c r="I96" s="799">
        <f t="shared" si="15"/>
        <v>0.92</v>
      </c>
      <c r="J96" s="799">
        <f t="shared" si="14"/>
        <v>0.97</v>
      </c>
      <c r="K96" s="16">
        <f t="shared" si="16"/>
        <v>20.483280000000004</v>
      </c>
      <c r="L96" s="16">
        <f t="shared" si="17"/>
        <v>19.534980000000001</v>
      </c>
      <c r="M96" s="16">
        <f t="shared" si="18"/>
        <v>136.08000000000001</v>
      </c>
      <c r="N96" s="16">
        <f t="shared" si="19"/>
        <v>68.040000000000006</v>
      </c>
    </row>
    <row r="97" spans="1:14">
      <c r="A97" s="19" t="str">
        <f>'Plant loading'!A89</f>
        <v>Swanley</v>
      </c>
      <c r="B97" s="17" t="str">
        <f>'Plant loading'!B89</f>
        <v>PEASY</v>
      </c>
      <c r="C97" s="17" t="str">
        <f>'Plant loading'!C89</f>
        <v>eSure</v>
      </c>
      <c r="D97" s="17">
        <f>'Plant loading'!E89</f>
        <v>546</v>
      </c>
      <c r="E97" s="18">
        <f>'Plant loading'!H89</f>
        <v>36</v>
      </c>
      <c r="F97" s="17">
        <f>'Plant loading'!I89</f>
        <v>3.5</v>
      </c>
      <c r="G97" s="16">
        <f t="shared" si="20"/>
        <v>15.166666666666666</v>
      </c>
      <c r="H97" s="16">
        <f t="shared" si="21"/>
        <v>30.333333333333332</v>
      </c>
      <c r="I97" s="799">
        <f t="shared" si="15"/>
        <v>0.92</v>
      </c>
      <c r="J97" s="799">
        <f t="shared" si="14"/>
        <v>0.97</v>
      </c>
      <c r="K97" s="16">
        <f t="shared" si="16"/>
        <v>32.137560000000001</v>
      </c>
      <c r="L97" s="16">
        <f t="shared" si="17"/>
        <v>30.649710000000002</v>
      </c>
      <c r="M97" s="16">
        <f t="shared" si="18"/>
        <v>136.08000000000001</v>
      </c>
      <c r="N97" s="16">
        <f t="shared" si="19"/>
        <v>68.040000000000006</v>
      </c>
    </row>
    <row r="98" spans="1:14">
      <c r="A98" s="19" t="str">
        <f>'Plant loading'!A90</f>
        <v>Swanley</v>
      </c>
      <c r="B98" s="17" t="str">
        <f>'Plant loading'!B90</f>
        <v>PEBSY</v>
      </c>
      <c r="C98" s="17" t="str">
        <f>'Plant loading'!C90</f>
        <v>eSure</v>
      </c>
      <c r="D98" s="17">
        <f>'Plant loading'!E90</f>
        <v>465</v>
      </c>
      <c r="E98" s="18">
        <f>'Plant loading'!H90</f>
        <v>36</v>
      </c>
      <c r="F98" s="17">
        <f>'Plant loading'!I90</f>
        <v>3.5</v>
      </c>
      <c r="G98" s="16">
        <f t="shared" si="20"/>
        <v>12.916666666666666</v>
      </c>
      <c r="H98" s="16">
        <f t="shared" si="21"/>
        <v>25.833333333333332</v>
      </c>
      <c r="I98" s="799">
        <f t="shared" si="15"/>
        <v>0.92</v>
      </c>
      <c r="J98" s="799">
        <f t="shared" si="14"/>
        <v>0.97</v>
      </c>
      <c r="K98" s="16">
        <f t="shared" si="16"/>
        <v>27.369900000000005</v>
      </c>
      <c r="L98" s="16">
        <f t="shared" si="17"/>
        <v>26.102775000000001</v>
      </c>
      <c r="M98" s="16">
        <f t="shared" si="18"/>
        <v>136.08000000000001</v>
      </c>
      <c r="N98" s="16">
        <f t="shared" si="19"/>
        <v>68.040000000000006</v>
      </c>
    </row>
    <row r="99" spans="1:14">
      <c r="A99" s="19" t="str">
        <f>'Plant loading'!A91</f>
        <v>Swanley</v>
      </c>
      <c r="B99" s="17" t="str">
        <f>'Plant loading'!B91</f>
        <v>PECSY</v>
      </c>
      <c r="C99" s="17" t="str">
        <f>'Plant loading'!C91</f>
        <v>eSure</v>
      </c>
      <c r="D99" s="17">
        <f>'Plant loading'!E91</f>
        <v>398</v>
      </c>
      <c r="E99" s="18">
        <f>'Plant loading'!H91</f>
        <v>36</v>
      </c>
      <c r="F99" s="17">
        <f>'Plant loading'!I91</f>
        <v>3.5</v>
      </c>
      <c r="G99" s="16">
        <f t="shared" si="20"/>
        <v>11.055555555555555</v>
      </c>
      <c r="H99" s="16">
        <f t="shared" si="21"/>
        <v>22.111111111111111</v>
      </c>
      <c r="I99" s="799">
        <f t="shared" si="15"/>
        <v>0.92</v>
      </c>
      <c r="J99" s="799">
        <f t="shared" si="14"/>
        <v>0.97</v>
      </c>
      <c r="K99" s="16">
        <f t="shared" si="16"/>
        <v>23.426280000000002</v>
      </c>
      <c r="L99" s="16">
        <f t="shared" si="17"/>
        <v>22.341729999999998</v>
      </c>
      <c r="M99" s="16">
        <f t="shared" si="18"/>
        <v>136.08000000000001</v>
      </c>
      <c r="N99" s="16">
        <f t="shared" si="19"/>
        <v>68.040000000000006</v>
      </c>
    </row>
    <row r="100" spans="1:14">
      <c r="A100" s="19" t="str">
        <f>'Plant loading'!A92</f>
        <v>Swanley</v>
      </c>
      <c r="B100" s="17" t="str">
        <f>'Plant loading'!B92</f>
        <v>PEDSY</v>
      </c>
      <c r="C100" s="17" t="str">
        <f>'Plant loading'!C92</f>
        <v>eSure</v>
      </c>
      <c r="D100" s="17">
        <f>'Plant loading'!E92</f>
        <v>285</v>
      </c>
      <c r="E100" s="18">
        <f>'Plant loading'!H92</f>
        <v>36</v>
      </c>
      <c r="F100" s="17">
        <f>'Plant loading'!I92</f>
        <v>3.5</v>
      </c>
      <c r="G100" s="16">
        <f t="shared" si="20"/>
        <v>7.916666666666667</v>
      </c>
      <c r="H100" s="16">
        <f t="shared" si="21"/>
        <v>15.833333333333334</v>
      </c>
      <c r="I100" s="799">
        <f t="shared" si="15"/>
        <v>0.92</v>
      </c>
      <c r="J100" s="799">
        <f t="shared" si="14"/>
        <v>0.92</v>
      </c>
      <c r="K100" s="16">
        <f t="shared" si="16"/>
        <v>16.775100000000002</v>
      </c>
      <c r="L100" s="16">
        <f t="shared" si="17"/>
        <v>16.775100000000002</v>
      </c>
      <c r="M100" s="16">
        <f t="shared" si="18"/>
        <v>136.08000000000001</v>
      </c>
      <c r="N100" s="16">
        <f t="shared" si="19"/>
        <v>68.040000000000006</v>
      </c>
    </row>
    <row r="101" spans="1:14">
      <c r="A101" s="19" t="str">
        <f>'Plant loading'!A93</f>
        <v>Swanley</v>
      </c>
      <c r="B101" s="17" t="str">
        <f>'Plant loading'!B93</f>
        <v>PEESY</v>
      </c>
      <c r="C101" s="17" t="str">
        <f>'Plant loading'!C93</f>
        <v>eSure</v>
      </c>
      <c r="D101" s="17">
        <f>'Plant loading'!E93</f>
        <v>321</v>
      </c>
      <c r="E101" s="18">
        <f>'Plant loading'!H93</f>
        <v>30</v>
      </c>
      <c r="F101" s="17">
        <f>'Plant loading'!I93</f>
        <v>3.5</v>
      </c>
      <c r="G101" s="16">
        <f t="shared" si="20"/>
        <v>10.7</v>
      </c>
      <c r="H101" s="16">
        <f t="shared" si="21"/>
        <v>21.4</v>
      </c>
      <c r="I101" s="799">
        <f t="shared" si="15"/>
        <v>0.92</v>
      </c>
      <c r="J101" s="799">
        <f t="shared" si="14"/>
        <v>0.97</v>
      </c>
      <c r="K101" s="16">
        <f t="shared" si="16"/>
        <v>18.89406</v>
      </c>
      <c r="L101" s="16">
        <f t="shared" si="17"/>
        <v>18.019334999999998</v>
      </c>
      <c r="M101" s="16">
        <f t="shared" si="18"/>
        <v>113.4</v>
      </c>
      <c r="N101" s="16">
        <f t="shared" si="19"/>
        <v>56.7</v>
      </c>
    </row>
    <row r="109" spans="1:14">
      <c r="A109" t="s">
        <v>585</v>
      </c>
      <c r="D109" s="5" t="s">
        <v>586</v>
      </c>
    </row>
    <row r="110" spans="1:14">
      <c r="A110" t="s">
        <v>348</v>
      </c>
      <c r="B110">
        <f>SUM('Plant loading'!L94:L95)</f>
        <v>114</v>
      </c>
      <c r="D110" s="5">
        <v>223</v>
      </c>
    </row>
    <row r="111" spans="1:14">
      <c r="A111" t="s">
        <v>350</v>
      </c>
      <c r="B111">
        <f>SUM('Plant loading'!L96:L98)</f>
        <v>113</v>
      </c>
      <c r="D111" s="5">
        <v>240</v>
      </c>
    </row>
    <row r="112" spans="1:14">
      <c r="A112" t="s">
        <v>353</v>
      </c>
      <c r="B112">
        <f>SUM('Plant loading'!L99:L100)</f>
        <v>114</v>
      </c>
      <c r="D112" s="5"/>
    </row>
    <row r="113" spans="1:4">
      <c r="A113" t="s">
        <v>355</v>
      </c>
      <c r="B113">
        <f>SUM('Plant loading'!L101:L102)</f>
        <v>114</v>
      </c>
      <c r="D113" s="5"/>
    </row>
    <row r="114" spans="1:4">
      <c r="A114" t="s">
        <v>357</v>
      </c>
      <c r="B114">
        <f>SUM('Plant loading'!L103:L104)</f>
        <v>42</v>
      </c>
      <c r="D114" s="5"/>
    </row>
    <row r="115" spans="1:4">
      <c r="A115" t="s">
        <v>359</v>
      </c>
      <c r="B115">
        <f>SUM('Plant loading'!L105:L106)</f>
        <v>114</v>
      </c>
      <c r="D115" s="5"/>
    </row>
    <row r="116" spans="1:4">
      <c r="A116" t="s">
        <v>363</v>
      </c>
      <c r="B116">
        <f>SUM('Plant loading'!L107:L108)</f>
        <v>114</v>
      </c>
      <c r="D116" s="5"/>
    </row>
    <row r="117" spans="1:4">
      <c r="A117" t="s">
        <v>361</v>
      </c>
      <c r="B117">
        <f>SUM('Plant loading'!L109:L111)</f>
        <v>142</v>
      </c>
      <c r="D117" s="5"/>
    </row>
    <row r="118" spans="1:4">
      <c r="A118" t="s">
        <v>367</v>
      </c>
      <c r="B118">
        <f>SUM('Plant loading'!L112:L113)</f>
        <v>105</v>
      </c>
      <c r="D118" s="5"/>
    </row>
    <row r="119" spans="1:4">
      <c r="A119" t="s">
        <v>369</v>
      </c>
      <c r="B119">
        <f>SUM('Plant loading'!L114:L115)</f>
        <v>114</v>
      </c>
      <c r="D119" s="5"/>
    </row>
    <row r="120" spans="1:4">
      <c r="A120" t="s">
        <v>371</v>
      </c>
      <c r="B120">
        <f>SUM('Plant loading'!L116:L118)</f>
        <v>84</v>
      </c>
      <c r="D120" s="5"/>
    </row>
  </sheetData>
  <mergeCells count="5">
    <mergeCell ref="G20:H20"/>
    <mergeCell ref="I20:J20"/>
    <mergeCell ref="K20:L20"/>
    <mergeCell ref="M20:N20"/>
    <mergeCell ref="K1:L1"/>
  </mergeCells>
  <conditionalFormatting sqref="L3">
    <cfRule type="expression" dxfId="89" priority="1" stopIfTrue="1">
      <formula>"F3&lt;K3"</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15"/>
  <sheetViews>
    <sheetView topLeftCell="H6" zoomScaleNormal="100" workbookViewId="0">
      <selection activeCell="W8" sqref="W8"/>
    </sheetView>
  </sheetViews>
  <sheetFormatPr defaultColWidth="8.6640625" defaultRowHeight="10.15" outlineLevelCol="1"/>
  <cols>
    <col min="1" max="1" width="22.6640625" bestFit="1" customWidth="1"/>
    <col min="2" max="2" width="34" bestFit="1" customWidth="1"/>
    <col min="3" max="3" width="19.83203125" customWidth="1"/>
    <col min="4" max="4" width="22.83203125" customWidth="1"/>
    <col min="5" max="5" width="12" customWidth="1" outlineLevel="1"/>
    <col min="6" max="13" width="15.6640625" customWidth="1" outlineLevel="1"/>
    <col min="14" max="14" width="16.6640625" customWidth="1" outlineLevel="1"/>
    <col min="15" max="15" width="16.33203125" customWidth="1" outlineLevel="1"/>
    <col min="16" max="16" width="26.6640625" customWidth="1" outlineLevel="1"/>
    <col min="17" max="17" width="9.1640625" style="5" bestFit="1" customWidth="1"/>
    <col min="18" max="18" width="9" style="5" bestFit="1" customWidth="1"/>
    <col min="19" max="20" width="8.83203125" style="5" bestFit="1" customWidth="1" outlineLevel="1"/>
    <col min="21" max="22" width="8.83203125" bestFit="1" customWidth="1"/>
    <col min="23" max="23" width="8.6640625" bestFit="1" customWidth="1"/>
    <col min="24" max="24" width="16.83203125" bestFit="1" customWidth="1"/>
    <col min="25" max="25" width="8.6640625" bestFit="1" customWidth="1"/>
    <col min="26" max="26" width="16.83203125" bestFit="1" customWidth="1"/>
    <col min="27" max="27" width="15.83203125" bestFit="1" customWidth="1"/>
    <col min="28" max="28" width="9" bestFit="1" customWidth="1"/>
    <col min="29" max="30" width="8.83203125" bestFit="1" customWidth="1"/>
    <col min="32" max="32" width="8.83203125" bestFit="1" customWidth="1"/>
    <col min="35" max="35" width="8.83203125" bestFit="1" customWidth="1"/>
    <col min="36" max="36" width="9" bestFit="1" customWidth="1"/>
    <col min="38" max="38" width="9" bestFit="1" customWidth="1"/>
    <col min="39" max="39" width="8.83203125" bestFit="1" customWidth="1"/>
    <col min="40" max="40" width="8.5" bestFit="1" customWidth="1"/>
    <col min="42" max="43" width="8.5" bestFit="1" customWidth="1"/>
    <col min="44" max="44" width="8.83203125" bestFit="1" customWidth="1"/>
    <col min="46" max="47" width="8.5" bestFit="1" customWidth="1"/>
    <col min="48" max="48" width="8.83203125" bestFit="1" customWidth="1"/>
    <col min="52" max="52" width="8.5" bestFit="1" customWidth="1"/>
    <col min="54" max="55" width="8.5" bestFit="1" customWidth="1"/>
    <col min="57" max="59" width="8.5" bestFit="1" customWidth="1"/>
    <col min="60" max="60" width="8.83203125" bestFit="1" customWidth="1"/>
    <col min="61" max="63" width="9" bestFit="1" customWidth="1"/>
    <col min="64" max="67" width="8.83203125" bestFit="1" customWidth="1"/>
    <col min="68" max="68" width="9" bestFit="1" customWidth="1"/>
    <col min="69" max="69" width="9.5" bestFit="1" customWidth="1"/>
    <col min="72" max="72" width="8.83203125" bestFit="1" customWidth="1"/>
    <col min="73" max="73" width="9.1640625" bestFit="1" customWidth="1"/>
    <col min="74" max="74" width="9" bestFit="1" customWidth="1"/>
    <col min="75" max="75" width="9.5" bestFit="1" customWidth="1"/>
    <col min="76" max="76" width="13.6640625" bestFit="1" customWidth="1"/>
  </cols>
  <sheetData>
    <row r="1" spans="1:28">
      <c r="B1" s="795" t="s">
        <v>587</v>
      </c>
      <c r="C1" s="795" t="s">
        <v>588</v>
      </c>
      <c r="D1" s="1386" t="s">
        <v>589</v>
      </c>
      <c r="E1" s="1386"/>
    </row>
    <row r="2" spans="1:28">
      <c r="A2" s="13" t="s">
        <v>590</v>
      </c>
      <c r="B2" s="342">
        <v>45383</v>
      </c>
      <c r="C2" s="342">
        <f>B2+364</f>
        <v>45747</v>
      </c>
      <c r="D2" s="342">
        <f>B2-B5</f>
        <v>42827</v>
      </c>
      <c r="E2" s="342">
        <f>C2-B5</f>
        <v>43191</v>
      </c>
      <c r="G2" s="1423" t="s">
        <v>591</v>
      </c>
      <c r="H2" s="1423"/>
      <c r="I2" s="37">
        <f>B147</f>
        <v>261108.9</v>
      </c>
    </row>
    <row r="3" spans="1:28">
      <c r="A3" s="13" t="s">
        <v>592</v>
      </c>
      <c r="B3" s="342">
        <f>B2+366</f>
        <v>45749</v>
      </c>
      <c r="C3" s="342">
        <f>C2+365</f>
        <v>46112</v>
      </c>
      <c r="D3" s="342">
        <f>B3-B5</f>
        <v>43193</v>
      </c>
      <c r="E3" s="342">
        <f>C3-B5</f>
        <v>43556</v>
      </c>
      <c r="G3" s="1422" t="s">
        <v>593</v>
      </c>
      <c r="H3" s="1422"/>
      <c r="I3" s="37">
        <f>D147</f>
        <v>12073</v>
      </c>
    </row>
    <row r="4" spans="1:28">
      <c r="A4" s="13" t="s">
        <v>594</v>
      </c>
      <c r="B4" s="5">
        <v>7</v>
      </c>
      <c r="C4" s="5"/>
    </row>
    <row r="5" spans="1:28" ht="10.9" thickBot="1">
      <c r="A5" s="13" t="s">
        <v>595</v>
      </c>
      <c r="B5" s="5">
        <f>(B4*365)+1</f>
        <v>2556</v>
      </c>
      <c r="C5" s="5"/>
    </row>
    <row r="6" spans="1:28">
      <c r="W6" s="1411" t="s">
        <v>590</v>
      </c>
      <c r="X6" s="1412"/>
      <c r="Y6" s="1411" t="s">
        <v>596</v>
      </c>
      <c r="Z6" s="1412"/>
    </row>
    <row r="7" spans="1:28" s="1" customFormat="1" ht="31.5" customHeight="1">
      <c r="A7" s="13" t="s">
        <v>512</v>
      </c>
      <c r="B7" s="13" t="s">
        <v>580</v>
      </c>
      <c r="C7" s="795" t="s">
        <v>597</v>
      </c>
      <c r="D7" s="33" t="s">
        <v>598</v>
      </c>
      <c r="E7" s="33" t="s">
        <v>599</v>
      </c>
      <c r="F7" s="795" t="s">
        <v>600</v>
      </c>
      <c r="G7" s="795" t="s">
        <v>601</v>
      </c>
      <c r="H7" s="795" t="s">
        <v>602</v>
      </c>
      <c r="I7" s="795" t="s">
        <v>603</v>
      </c>
      <c r="J7" s="795" t="s">
        <v>604</v>
      </c>
      <c r="K7" s="795" t="s">
        <v>605</v>
      </c>
      <c r="L7" s="795" t="s">
        <v>606</v>
      </c>
      <c r="M7" s="795" t="s">
        <v>607</v>
      </c>
      <c r="N7" s="795" t="s">
        <v>608</v>
      </c>
      <c r="O7" s="795" t="s">
        <v>609</v>
      </c>
      <c r="P7" s="795" t="s">
        <v>610</v>
      </c>
      <c r="Q7" s="33" t="s">
        <v>611</v>
      </c>
      <c r="R7" s="33" t="s">
        <v>612</v>
      </c>
      <c r="S7" s="33" t="s">
        <v>613</v>
      </c>
      <c r="T7" s="33" t="s">
        <v>614</v>
      </c>
      <c r="U7" s="33" t="s">
        <v>615</v>
      </c>
      <c r="V7" s="33" t="s">
        <v>616</v>
      </c>
      <c r="W7" s="192" t="s">
        <v>617</v>
      </c>
      <c r="X7" s="193" t="s">
        <v>618</v>
      </c>
      <c r="Y7" s="192" t="s">
        <v>617</v>
      </c>
      <c r="Z7" s="193" t="s">
        <v>618</v>
      </c>
      <c r="AA7" s="33" t="s">
        <v>512</v>
      </c>
      <c r="AB7" s="338"/>
    </row>
    <row r="8" spans="1:28" ht="10.5" customHeight="1">
      <c r="A8" s="748" t="str">
        <f>'Plant loading'!A4</f>
        <v>Acton</v>
      </c>
      <c r="B8" s="748" t="str">
        <f>'Plant loading'!B4</f>
        <v>PEAAN</v>
      </c>
      <c r="C8" s="749">
        <f>('Plant loading'!E4*54.5)/1000</f>
        <v>34.335000000000001</v>
      </c>
      <c r="D8" s="750" t="str">
        <f t="shared" ref="D8:D39" si="0">CHOOSE(T8,$C$130,$D$130,$E$130,$F$130,$G$130,$H$130,$I$130,$J$130,$K$130,$L$130,$M$130,$N$130,$O$130,$P$130,$Q$130,$R$130)</f>
        <v>3 hours</v>
      </c>
      <c r="E8" s="743">
        <v>44105</v>
      </c>
      <c r="F8" s="751">
        <v>44105</v>
      </c>
      <c r="G8" s="751">
        <v>44105</v>
      </c>
      <c r="H8" s="751">
        <v>44105</v>
      </c>
      <c r="I8" s="751">
        <v>44105</v>
      </c>
      <c r="J8" s="751">
        <v>44105</v>
      </c>
      <c r="K8" s="751">
        <v>44105</v>
      </c>
      <c r="L8" s="751">
        <v>44105</v>
      </c>
      <c r="M8" s="751">
        <v>44105</v>
      </c>
      <c r="N8" s="743"/>
      <c r="O8" s="743"/>
      <c r="P8" s="743" t="s">
        <v>619</v>
      </c>
      <c r="Q8"/>
      <c r="R8" s="5">
        <f t="shared" ref="R8:R39" si="1">COUNT(E8:P8)</f>
        <v>9</v>
      </c>
      <c r="S8" s="5">
        <f t="shared" ref="S8:S39" si="2">C8/R8</f>
        <v>3.8149999999999999</v>
      </c>
      <c r="T8" s="5">
        <f t="shared" ref="T8:T39" si="3">MATCH(S8,$C$134:$R$134,-1)</f>
        <v>11</v>
      </c>
      <c r="U8" s="5">
        <f t="shared" ref="U8:U39" si="4">COUNTIFS(E8:P8,"&gt;="&amp;$D$3,E8:P8,"&lt;="&amp;$E$3)</f>
        <v>0</v>
      </c>
      <c r="V8" s="5">
        <f t="shared" ref="V8:V39" si="5">COUNTIFS(E8:P8,"&lt;="&amp;$E$2)</f>
        <v>0</v>
      </c>
      <c r="W8" s="194">
        <f t="shared" ref="W8:W31" si="6">MATCH($E8,$B$177:$Q$177,1)</f>
        <v>7</v>
      </c>
      <c r="X8" s="195" t="str">
        <f t="shared" ref="X8:X39" si="7">CHOOSE(ROUNDUP((W8/2),0),$B$179,$D$179,$F$179,$H$179,$J$179,$L$179,$N$179,$P$179)</f>
        <v>Discharge</v>
      </c>
      <c r="Y8" s="194">
        <f t="shared" ref="Y8:Y31" si="8">MATCH($E8,$B$183:$S$183,1)</f>
        <v>7</v>
      </c>
      <c r="Z8" s="195" t="str">
        <f t="shared" ref="Z8:Z39" si="9">CHOOSE(ROUNDUP((Y8/2),0),$B$185,$D$185,$F$185,$H$185,$J$185,$L$185,$N$185,$P$185,$R$185)</f>
        <v>IR+HC</v>
      </c>
      <c r="AA8" s="1390" t="str">
        <f>A8</f>
        <v>Acton</v>
      </c>
      <c r="AB8" t="str">
        <f>B8</f>
        <v>PEAAN</v>
      </c>
    </row>
    <row r="9" spans="1:28">
      <c r="A9" s="92" t="str">
        <f>'Plant loading'!A5</f>
        <v>Acton</v>
      </c>
      <c r="B9" s="92" t="str">
        <f>'Plant loading'!B5</f>
        <v>PEBAN</v>
      </c>
      <c r="C9" s="93">
        <f>('Plant loading'!E5*54.5)/1000</f>
        <v>33.081499999999998</v>
      </c>
      <c r="D9" s="94" t="str">
        <f t="shared" si="0"/>
        <v>3 hours</v>
      </c>
      <c r="E9" s="342">
        <v>44105</v>
      </c>
      <c r="F9" s="518">
        <v>44105</v>
      </c>
      <c r="G9" s="518">
        <v>44105</v>
      </c>
      <c r="H9" s="518">
        <v>44105</v>
      </c>
      <c r="I9" s="518">
        <v>44105</v>
      </c>
      <c r="J9" s="518">
        <v>44105</v>
      </c>
      <c r="K9" s="518">
        <v>44105</v>
      </c>
      <c r="L9" s="518">
        <v>44105</v>
      </c>
      <c r="M9" s="518">
        <v>44105</v>
      </c>
      <c r="N9" s="342"/>
      <c r="O9" s="342"/>
      <c r="P9" s="342" t="s">
        <v>619</v>
      </c>
      <c r="Q9"/>
      <c r="R9" s="5">
        <f t="shared" si="1"/>
        <v>9</v>
      </c>
      <c r="S9" s="5">
        <f t="shared" si="2"/>
        <v>3.6757222222222219</v>
      </c>
      <c r="T9" s="5">
        <f t="shared" si="3"/>
        <v>11</v>
      </c>
      <c r="U9" s="5">
        <f t="shared" si="4"/>
        <v>0</v>
      </c>
      <c r="V9" s="5">
        <f t="shared" si="5"/>
        <v>0</v>
      </c>
      <c r="W9" s="194">
        <f t="shared" si="6"/>
        <v>7</v>
      </c>
      <c r="X9" s="195" t="str">
        <f t="shared" si="7"/>
        <v>Discharge</v>
      </c>
      <c r="Y9" s="194">
        <f t="shared" si="8"/>
        <v>7</v>
      </c>
      <c r="Z9" s="195" t="str">
        <f t="shared" si="9"/>
        <v>IR+HC</v>
      </c>
      <c r="AA9" s="1390"/>
      <c r="AB9" t="str">
        <f t="shared" ref="AB9:AB72" si="10">B9</f>
        <v>PEBAN</v>
      </c>
    </row>
    <row r="10" spans="1:28">
      <c r="A10" s="92" t="str">
        <f>'Plant loading'!A6</f>
        <v>Acton</v>
      </c>
      <c r="B10" s="92" t="str">
        <f>'Plant loading'!B6</f>
        <v>PECAN</v>
      </c>
      <c r="C10" s="93">
        <f>('Plant loading'!E6*54.5)/1000</f>
        <v>25.942</v>
      </c>
      <c r="D10" s="94" t="str">
        <f t="shared" si="0"/>
        <v>5 hours</v>
      </c>
      <c r="E10" s="342">
        <v>44105</v>
      </c>
      <c r="F10" s="518">
        <v>44105</v>
      </c>
      <c r="G10" s="518">
        <v>44105</v>
      </c>
      <c r="H10" s="518">
        <v>44105</v>
      </c>
      <c r="I10" s="518">
        <v>44105</v>
      </c>
      <c r="J10" s="518">
        <v>44105</v>
      </c>
      <c r="K10" s="518">
        <v>44105</v>
      </c>
      <c r="L10" s="518">
        <v>44105</v>
      </c>
      <c r="M10" s="518">
        <v>44105</v>
      </c>
      <c r="N10" s="342"/>
      <c r="O10" s="342"/>
      <c r="P10" s="342" t="s">
        <v>619</v>
      </c>
      <c r="Q10"/>
      <c r="R10" s="5">
        <f t="shared" si="1"/>
        <v>9</v>
      </c>
      <c r="S10" s="5">
        <f t="shared" si="2"/>
        <v>2.8824444444444444</v>
      </c>
      <c r="T10" s="5">
        <f t="shared" si="3"/>
        <v>13</v>
      </c>
      <c r="U10" s="5">
        <f t="shared" si="4"/>
        <v>0</v>
      </c>
      <c r="V10" s="5">
        <f t="shared" si="5"/>
        <v>0</v>
      </c>
      <c r="W10" s="194">
        <f t="shared" si="6"/>
        <v>7</v>
      </c>
      <c r="X10" s="195" t="str">
        <f t="shared" si="7"/>
        <v>Discharge</v>
      </c>
      <c r="Y10" s="194">
        <f t="shared" si="8"/>
        <v>7</v>
      </c>
      <c r="Z10" s="195" t="str">
        <f t="shared" si="9"/>
        <v>IR+HC</v>
      </c>
      <c r="AA10" s="1390"/>
      <c r="AB10" t="str">
        <f t="shared" si="10"/>
        <v>PECAN</v>
      </c>
    </row>
    <row r="11" spans="1:28">
      <c r="A11" s="92" t="str">
        <f>'Plant loading'!A7</f>
        <v>Acton</v>
      </c>
      <c r="B11" s="92" t="str">
        <f>'Plant loading'!B7</f>
        <v>PEFAN</v>
      </c>
      <c r="C11" s="93">
        <f>('Plant loading'!E7*54.5)/1000</f>
        <v>37.932000000000002</v>
      </c>
      <c r="D11" s="94" t="str">
        <f t="shared" si="0"/>
        <v>3 hours</v>
      </c>
      <c r="E11" s="342">
        <v>44105</v>
      </c>
      <c r="F11" s="518">
        <v>44105</v>
      </c>
      <c r="G11" s="518">
        <v>44105</v>
      </c>
      <c r="H11" s="518">
        <v>44105</v>
      </c>
      <c r="I11" s="518">
        <v>44105</v>
      </c>
      <c r="J11" s="518">
        <v>44105</v>
      </c>
      <c r="K11" s="518">
        <v>44105</v>
      </c>
      <c r="L11" s="518">
        <v>44105</v>
      </c>
      <c r="M11" s="518">
        <v>44105</v>
      </c>
      <c r="N11" s="342"/>
      <c r="O11" s="342"/>
      <c r="P11" s="342" t="s">
        <v>619</v>
      </c>
      <c r="Q11"/>
      <c r="R11" s="5">
        <f t="shared" si="1"/>
        <v>9</v>
      </c>
      <c r="S11" s="5">
        <f t="shared" si="2"/>
        <v>4.214666666666667</v>
      </c>
      <c r="T11" s="5">
        <f t="shared" si="3"/>
        <v>11</v>
      </c>
      <c r="U11" s="5">
        <f t="shared" si="4"/>
        <v>0</v>
      </c>
      <c r="V11" s="5">
        <f t="shared" si="5"/>
        <v>0</v>
      </c>
      <c r="W11" s="194">
        <f t="shared" si="6"/>
        <v>7</v>
      </c>
      <c r="X11" s="195" t="str">
        <f t="shared" si="7"/>
        <v>Discharge</v>
      </c>
      <c r="Y11" s="194">
        <f t="shared" si="8"/>
        <v>7</v>
      </c>
      <c r="Z11" s="195" t="str">
        <f t="shared" si="9"/>
        <v>IR+HC</v>
      </c>
      <c r="AA11" s="1390"/>
      <c r="AB11" t="str">
        <f t="shared" si="10"/>
        <v>PEFAN</v>
      </c>
    </row>
    <row r="12" spans="1:28">
      <c r="A12" s="92" t="str">
        <f>'Plant loading'!A8</f>
        <v>Acton</v>
      </c>
      <c r="B12" s="92" t="str">
        <f>'Plant loading'!B8</f>
        <v>PEGAN</v>
      </c>
      <c r="C12" s="93">
        <f>('Plant loading'!E8*54.5)/1000</f>
        <v>39.621499999999997</v>
      </c>
      <c r="D12" s="94" t="str">
        <f t="shared" si="0"/>
        <v>3 hours</v>
      </c>
      <c r="E12" s="342">
        <v>44105</v>
      </c>
      <c r="F12" s="518">
        <v>44105</v>
      </c>
      <c r="G12" s="518">
        <v>44105</v>
      </c>
      <c r="H12" s="815">
        <v>44105</v>
      </c>
      <c r="I12" s="518">
        <v>44105</v>
      </c>
      <c r="J12" s="518">
        <v>44105</v>
      </c>
      <c r="K12" s="518">
        <v>44105</v>
      </c>
      <c r="L12" s="518">
        <v>44105</v>
      </c>
      <c r="M12" s="518">
        <v>44105</v>
      </c>
      <c r="N12" s="342"/>
      <c r="O12" s="342"/>
      <c r="P12" s="342" t="s">
        <v>619</v>
      </c>
      <c r="Q12"/>
      <c r="R12" s="5">
        <f t="shared" si="1"/>
        <v>9</v>
      </c>
      <c r="S12" s="5">
        <f t="shared" si="2"/>
        <v>4.4023888888888889</v>
      </c>
      <c r="T12" s="5">
        <f t="shared" si="3"/>
        <v>11</v>
      </c>
      <c r="U12" s="5">
        <f t="shared" si="4"/>
        <v>0</v>
      </c>
      <c r="V12" s="5">
        <f t="shared" si="5"/>
        <v>0</v>
      </c>
      <c r="W12" s="194">
        <f t="shared" si="6"/>
        <v>7</v>
      </c>
      <c r="X12" s="195" t="str">
        <f t="shared" si="7"/>
        <v>Discharge</v>
      </c>
      <c r="Y12" s="194">
        <f t="shared" si="8"/>
        <v>7</v>
      </c>
      <c r="Z12" s="195" t="str">
        <f t="shared" si="9"/>
        <v>IR+HC</v>
      </c>
      <c r="AA12" s="1390"/>
      <c r="AB12" t="str">
        <f t="shared" si="10"/>
        <v>PEGAN</v>
      </c>
    </row>
    <row r="13" spans="1:28">
      <c r="A13" s="740" t="str">
        <f>'Plant loading'!A9</f>
        <v>Basingstoke</v>
      </c>
      <c r="B13" s="740" t="str">
        <f>'Plant loading'!B9</f>
        <v>PEABE</v>
      </c>
      <c r="C13" s="741">
        <f>('Plant loading'!E9*54.5)/1000</f>
        <v>43.817999999999998</v>
      </c>
      <c r="D13" s="742" t="str">
        <f t="shared" si="0"/>
        <v>2.5 hours</v>
      </c>
      <c r="E13" s="743">
        <v>45170</v>
      </c>
      <c r="F13" s="743">
        <v>45170</v>
      </c>
      <c r="G13" s="743">
        <v>45170</v>
      </c>
      <c r="H13" s="743">
        <v>45170</v>
      </c>
      <c r="I13" s="743">
        <v>45170</v>
      </c>
      <c r="J13" s="743">
        <v>45170</v>
      </c>
      <c r="K13" s="743">
        <v>45170</v>
      </c>
      <c r="L13" s="743">
        <v>45170</v>
      </c>
      <c r="M13" s="743">
        <v>45170</v>
      </c>
      <c r="N13" s="743"/>
      <c r="O13" s="743"/>
      <c r="P13" s="743" t="s">
        <v>619</v>
      </c>
      <c r="Q13"/>
      <c r="R13" s="5">
        <f t="shared" si="1"/>
        <v>9</v>
      </c>
      <c r="S13" s="5">
        <f t="shared" si="2"/>
        <v>4.868666666666666</v>
      </c>
      <c r="T13" s="5">
        <f t="shared" si="3"/>
        <v>10</v>
      </c>
      <c r="U13" s="5">
        <f t="shared" si="4"/>
        <v>0</v>
      </c>
      <c r="V13" s="5">
        <f t="shared" si="5"/>
        <v>0</v>
      </c>
      <c r="W13" s="194">
        <f t="shared" si="6"/>
        <v>13</v>
      </c>
      <c r="X13" s="196" t="str">
        <f t="shared" si="7"/>
        <v>IR+HC</v>
      </c>
      <c r="Y13" s="194">
        <f t="shared" si="8"/>
        <v>13</v>
      </c>
      <c r="Z13" s="196" t="str">
        <f t="shared" si="9"/>
        <v>Discharge</v>
      </c>
      <c r="AA13" s="1391" t="str">
        <f>A13</f>
        <v>Basingstoke</v>
      </c>
      <c r="AB13" t="str">
        <f t="shared" si="10"/>
        <v>PEABE</v>
      </c>
    </row>
    <row r="14" spans="1:28">
      <c r="A14" s="95" t="str">
        <f>'Plant loading'!A10</f>
        <v>Basingstoke</v>
      </c>
      <c r="B14" s="95" t="str">
        <f>'Plant loading'!B10</f>
        <v>PEBBE</v>
      </c>
      <c r="C14" s="96">
        <f>('Plant loading'!E10*54.5)/1000</f>
        <v>49.704000000000001</v>
      </c>
      <c r="D14" s="97" t="str">
        <f t="shared" si="0"/>
        <v>2 hours</v>
      </c>
      <c r="E14" s="342">
        <v>45170</v>
      </c>
      <c r="F14" s="342">
        <v>45170</v>
      </c>
      <c r="G14" s="342">
        <v>45170</v>
      </c>
      <c r="H14" s="342">
        <v>45170</v>
      </c>
      <c r="I14" s="342">
        <v>45170</v>
      </c>
      <c r="J14" s="342">
        <v>45170</v>
      </c>
      <c r="K14" s="342">
        <v>45170</v>
      </c>
      <c r="L14" s="342">
        <v>45170</v>
      </c>
      <c r="M14" s="342">
        <v>45170</v>
      </c>
      <c r="N14" s="342"/>
      <c r="O14" s="342"/>
      <c r="P14" s="342" t="s">
        <v>619</v>
      </c>
      <c r="Q14"/>
      <c r="R14" s="5">
        <f t="shared" si="1"/>
        <v>9</v>
      </c>
      <c r="S14" s="5">
        <f t="shared" si="2"/>
        <v>5.5226666666666668</v>
      </c>
      <c r="T14" s="5">
        <f t="shared" si="3"/>
        <v>9</v>
      </c>
      <c r="U14" s="5">
        <f t="shared" si="4"/>
        <v>0</v>
      </c>
      <c r="V14" s="5">
        <f t="shared" si="5"/>
        <v>0</v>
      </c>
      <c r="W14" s="194">
        <f t="shared" si="6"/>
        <v>13</v>
      </c>
      <c r="X14" s="196" t="str">
        <f t="shared" si="7"/>
        <v>IR+HC</v>
      </c>
      <c r="Y14" s="194">
        <f t="shared" si="8"/>
        <v>13</v>
      </c>
      <c r="Z14" s="196" t="str">
        <f t="shared" si="9"/>
        <v>Discharge</v>
      </c>
      <c r="AA14" s="1391"/>
      <c r="AB14" t="str">
        <f t="shared" si="10"/>
        <v>PEBBE</v>
      </c>
    </row>
    <row r="15" spans="1:28">
      <c r="A15" s="95" t="str">
        <f>'Plant loading'!A11</f>
        <v>Basingstoke</v>
      </c>
      <c r="B15" s="95" t="str">
        <f>'Plant loading'!B11</f>
        <v>PECBE</v>
      </c>
      <c r="C15" s="96">
        <f>('Plant loading'!E11*54.5)/1000</f>
        <v>46.761000000000003</v>
      </c>
      <c r="D15" s="97" t="str">
        <f t="shared" si="0"/>
        <v>2 hours</v>
      </c>
      <c r="E15" s="342">
        <v>45170</v>
      </c>
      <c r="F15" s="342">
        <v>45170</v>
      </c>
      <c r="G15" s="342">
        <v>45170</v>
      </c>
      <c r="H15" s="342">
        <v>45170</v>
      </c>
      <c r="I15" s="342">
        <v>45170</v>
      </c>
      <c r="J15" s="342">
        <v>45170</v>
      </c>
      <c r="K15" s="342">
        <v>45170</v>
      </c>
      <c r="L15" s="342">
        <v>45170</v>
      </c>
      <c r="M15" s="342">
        <v>45170</v>
      </c>
      <c r="N15" s="342"/>
      <c r="O15" s="342"/>
      <c r="P15" s="342" t="s">
        <v>619</v>
      </c>
      <c r="Q15"/>
      <c r="R15" s="5">
        <f t="shared" si="1"/>
        <v>9</v>
      </c>
      <c r="S15" s="5">
        <f t="shared" si="2"/>
        <v>5.1956666666666669</v>
      </c>
      <c r="T15" s="5">
        <f t="shared" si="3"/>
        <v>9</v>
      </c>
      <c r="U15" s="5">
        <f t="shared" si="4"/>
        <v>0</v>
      </c>
      <c r="V15" s="5">
        <f t="shared" si="5"/>
        <v>0</v>
      </c>
      <c r="W15" s="194">
        <f t="shared" si="6"/>
        <v>13</v>
      </c>
      <c r="X15" s="196" t="str">
        <f t="shared" si="7"/>
        <v>IR+HC</v>
      </c>
      <c r="Y15" s="194">
        <f t="shared" si="8"/>
        <v>13</v>
      </c>
      <c r="Z15" s="196" t="str">
        <f t="shared" si="9"/>
        <v>Discharge</v>
      </c>
      <c r="AA15" s="1391"/>
      <c r="AB15" t="str">
        <f t="shared" si="10"/>
        <v>PECBE</v>
      </c>
    </row>
    <row r="16" spans="1:28">
      <c r="A16" s="95" t="str">
        <f>'Plant loading'!A12</f>
        <v>Basingstoke</v>
      </c>
      <c r="B16" s="95" t="str">
        <f>'Plant loading'!B12</f>
        <v>PEEBE</v>
      </c>
      <c r="C16" s="96">
        <f>('Plant loading'!E12*54.5)/1000</f>
        <v>48.505000000000003</v>
      </c>
      <c r="D16" s="97" t="str">
        <f t="shared" si="0"/>
        <v>2 hours</v>
      </c>
      <c r="E16" s="342">
        <v>45170</v>
      </c>
      <c r="F16" s="342">
        <v>45170</v>
      </c>
      <c r="G16" s="342">
        <v>45170</v>
      </c>
      <c r="H16" s="342">
        <v>45170</v>
      </c>
      <c r="I16" s="342">
        <v>45170</v>
      </c>
      <c r="J16" s="342">
        <v>45170</v>
      </c>
      <c r="K16" s="342">
        <v>45170</v>
      </c>
      <c r="L16" s="342">
        <v>45170</v>
      </c>
      <c r="M16" s="342">
        <v>45170</v>
      </c>
      <c r="N16" s="342"/>
      <c r="O16" s="342"/>
      <c r="P16" s="342" t="s">
        <v>619</v>
      </c>
      <c r="Q16"/>
      <c r="R16" s="5">
        <f t="shared" si="1"/>
        <v>9</v>
      </c>
      <c r="S16" s="5">
        <f t="shared" si="2"/>
        <v>5.3894444444444449</v>
      </c>
      <c r="T16" s="5">
        <f t="shared" si="3"/>
        <v>9</v>
      </c>
      <c r="U16" s="5">
        <f t="shared" si="4"/>
        <v>0</v>
      </c>
      <c r="V16" s="5">
        <f t="shared" si="5"/>
        <v>0</v>
      </c>
      <c r="W16" s="194">
        <f t="shared" si="6"/>
        <v>13</v>
      </c>
      <c r="X16" s="196" t="str">
        <f t="shared" si="7"/>
        <v>IR+HC</v>
      </c>
      <c r="Y16" s="194">
        <f t="shared" si="8"/>
        <v>13</v>
      </c>
      <c r="Z16" s="196" t="str">
        <f t="shared" si="9"/>
        <v>Discharge</v>
      </c>
      <c r="AA16" s="1391"/>
      <c r="AB16" t="str">
        <f t="shared" si="10"/>
        <v>PEEBE</v>
      </c>
    </row>
    <row r="17" spans="1:28">
      <c r="A17" s="95" t="str">
        <f>'Plant loading'!A13</f>
        <v>Basingstoke</v>
      </c>
      <c r="B17" s="95" t="str">
        <f>'Plant loading'!B13</f>
        <v>PEFBE</v>
      </c>
      <c r="C17" s="96">
        <f>('Plant loading'!E13*54.5)/1000</f>
        <v>47.6875</v>
      </c>
      <c r="D17" s="97" t="str">
        <f t="shared" si="0"/>
        <v>2 hours</v>
      </c>
      <c r="E17" s="342">
        <v>45170</v>
      </c>
      <c r="F17" s="342">
        <v>45170</v>
      </c>
      <c r="G17" s="342">
        <v>45170</v>
      </c>
      <c r="H17" s="342">
        <v>45170</v>
      </c>
      <c r="I17" s="342">
        <v>45170</v>
      </c>
      <c r="J17" s="342">
        <v>45170</v>
      </c>
      <c r="K17" s="342">
        <v>45170</v>
      </c>
      <c r="L17" s="342">
        <v>45170</v>
      </c>
      <c r="M17" s="342">
        <v>45170</v>
      </c>
      <c r="N17" s="342"/>
      <c r="O17" s="342"/>
      <c r="P17" s="342" t="s">
        <v>619</v>
      </c>
      <c r="Q17"/>
      <c r="R17" s="5">
        <f t="shared" si="1"/>
        <v>9</v>
      </c>
      <c r="S17" s="5">
        <f t="shared" si="2"/>
        <v>5.2986111111111107</v>
      </c>
      <c r="T17" s="5">
        <f t="shared" si="3"/>
        <v>9</v>
      </c>
      <c r="U17" s="5">
        <f t="shared" si="4"/>
        <v>0</v>
      </c>
      <c r="V17" s="5">
        <f t="shared" si="5"/>
        <v>0</v>
      </c>
      <c r="W17" s="194">
        <f t="shared" si="6"/>
        <v>13</v>
      </c>
      <c r="X17" s="196" t="str">
        <f t="shared" si="7"/>
        <v>IR+HC</v>
      </c>
      <c r="Y17" s="194">
        <f t="shared" si="8"/>
        <v>13</v>
      </c>
      <c r="Z17" s="196" t="str">
        <f t="shared" si="9"/>
        <v>Discharge</v>
      </c>
      <c r="AA17" s="1391"/>
      <c r="AB17" t="str">
        <f t="shared" si="10"/>
        <v>PEFBE</v>
      </c>
    </row>
    <row r="18" spans="1:28">
      <c r="A18" s="95" t="str">
        <f>'Plant loading'!A14</f>
        <v>Basingstoke</v>
      </c>
      <c r="B18" s="95" t="str">
        <f>'Plant loading'!B14</f>
        <v>PEGBE</v>
      </c>
      <c r="C18" s="96">
        <f>('Plant loading'!E14*54.5)/1000</f>
        <v>51.993000000000002</v>
      </c>
      <c r="D18" s="97" t="str">
        <f t="shared" si="0"/>
        <v>1.5 hours</v>
      </c>
      <c r="E18" s="342">
        <v>45170</v>
      </c>
      <c r="F18" s="342">
        <v>45170</v>
      </c>
      <c r="G18" s="342">
        <v>45170</v>
      </c>
      <c r="H18" s="342">
        <v>45170</v>
      </c>
      <c r="I18" s="342">
        <v>45170</v>
      </c>
      <c r="J18" s="342">
        <v>45170</v>
      </c>
      <c r="K18" s="342">
        <v>45170</v>
      </c>
      <c r="L18" s="342">
        <v>45170</v>
      </c>
      <c r="M18" s="342"/>
      <c r="N18" s="342"/>
      <c r="O18" s="342"/>
      <c r="P18" s="342" t="s">
        <v>619</v>
      </c>
      <c r="Q18"/>
      <c r="R18" s="5">
        <f t="shared" si="1"/>
        <v>8</v>
      </c>
      <c r="S18" s="5">
        <f t="shared" si="2"/>
        <v>6.4991250000000003</v>
      </c>
      <c r="T18" s="5">
        <f t="shared" si="3"/>
        <v>8</v>
      </c>
      <c r="U18" s="5">
        <f t="shared" si="4"/>
        <v>0</v>
      </c>
      <c r="V18" s="5">
        <f t="shared" si="5"/>
        <v>0</v>
      </c>
      <c r="W18" s="194">
        <f t="shared" si="6"/>
        <v>13</v>
      </c>
      <c r="X18" s="196" t="str">
        <f t="shared" si="7"/>
        <v>IR+HC</v>
      </c>
      <c r="Y18" s="194">
        <f t="shared" si="8"/>
        <v>13</v>
      </c>
      <c r="Z18" s="196" t="str">
        <f t="shared" si="9"/>
        <v>Discharge</v>
      </c>
      <c r="AA18" s="1391"/>
      <c r="AB18" t="str">
        <f t="shared" si="10"/>
        <v>PEGBE</v>
      </c>
    </row>
    <row r="19" spans="1:28">
      <c r="A19" s="95" t="str">
        <f>'Plant loading'!A15</f>
        <v>Basingstoke</v>
      </c>
      <c r="B19" s="95" t="str">
        <f>'Plant loading'!B15</f>
        <v>PEHBE</v>
      </c>
      <c r="C19" s="96">
        <f>('Plant loading'!E15*54.5)/1000</f>
        <v>47.633000000000003</v>
      </c>
      <c r="D19" s="97" t="str">
        <f t="shared" si="0"/>
        <v>2 hours</v>
      </c>
      <c r="E19" s="342">
        <v>45170</v>
      </c>
      <c r="F19" s="342">
        <v>45170</v>
      </c>
      <c r="G19" s="342">
        <v>45170</v>
      </c>
      <c r="H19" s="342">
        <v>45170</v>
      </c>
      <c r="I19" s="342">
        <v>45170</v>
      </c>
      <c r="J19" s="342">
        <v>45170</v>
      </c>
      <c r="K19" s="342">
        <v>45170</v>
      </c>
      <c r="L19" s="342">
        <v>45170</v>
      </c>
      <c r="M19" s="342">
        <v>45170</v>
      </c>
      <c r="N19" s="342"/>
      <c r="O19" s="342"/>
      <c r="P19" s="342" t="s">
        <v>619</v>
      </c>
      <c r="Q19"/>
      <c r="R19" s="5">
        <f t="shared" si="1"/>
        <v>9</v>
      </c>
      <c r="S19" s="5">
        <f t="shared" si="2"/>
        <v>5.2925555555555555</v>
      </c>
      <c r="T19" s="5">
        <f t="shared" si="3"/>
        <v>9</v>
      </c>
      <c r="U19" s="5">
        <f t="shared" si="4"/>
        <v>0</v>
      </c>
      <c r="V19" s="5">
        <f t="shared" si="5"/>
        <v>0</v>
      </c>
      <c r="W19" s="194">
        <f t="shared" si="6"/>
        <v>13</v>
      </c>
      <c r="X19" s="196" t="str">
        <f t="shared" si="7"/>
        <v>IR+HC</v>
      </c>
      <c r="Y19" s="194">
        <f t="shared" si="8"/>
        <v>13</v>
      </c>
      <c r="Z19" s="196" t="str">
        <f t="shared" si="9"/>
        <v>Discharge</v>
      </c>
      <c r="AA19" s="1391"/>
      <c r="AB19" t="str">
        <f t="shared" si="10"/>
        <v>PEHBE</v>
      </c>
    </row>
    <row r="20" spans="1:28">
      <c r="A20" s="95" t="str">
        <f>'Plant loading'!A16</f>
        <v>Basingstoke</v>
      </c>
      <c r="B20" s="95" t="str">
        <f>'Plant loading'!B16</f>
        <v>PEIBE</v>
      </c>
      <c r="C20" s="96">
        <f>('Plant loading'!E16*54.5)/1000</f>
        <v>50.848500000000001</v>
      </c>
      <c r="D20" s="97" t="str">
        <f t="shared" si="0"/>
        <v>2 hours</v>
      </c>
      <c r="E20" s="342">
        <v>45170</v>
      </c>
      <c r="F20" s="342">
        <v>45170</v>
      </c>
      <c r="G20" s="342">
        <v>45170</v>
      </c>
      <c r="H20" s="342">
        <v>45170</v>
      </c>
      <c r="I20" s="342">
        <v>45170</v>
      </c>
      <c r="J20" s="342">
        <v>45170</v>
      </c>
      <c r="K20" s="342">
        <v>45170</v>
      </c>
      <c r="L20" s="342">
        <v>45170</v>
      </c>
      <c r="M20" s="342">
        <v>45170</v>
      </c>
      <c r="N20" s="342"/>
      <c r="O20" s="342"/>
      <c r="P20" s="342" t="s">
        <v>619</v>
      </c>
      <c r="Q20"/>
      <c r="R20" s="5">
        <f t="shared" si="1"/>
        <v>9</v>
      </c>
      <c r="S20" s="5">
        <f t="shared" si="2"/>
        <v>5.6498333333333335</v>
      </c>
      <c r="T20" s="5">
        <f t="shared" si="3"/>
        <v>9</v>
      </c>
      <c r="U20" s="5">
        <f t="shared" si="4"/>
        <v>0</v>
      </c>
      <c r="V20" s="5">
        <f t="shared" si="5"/>
        <v>0</v>
      </c>
      <c r="W20" s="194">
        <f t="shared" si="6"/>
        <v>13</v>
      </c>
      <c r="X20" s="196" t="str">
        <f t="shared" si="7"/>
        <v>IR+HC</v>
      </c>
      <c r="Y20" s="194">
        <f t="shared" si="8"/>
        <v>13</v>
      </c>
      <c r="Z20" s="196" t="str">
        <f t="shared" si="9"/>
        <v>Discharge</v>
      </c>
      <c r="AA20" s="1391"/>
      <c r="AB20" t="str">
        <f t="shared" si="10"/>
        <v>PEIBE</v>
      </c>
    </row>
    <row r="21" spans="1:28">
      <c r="A21" s="748" t="str">
        <f>'Plant loading'!A17</f>
        <v>Crawley</v>
      </c>
      <c r="B21" s="748" t="str">
        <f>'Plant loading'!B17</f>
        <v>PEACY</v>
      </c>
      <c r="C21" s="749">
        <f>('Plant loading'!E17*54.5)/1000</f>
        <v>19.7835</v>
      </c>
      <c r="D21" s="750" t="str">
        <f t="shared" si="0"/>
        <v>6 hours</v>
      </c>
      <c r="E21" s="743">
        <v>44136</v>
      </c>
      <c r="F21" s="752">
        <v>44136</v>
      </c>
      <c r="G21" s="752">
        <v>44136</v>
      </c>
      <c r="H21" s="752">
        <v>44136</v>
      </c>
      <c r="I21" s="752">
        <v>44136</v>
      </c>
      <c r="J21" s="752">
        <v>44136</v>
      </c>
      <c r="K21" s="752">
        <v>44136</v>
      </c>
      <c r="L21" s="752">
        <v>44136</v>
      </c>
      <c r="M21" s="752">
        <v>44136</v>
      </c>
      <c r="N21" s="743"/>
      <c r="O21" s="743"/>
      <c r="P21" s="743" t="s">
        <v>619</v>
      </c>
      <c r="Q21"/>
      <c r="R21" s="5">
        <f t="shared" si="1"/>
        <v>9</v>
      </c>
      <c r="S21" s="5">
        <f t="shared" si="2"/>
        <v>2.1981666666666668</v>
      </c>
      <c r="T21" s="5">
        <f t="shared" si="3"/>
        <v>14</v>
      </c>
      <c r="U21" s="5">
        <f t="shared" si="4"/>
        <v>0</v>
      </c>
      <c r="V21" s="5">
        <f t="shared" si="5"/>
        <v>0</v>
      </c>
      <c r="W21" s="194">
        <f t="shared" si="6"/>
        <v>7</v>
      </c>
      <c r="X21" s="195" t="str">
        <f t="shared" si="7"/>
        <v>Discharge</v>
      </c>
      <c r="Y21" s="194">
        <f t="shared" si="8"/>
        <v>7</v>
      </c>
      <c r="Z21" s="195" t="str">
        <f t="shared" si="9"/>
        <v>IR+HC</v>
      </c>
      <c r="AA21" s="1390" t="str">
        <f>A21</f>
        <v>Crawley</v>
      </c>
      <c r="AB21" t="str">
        <f t="shared" si="10"/>
        <v>PEACY</v>
      </c>
    </row>
    <row r="22" spans="1:28">
      <c r="A22" s="92" t="str">
        <f>'Plant loading'!A18</f>
        <v>Crawley</v>
      </c>
      <c r="B22" s="92" t="str">
        <f>'Plant loading'!B18</f>
        <v>PEBCY</v>
      </c>
      <c r="C22" s="93">
        <f>('Plant loading'!E18*54.5)/1000</f>
        <v>26.268999999999998</v>
      </c>
      <c r="D22" s="94" t="str">
        <f t="shared" si="0"/>
        <v>5 hours</v>
      </c>
      <c r="E22" s="342">
        <v>44136</v>
      </c>
      <c r="F22" s="527">
        <v>44136</v>
      </c>
      <c r="G22" s="527">
        <v>44136</v>
      </c>
      <c r="H22" s="527">
        <v>44136</v>
      </c>
      <c r="I22" s="527">
        <v>44136</v>
      </c>
      <c r="J22" s="527">
        <v>44136</v>
      </c>
      <c r="K22" s="527">
        <v>44136</v>
      </c>
      <c r="L22" s="527">
        <v>44136</v>
      </c>
      <c r="M22" s="527">
        <v>44136</v>
      </c>
      <c r="N22" s="342"/>
      <c r="O22" s="342"/>
      <c r="P22" s="342" t="s">
        <v>619</v>
      </c>
      <c r="Q22"/>
      <c r="R22" s="5">
        <f t="shared" si="1"/>
        <v>9</v>
      </c>
      <c r="S22" s="5">
        <f t="shared" si="2"/>
        <v>2.9187777777777777</v>
      </c>
      <c r="T22" s="5">
        <f t="shared" si="3"/>
        <v>13</v>
      </c>
      <c r="U22" s="5">
        <f t="shared" si="4"/>
        <v>0</v>
      </c>
      <c r="V22" s="5">
        <f t="shared" si="5"/>
        <v>0</v>
      </c>
      <c r="W22" s="194">
        <f t="shared" si="6"/>
        <v>7</v>
      </c>
      <c r="X22" s="195" t="str">
        <f t="shared" si="7"/>
        <v>Discharge</v>
      </c>
      <c r="Y22" s="194">
        <f t="shared" si="8"/>
        <v>7</v>
      </c>
      <c r="Z22" s="195" t="str">
        <f t="shared" si="9"/>
        <v>IR+HC</v>
      </c>
      <c r="AA22" s="1390"/>
      <c r="AB22" t="str">
        <f t="shared" si="10"/>
        <v>PEBCY</v>
      </c>
    </row>
    <row r="23" spans="1:28">
      <c r="A23" s="92" t="str">
        <f>'Plant loading'!A19</f>
        <v>Crawley</v>
      </c>
      <c r="B23" s="92" t="str">
        <f>'Plant loading'!B19</f>
        <v>PECCY</v>
      </c>
      <c r="C23" s="93">
        <f>('Plant loading'!E19*54.5)/1000</f>
        <v>33.680999999999997</v>
      </c>
      <c r="D23" s="94" t="str">
        <f t="shared" si="0"/>
        <v>3 hours</v>
      </c>
      <c r="E23" s="342">
        <v>44136</v>
      </c>
      <c r="F23" s="527">
        <v>44136</v>
      </c>
      <c r="G23" s="527">
        <v>44136</v>
      </c>
      <c r="H23" s="527">
        <v>44136</v>
      </c>
      <c r="I23" s="527">
        <v>44136</v>
      </c>
      <c r="J23" s="527">
        <v>44136</v>
      </c>
      <c r="K23" s="527">
        <v>44136</v>
      </c>
      <c r="L23" s="527">
        <v>44136</v>
      </c>
      <c r="M23" s="527">
        <v>44136</v>
      </c>
      <c r="N23" s="342"/>
      <c r="O23" s="342"/>
      <c r="P23" s="342" t="s">
        <v>619</v>
      </c>
      <c r="Q23"/>
      <c r="R23" s="5">
        <f t="shared" si="1"/>
        <v>9</v>
      </c>
      <c r="S23" s="5">
        <f t="shared" si="2"/>
        <v>3.7423333333333328</v>
      </c>
      <c r="T23" s="5">
        <f t="shared" si="3"/>
        <v>11</v>
      </c>
      <c r="U23" s="5">
        <f t="shared" si="4"/>
        <v>0</v>
      </c>
      <c r="V23" s="5">
        <f t="shared" si="5"/>
        <v>0</v>
      </c>
      <c r="W23" s="194">
        <f t="shared" si="6"/>
        <v>7</v>
      </c>
      <c r="X23" s="195" t="str">
        <f t="shared" si="7"/>
        <v>Discharge</v>
      </c>
      <c r="Y23" s="194">
        <f t="shared" si="8"/>
        <v>7</v>
      </c>
      <c r="Z23" s="195" t="str">
        <f t="shared" si="9"/>
        <v>IR+HC</v>
      </c>
      <c r="AA23" s="1390"/>
      <c r="AB23" t="str">
        <f t="shared" si="10"/>
        <v>PECCY</v>
      </c>
    </row>
    <row r="24" spans="1:28">
      <c r="A24" s="92" t="str">
        <f>'Plant loading'!A20</f>
        <v>Crawley</v>
      </c>
      <c r="B24" s="92" t="str">
        <f>'Plant loading'!B20</f>
        <v>PEDCY</v>
      </c>
      <c r="C24" s="93">
        <f>('Plant loading'!E20*54.5)/1000</f>
        <v>26.214500000000001</v>
      </c>
      <c r="D24" s="94" t="str">
        <f t="shared" si="0"/>
        <v>5 hours</v>
      </c>
      <c r="E24" s="342">
        <v>44136</v>
      </c>
      <c r="F24" s="527">
        <v>44136</v>
      </c>
      <c r="G24" s="527">
        <v>44136</v>
      </c>
      <c r="H24" s="527">
        <v>44136</v>
      </c>
      <c r="I24" s="527">
        <v>44136</v>
      </c>
      <c r="J24" s="527">
        <v>44136</v>
      </c>
      <c r="K24" s="527">
        <v>44136</v>
      </c>
      <c r="L24" s="527">
        <v>44136</v>
      </c>
      <c r="M24" s="527">
        <v>44136</v>
      </c>
      <c r="N24" s="342"/>
      <c r="O24" s="342"/>
      <c r="P24" s="342" t="s">
        <v>619</v>
      </c>
      <c r="Q24"/>
      <c r="R24" s="5">
        <f t="shared" si="1"/>
        <v>9</v>
      </c>
      <c r="S24" s="5">
        <f t="shared" si="2"/>
        <v>2.9127222222222224</v>
      </c>
      <c r="T24" s="5">
        <f t="shared" si="3"/>
        <v>13</v>
      </c>
      <c r="U24" s="5">
        <f t="shared" si="4"/>
        <v>0</v>
      </c>
      <c r="V24" s="5">
        <f t="shared" si="5"/>
        <v>0</v>
      </c>
      <c r="W24" s="194">
        <f t="shared" si="6"/>
        <v>7</v>
      </c>
      <c r="X24" s="195" t="str">
        <f t="shared" si="7"/>
        <v>Discharge</v>
      </c>
      <c r="Y24" s="194">
        <f t="shared" si="8"/>
        <v>7</v>
      </c>
      <c r="Z24" s="195" t="str">
        <f t="shared" si="9"/>
        <v>IR+HC</v>
      </c>
      <c r="AA24" s="1390"/>
      <c r="AB24" t="str">
        <f t="shared" si="10"/>
        <v>PEDCY</v>
      </c>
    </row>
    <row r="25" spans="1:28">
      <c r="A25" s="92" t="str">
        <f>'Plant loading'!A21</f>
        <v>Crawley</v>
      </c>
      <c r="B25" s="92" t="str">
        <f>'Plant loading'!B21</f>
        <v>PEECY</v>
      </c>
      <c r="C25" s="93">
        <f>('Plant loading'!E21*54.5)/1000</f>
        <v>17.494499999999999</v>
      </c>
      <c r="D25" s="94" t="str">
        <f t="shared" si="0"/>
        <v>8 hours</v>
      </c>
      <c r="E25" s="342">
        <v>44136</v>
      </c>
      <c r="F25" s="527">
        <v>44136</v>
      </c>
      <c r="G25" s="527">
        <v>44136</v>
      </c>
      <c r="H25" s="527">
        <v>44136</v>
      </c>
      <c r="I25" s="527">
        <v>44136</v>
      </c>
      <c r="J25" s="527">
        <v>44136</v>
      </c>
      <c r="K25" s="527">
        <v>44136</v>
      </c>
      <c r="L25" s="527">
        <v>44136</v>
      </c>
      <c r="M25" s="527">
        <v>44136</v>
      </c>
      <c r="N25" s="342"/>
      <c r="O25" s="342"/>
      <c r="P25" s="342" t="s">
        <v>619</v>
      </c>
      <c r="Q25"/>
      <c r="R25" s="5">
        <f t="shared" si="1"/>
        <v>9</v>
      </c>
      <c r="S25" s="5">
        <f t="shared" si="2"/>
        <v>1.9438333333333331</v>
      </c>
      <c r="T25" s="5">
        <f t="shared" si="3"/>
        <v>16</v>
      </c>
      <c r="U25" s="5">
        <f t="shared" si="4"/>
        <v>0</v>
      </c>
      <c r="V25" s="5">
        <f t="shared" si="5"/>
        <v>0</v>
      </c>
      <c r="W25" s="194">
        <f t="shared" si="6"/>
        <v>7</v>
      </c>
      <c r="X25" s="195" t="str">
        <f t="shared" si="7"/>
        <v>Discharge</v>
      </c>
      <c r="Y25" s="194">
        <f t="shared" si="8"/>
        <v>7</v>
      </c>
      <c r="Z25" s="195" t="str">
        <f t="shared" si="9"/>
        <v>IR+HC</v>
      </c>
      <c r="AA25" s="1390"/>
      <c r="AB25" t="str">
        <f t="shared" si="10"/>
        <v>PEECY</v>
      </c>
    </row>
    <row r="26" spans="1:28">
      <c r="A26" s="740" t="str">
        <f>'Plant loading'!A22</f>
        <v>Edinburgh</v>
      </c>
      <c r="B26" s="740" t="str">
        <f>'Plant loading'!B22</f>
        <v>PECEH</v>
      </c>
      <c r="C26" s="741">
        <f>('Plant loading'!E22*54.5)/1000</f>
        <v>45.453000000000003</v>
      </c>
      <c r="D26" s="742" t="str">
        <f t="shared" si="0"/>
        <v>2 hours</v>
      </c>
      <c r="E26" s="743">
        <v>43862</v>
      </c>
      <c r="F26" s="743">
        <v>43862</v>
      </c>
      <c r="G26" s="743">
        <v>43862</v>
      </c>
      <c r="H26" s="743">
        <v>43862</v>
      </c>
      <c r="I26" s="743">
        <v>43862</v>
      </c>
      <c r="J26" s="743">
        <v>43862</v>
      </c>
      <c r="K26" s="743">
        <v>43862</v>
      </c>
      <c r="L26" s="743">
        <v>43862</v>
      </c>
      <c r="M26" s="743">
        <v>44166</v>
      </c>
      <c r="N26" s="743"/>
      <c r="O26" s="743"/>
      <c r="P26" s="743" t="s">
        <v>619</v>
      </c>
      <c r="Q26"/>
      <c r="R26" s="5">
        <f t="shared" si="1"/>
        <v>9</v>
      </c>
      <c r="S26" s="5">
        <f t="shared" si="2"/>
        <v>5.0503333333333336</v>
      </c>
      <c r="T26" s="5">
        <f t="shared" si="3"/>
        <v>9</v>
      </c>
      <c r="U26" s="5">
        <f t="shared" si="4"/>
        <v>0</v>
      </c>
      <c r="V26" s="5">
        <f t="shared" si="5"/>
        <v>0</v>
      </c>
      <c r="W26" s="194">
        <f t="shared" si="6"/>
        <v>5</v>
      </c>
      <c r="X26" s="196" t="str">
        <f t="shared" si="7"/>
        <v>IR+HC</v>
      </c>
      <c r="Y26" s="194">
        <f t="shared" si="8"/>
        <v>5</v>
      </c>
      <c r="Z26" s="196" t="str">
        <f t="shared" si="9"/>
        <v>Discharge</v>
      </c>
      <c r="AA26" s="1391" t="str">
        <f>A26</f>
        <v>Edinburgh</v>
      </c>
      <c r="AB26" t="str">
        <f t="shared" si="10"/>
        <v>PECEH</v>
      </c>
    </row>
    <row r="27" spans="1:28">
      <c r="A27" s="95" t="str">
        <f>'Plant loading'!A23</f>
        <v>Edinburgh</v>
      </c>
      <c r="B27" s="95" t="str">
        <f>'Plant loading'!B23</f>
        <v>PEDEH</v>
      </c>
      <c r="C27" s="96">
        <f>('Plant loading'!E23*54.5)/1000</f>
        <v>50.14</v>
      </c>
      <c r="D27" s="97" t="str">
        <f t="shared" si="0"/>
        <v>2 hours</v>
      </c>
      <c r="E27" s="342">
        <v>43862</v>
      </c>
      <c r="F27" s="342">
        <v>43862</v>
      </c>
      <c r="G27" s="342">
        <v>43862</v>
      </c>
      <c r="H27" s="342">
        <v>43862</v>
      </c>
      <c r="I27" s="342">
        <v>43862</v>
      </c>
      <c r="J27" s="342">
        <v>43862</v>
      </c>
      <c r="K27" s="342">
        <v>43862</v>
      </c>
      <c r="L27" s="342">
        <v>43862</v>
      </c>
      <c r="M27" s="342">
        <v>44166</v>
      </c>
      <c r="N27" s="342"/>
      <c r="O27" s="342"/>
      <c r="P27" s="342" t="s">
        <v>619</v>
      </c>
      <c r="Q27"/>
      <c r="R27" s="5">
        <f t="shared" si="1"/>
        <v>9</v>
      </c>
      <c r="S27" s="5">
        <f t="shared" si="2"/>
        <v>5.5711111111111116</v>
      </c>
      <c r="T27" s="5">
        <f t="shared" si="3"/>
        <v>9</v>
      </c>
      <c r="U27" s="5">
        <f t="shared" si="4"/>
        <v>0</v>
      </c>
      <c r="V27" s="5">
        <f t="shared" si="5"/>
        <v>0</v>
      </c>
      <c r="W27" s="194">
        <f t="shared" si="6"/>
        <v>5</v>
      </c>
      <c r="X27" s="196" t="str">
        <f t="shared" si="7"/>
        <v>IR+HC</v>
      </c>
      <c r="Y27" s="194">
        <f t="shared" si="8"/>
        <v>5</v>
      </c>
      <c r="Z27" s="196" t="str">
        <f t="shared" si="9"/>
        <v>Discharge</v>
      </c>
      <c r="AA27" s="1391"/>
      <c r="AB27" t="str">
        <f t="shared" si="10"/>
        <v>PEDEH</v>
      </c>
    </row>
    <row r="28" spans="1:28">
      <c r="A28" s="95" t="str">
        <f>'Plant loading'!A24</f>
        <v>Edinburgh</v>
      </c>
      <c r="B28" s="95" t="str">
        <f>'Plant loading'!B24</f>
        <v>PEEEH</v>
      </c>
      <c r="C28" s="96">
        <f>('Plant loading'!E24*54.5)/1000</f>
        <v>47.96</v>
      </c>
      <c r="D28" s="97" t="str">
        <f t="shared" si="0"/>
        <v>2 hours</v>
      </c>
      <c r="E28" s="342">
        <v>43862</v>
      </c>
      <c r="F28" s="342">
        <v>43862</v>
      </c>
      <c r="G28" s="342">
        <v>43862</v>
      </c>
      <c r="H28" s="342">
        <v>43862</v>
      </c>
      <c r="I28" s="342">
        <v>43862</v>
      </c>
      <c r="J28" s="342">
        <v>43862</v>
      </c>
      <c r="K28" s="342">
        <v>43862</v>
      </c>
      <c r="L28" s="342">
        <v>43862</v>
      </c>
      <c r="M28" s="342">
        <v>44166</v>
      </c>
      <c r="N28" s="342"/>
      <c r="O28" s="342"/>
      <c r="P28" s="342" t="s">
        <v>619</v>
      </c>
      <c r="Q28"/>
      <c r="R28" s="5">
        <f t="shared" si="1"/>
        <v>9</v>
      </c>
      <c r="S28" s="5">
        <f t="shared" si="2"/>
        <v>5.3288888888888888</v>
      </c>
      <c r="T28" s="5">
        <f t="shared" si="3"/>
        <v>9</v>
      </c>
      <c r="U28" s="5">
        <f t="shared" si="4"/>
        <v>0</v>
      </c>
      <c r="V28" s="5">
        <f t="shared" si="5"/>
        <v>0</v>
      </c>
      <c r="W28" s="194">
        <f t="shared" si="6"/>
        <v>5</v>
      </c>
      <c r="X28" s="196" t="str">
        <f t="shared" si="7"/>
        <v>IR+HC</v>
      </c>
      <c r="Y28" s="194">
        <f t="shared" si="8"/>
        <v>5</v>
      </c>
      <c r="Z28" s="196" t="str">
        <f t="shared" si="9"/>
        <v>Discharge</v>
      </c>
      <c r="AA28" s="1391"/>
      <c r="AB28" t="str">
        <f t="shared" si="10"/>
        <v>PEEEH</v>
      </c>
    </row>
    <row r="29" spans="1:28">
      <c r="A29" s="95" t="str">
        <f>'Plant loading'!A25</f>
        <v>Edinburgh</v>
      </c>
      <c r="B29" s="95" t="str">
        <f>'Plant loading'!B25</f>
        <v>PEFEH</v>
      </c>
      <c r="C29" s="96">
        <f>('Plant loading'!E25*54.5)/1000</f>
        <v>45.561999999999998</v>
      </c>
      <c r="D29" s="97" t="str">
        <f t="shared" si="0"/>
        <v>2 hours</v>
      </c>
      <c r="E29" s="342">
        <v>43862</v>
      </c>
      <c r="F29" s="342">
        <v>43862</v>
      </c>
      <c r="G29" s="342">
        <v>43862</v>
      </c>
      <c r="H29" s="342">
        <v>43862</v>
      </c>
      <c r="I29" s="342">
        <v>43862</v>
      </c>
      <c r="J29" s="342">
        <v>43862</v>
      </c>
      <c r="K29" s="342">
        <v>43862</v>
      </c>
      <c r="L29" s="342">
        <v>43862</v>
      </c>
      <c r="M29" s="342">
        <v>44166</v>
      </c>
      <c r="N29" s="342"/>
      <c r="O29" s="342"/>
      <c r="P29" s="342" t="s">
        <v>619</v>
      </c>
      <c r="Q29"/>
      <c r="R29" s="5">
        <f t="shared" si="1"/>
        <v>9</v>
      </c>
      <c r="S29" s="5">
        <f t="shared" si="2"/>
        <v>5.0624444444444441</v>
      </c>
      <c r="T29" s="5">
        <f t="shared" si="3"/>
        <v>9</v>
      </c>
      <c r="U29" s="5">
        <f t="shared" si="4"/>
        <v>0</v>
      </c>
      <c r="V29" s="5">
        <f t="shared" si="5"/>
        <v>0</v>
      </c>
      <c r="W29" s="194">
        <f t="shared" si="6"/>
        <v>5</v>
      </c>
      <c r="X29" s="196" t="str">
        <f t="shared" si="7"/>
        <v>IR+HC</v>
      </c>
      <c r="Y29" s="194">
        <f t="shared" si="8"/>
        <v>5</v>
      </c>
      <c r="Z29" s="196" t="str">
        <f t="shared" si="9"/>
        <v>Discharge</v>
      </c>
      <c r="AA29" s="1391"/>
      <c r="AB29" t="str">
        <f t="shared" si="10"/>
        <v>PEFEH</v>
      </c>
    </row>
    <row r="30" spans="1:28">
      <c r="A30" s="95" t="str">
        <f>'Plant loading'!A26</f>
        <v>Edinburgh</v>
      </c>
      <c r="B30" s="95" t="str">
        <f>'Plant loading'!B26</f>
        <v>PEGEH</v>
      </c>
      <c r="C30" s="96">
        <f>('Plant loading'!E26*54.5)/1000</f>
        <v>50.685000000000002</v>
      </c>
      <c r="D30" s="97" t="str">
        <f t="shared" si="0"/>
        <v>2 hours</v>
      </c>
      <c r="E30" s="342">
        <v>43891</v>
      </c>
      <c r="F30" s="342">
        <v>43891</v>
      </c>
      <c r="G30" s="342">
        <v>43891</v>
      </c>
      <c r="H30" s="342">
        <v>43891</v>
      </c>
      <c r="I30" s="342">
        <v>43891</v>
      </c>
      <c r="J30" s="342">
        <v>43891</v>
      </c>
      <c r="K30" s="342">
        <v>43891</v>
      </c>
      <c r="L30" s="342">
        <v>43891</v>
      </c>
      <c r="M30" s="342">
        <v>44166</v>
      </c>
      <c r="N30" s="342"/>
      <c r="O30" s="342"/>
      <c r="P30" s="342" t="s">
        <v>619</v>
      </c>
      <c r="Q30"/>
      <c r="R30" s="5">
        <f t="shared" si="1"/>
        <v>9</v>
      </c>
      <c r="S30" s="5">
        <f t="shared" si="2"/>
        <v>5.6316666666666668</v>
      </c>
      <c r="T30" s="5">
        <f t="shared" si="3"/>
        <v>9</v>
      </c>
      <c r="U30" s="5">
        <f t="shared" si="4"/>
        <v>0</v>
      </c>
      <c r="V30" s="5">
        <f t="shared" si="5"/>
        <v>0</v>
      </c>
      <c r="W30" s="194">
        <f t="shared" si="6"/>
        <v>5</v>
      </c>
      <c r="X30" s="196" t="str">
        <f t="shared" si="7"/>
        <v>IR+HC</v>
      </c>
      <c r="Y30" s="194">
        <f t="shared" si="8"/>
        <v>5</v>
      </c>
      <c r="Z30" s="196" t="str">
        <f t="shared" si="9"/>
        <v>Discharge</v>
      </c>
      <c r="AA30" s="1391"/>
      <c r="AB30" t="str">
        <f t="shared" si="10"/>
        <v>PEGEH</v>
      </c>
    </row>
    <row r="31" spans="1:28">
      <c r="A31" s="744" t="s">
        <v>76</v>
      </c>
      <c r="B31" s="744" t="s">
        <v>85</v>
      </c>
      <c r="C31" s="745">
        <f>('Plant loading'!E27*54.5)/1000</f>
        <v>48.341500000000003</v>
      </c>
      <c r="D31" s="746" t="str">
        <f t="shared" si="0"/>
        <v>2 hours</v>
      </c>
      <c r="E31" s="747">
        <v>43891</v>
      </c>
      <c r="F31" s="747">
        <v>43891</v>
      </c>
      <c r="G31" s="747">
        <v>43891</v>
      </c>
      <c r="H31" s="747">
        <v>43891</v>
      </c>
      <c r="I31" s="747">
        <v>43891</v>
      </c>
      <c r="J31" s="747">
        <v>43891</v>
      </c>
      <c r="K31" s="747">
        <v>43891</v>
      </c>
      <c r="L31" s="747">
        <v>43891</v>
      </c>
      <c r="M31" s="342">
        <v>44166</v>
      </c>
      <c r="N31" s="747"/>
      <c r="O31" s="747"/>
      <c r="P31" s="747" t="s">
        <v>619</v>
      </c>
      <c r="Q31"/>
      <c r="R31" s="5">
        <f t="shared" si="1"/>
        <v>9</v>
      </c>
      <c r="S31" s="5">
        <f t="shared" si="2"/>
        <v>5.3712777777777783</v>
      </c>
      <c r="T31" s="5">
        <f t="shared" si="3"/>
        <v>9</v>
      </c>
      <c r="U31" s="5">
        <f t="shared" si="4"/>
        <v>0</v>
      </c>
      <c r="V31" s="5">
        <f t="shared" si="5"/>
        <v>0</v>
      </c>
      <c r="W31" s="194">
        <f t="shared" si="6"/>
        <v>5</v>
      </c>
      <c r="X31" s="196" t="str">
        <f t="shared" si="7"/>
        <v>IR+HC</v>
      </c>
      <c r="Y31" s="194">
        <f t="shared" si="8"/>
        <v>5</v>
      </c>
      <c r="Z31" s="196" t="str">
        <f t="shared" si="9"/>
        <v>Discharge</v>
      </c>
      <c r="AA31" s="797"/>
      <c r="AB31" t="str">
        <f t="shared" si="10"/>
        <v>PEHEH</v>
      </c>
    </row>
    <row r="32" spans="1:28">
      <c r="A32" s="748" t="str">
        <f>'Plant loading'!A28</f>
        <v>Esher</v>
      </c>
      <c r="B32" s="748" t="str">
        <f>'Plant loading'!B28</f>
        <v>PEDER</v>
      </c>
      <c r="C32" s="749">
        <f>('Plant loading'!E28*54.5)/1000</f>
        <v>23.108000000000001</v>
      </c>
      <c r="D32" s="750" t="str">
        <f t="shared" si="0"/>
        <v>5 hours</v>
      </c>
      <c r="E32" s="743">
        <v>43831</v>
      </c>
      <c r="F32" s="743">
        <v>43831</v>
      </c>
      <c r="G32" s="743">
        <v>43831</v>
      </c>
      <c r="H32" s="743">
        <v>43831</v>
      </c>
      <c r="I32" s="743">
        <v>43831</v>
      </c>
      <c r="J32" s="743">
        <v>43831</v>
      </c>
      <c r="K32" s="743">
        <v>43831</v>
      </c>
      <c r="L32" s="743">
        <v>43831</v>
      </c>
      <c r="M32" s="743">
        <v>43831</v>
      </c>
      <c r="N32" s="743"/>
      <c r="O32" s="743"/>
      <c r="P32" s="743" t="s">
        <v>619</v>
      </c>
      <c r="Q32" s="319"/>
      <c r="R32" s="5">
        <f t="shared" si="1"/>
        <v>9</v>
      </c>
      <c r="S32" s="5">
        <f t="shared" si="2"/>
        <v>2.5675555555555558</v>
      </c>
      <c r="T32" s="5">
        <f t="shared" si="3"/>
        <v>13</v>
      </c>
      <c r="U32" s="5">
        <f t="shared" si="4"/>
        <v>0</v>
      </c>
      <c r="V32" s="5">
        <f t="shared" si="5"/>
        <v>0</v>
      </c>
      <c r="W32" s="194">
        <f>MATCH($M32,$B$177:$Q$177,1)</f>
        <v>5</v>
      </c>
      <c r="X32" s="195" t="str">
        <f t="shared" si="7"/>
        <v>IR+HC</v>
      </c>
      <c r="Y32" s="194">
        <f>MATCH($M32,$B$183:$S$183,1)</f>
        <v>5</v>
      </c>
      <c r="Z32" s="195" t="str">
        <f t="shared" si="9"/>
        <v>Discharge</v>
      </c>
      <c r="AA32" s="1390" t="str">
        <f>A32</f>
        <v>Esher</v>
      </c>
      <c r="AB32" t="str">
        <f t="shared" si="10"/>
        <v>PEDER</v>
      </c>
    </row>
    <row r="33" spans="1:28">
      <c r="A33" s="92" t="str">
        <f>'Plant loading'!A29</f>
        <v>Esher</v>
      </c>
      <c r="B33" s="92" t="str">
        <f>'Plant loading'!B29</f>
        <v>PEEER</v>
      </c>
      <c r="C33" s="93">
        <f>('Plant loading'!E29*54.5)/1000</f>
        <v>18.53</v>
      </c>
      <c r="D33" s="94" t="str">
        <f t="shared" si="0"/>
        <v>7 hours</v>
      </c>
      <c r="E33" s="342">
        <v>43831</v>
      </c>
      <c r="F33" s="342">
        <v>43831</v>
      </c>
      <c r="G33" s="342">
        <v>43831</v>
      </c>
      <c r="H33" s="342">
        <v>43831</v>
      </c>
      <c r="I33" s="342">
        <v>43831</v>
      </c>
      <c r="J33" s="342">
        <v>43831</v>
      </c>
      <c r="K33" s="342">
        <v>43831</v>
      </c>
      <c r="L33" s="342">
        <v>43831</v>
      </c>
      <c r="M33" s="342">
        <v>43831</v>
      </c>
      <c r="N33" s="342"/>
      <c r="O33" s="342"/>
      <c r="P33" s="342" t="s">
        <v>619</v>
      </c>
      <c r="Q33"/>
      <c r="R33" s="5">
        <f t="shared" si="1"/>
        <v>9</v>
      </c>
      <c r="S33" s="5">
        <f t="shared" si="2"/>
        <v>2.0588888888888892</v>
      </c>
      <c r="T33" s="5">
        <f t="shared" si="3"/>
        <v>15</v>
      </c>
      <c r="U33" s="5">
        <f t="shared" si="4"/>
        <v>0</v>
      </c>
      <c r="V33" s="5">
        <f t="shared" si="5"/>
        <v>0</v>
      </c>
      <c r="W33" s="194">
        <f t="shared" ref="W33:W40" si="11">MATCH($E33,$B$177:$Q$177,1)</f>
        <v>5</v>
      </c>
      <c r="X33" s="195" t="str">
        <f t="shared" si="7"/>
        <v>IR+HC</v>
      </c>
      <c r="Y33" s="194">
        <f t="shared" ref="Y33:Y40" si="12">MATCH($E33,$B$183:$S$183,1)</f>
        <v>5</v>
      </c>
      <c r="Z33" s="195" t="str">
        <f t="shared" si="9"/>
        <v>Discharge</v>
      </c>
      <c r="AA33" s="1390"/>
      <c r="AB33" t="str">
        <f t="shared" si="10"/>
        <v>PEEER</v>
      </c>
    </row>
    <row r="34" spans="1:28">
      <c r="A34" s="92" t="str">
        <f>'Plant loading'!A30</f>
        <v>Esher</v>
      </c>
      <c r="B34" s="92" t="str">
        <f>'Plant loading'!B30</f>
        <v>PEFER</v>
      </c>
      <c r="C34" s="93">
        <f>('Plant loading'!E30*54.5)/1000</f>
        <v>23.816500000000001</v>
      </c>
      <c r="D34" s="94" t="str">
        <f t="shared" si="0"/>
        <v>5 hours</v>
      </c>
      <c r="E34" s="342">
        <v>43862</v>
      </c>
      <c r="F34" s="342">
        <v>43862</v>
      </c>
      <c r="G34" s="342">
        <v>43862</v>
      </c>
      <c r="H34" s="342">
        <v>43862</v>
      </c>
      <c r="I34" s="342">
        <v>43862</v>
      </c>
      <c r="J34" s="342">
        <v>43862</v>
      </c>
      <c r="K34" s="342">
        <v>43862</v>
      </c>
      <c r="L34" s="342">
        <v>43862</v>
      </c>
      <c r="M34" s="342">
        <v>43862</v>
      </c>
      <c r="N34" s="342"/>
      <c r="O34" s="342"/>
      <c r="P34" s="342" t="s">
        <v>619</v>
      </c>
      <c r="Q34"/>
      <c r="R34" s="5">
        <f t="shared" si="1"/>
        <v>9</v>
      </c>
      <c r="S34" s="5">
        <f t="shared" si="2"/>
        <v>2.6462777777777777</v>
      </c>
      <c r="T34" s="5">
        <f t="shared" si="3"/>
        <v>13</v>
      </c>
      <c r="U34" s="5">
        <f t="shared" si="4"/>
        <v>0</v>
      </c>
      <c r="V34" s="5">
        <f t="shared" si="5"/>
        <v>0</v>
      </c>
      <c r="W34" s="194">
        <f t="shared" si="11"/>
        <v>5</v>
      </c>
      <c r="X34" s="195" t="str">
        <f t="shared" si="7"/>
        <v>IR+HC</v>
      </c>
      <c r="Y34" s="194">
        <f t="shared" si="12"/>
        <v>5</v>
      </c>
      <c r="Z34" s="195" t="str">
        <f t="shared" si="9"/>
        <v>Discharge</v>
      </c>
      <c r="AA34" s="1390"/>
      <c r="AB34" t="str">
        <f t="shared" si="10"/>
        <v>PEFER</v>
      </c>
    </row>
    <row r="35" spans="1:28">
      <c r="A35" s="92" t="str">
        <f>'Plant loading'!A31</f>
        <v>Esher</v>
      </c>
      <c r="B35" s="92" t="str">
        <f>'Plant loading'!B31</f>
        <v>PEGER</v>
      </c>
      <c r="C35" s="93">
        <f>('Plant loading'!E31*54.5)/1000</f>
        <v>17.1675</v>
      </c>
      <c r="D35" s="94" t="str">
        <f t="shared" si="0"/>
        <v>8 hours</v>
      </c>
      <c r="E35" s="342">
        <v>43862</v>
      </c>
      <c r="F35" s="342">
        <v>43862</v>
      </c>
      <c r="G35" s="342">
        <v>43862</v>
      </c>
      <c r="H35" s="342">
        <v>43862</v>
      </c>
      <c r="I35" s="342">
        <v>43862</v>
      </c>
      <c r="J35" s="342">
        <v>43862</v>
      </c>
      <c r="K35" s="342">
        <v>43862</v>
      </c>
      <c r="L35" s="342">
        <v>43862</v>
      </c>
      <c r="M35" s="342">
        <v>43862</v>
      </c>
      <c r="N35" s="342"/>
      <c r="O35" s="342"/>
      <c r="P35" s="342" t="s">
        <v>619</v>
      </c>
      <c r="Q35"/>
      <c r="R35" s="5">
        <f t="shared" si="1"/>
        <v>9</v>
      </c>
      <c r="S35" s="5">
        <f t="shared" si="2"/>
        <v>1.9075</v>
      </c>
      <c r="T35" s="5">
        <f t="shared" si="3"/>
        <v>16</v>
      </c>
      <c r="U35" s="5">
        <f t="shared" si="4"/>
        <v>0</v>
      </c>
      <c r="V35" s="5">
        <f t="shared" si="5"/>
        <v>0</v>
      </c>
      <c r="W35" s="194">
        <f t="shared" si="11"/>
        <v>5</v>
      </c>
      <c r="X35" s="195" t="str">
        <f t="shared" si="7"/>
        <v>IR+HC</v>
      </c>
      <c r="Y35" s="194">
        <f t="shared" si="12"/>
        <v>5</v>
      </c>
      <c r="Z35" s="195" t="str">
        <f t="shared" si="9"/>
        <v>Discharge</v>
      </c>
      <c r="AA35" s="1390"/>
      <c r="AB35" t="str">
        <f t="shared" si="10"/>
        <v>PEGER</v>
      </c>
    </row>
    <row r="36" spans="1:28">
      <c r="A36" s="740" t="str">
        <f>'Plant loading'!A32</f>
        <v>Gloucester</v>
      </c>
      <c r="B36" s="740" t="str">
        <f>'Plant loading'!B32</f>
        <v>PEAGR</v>
      </c>
      <c r="C36" s="741">
        <f>('Plant loading'!E32*54.5)/1000</f>
        <v>36.188000000000002</v>
      </c>
      <c r="D36" s="742" t="str">
        <f t="shared" si="0"/>
        <v>3 hours</v>
      </c>
      <c r="E36" s="743">
        <v>44866</v>
      </c>
      <c r="F36" s="743">
        <v>44866</v>
      </c>
      <c r="G36" s="743">
        <v>44866</v>
      </c>
      <c r="H36" s="743">
        <v>44866</v>
      </c>
      <c r="I36" s="743">
        <v>44866</v>
      </c>
      <c r="J36" s="743">
        <v>44866</v>
      </c>
      <c r="K36" s="743">
        <v>44866</v>
      </c>
      <c r="L36" s="743">
        <v>44866</v>
      </c>
      <c r="M36" s="743">
        <v>44866</v>
      </c>
      <c r="N36" s="743"/>
      <c r="O36" s="743"/>
      <c r="P36" s="743" t="s">
        <v>619</v>
      </c>
      <c r="Q36"/>
      <c r="R36" s="5">
        <f t="shared" si="1"/>
        <v>9</v>
      </c>
      <c r="S36" s="5">
        <f t="shared" si="2"/>
        <v>4.020888888888889</v>
      </c>
      <c r="T36" s="5">
        <f t="shared" si="3"/>
        <v>11</v>
      </c>
      <c r="U36" s="5">
        <f t="shared" si="4"/>
        <v>0</v>
      </c>
      <c r="V36" s="5">
        <f t="shared" si="5"/>
        <v>0</v>
      </c>
      <c r="W36" s="194">
        <f t="shared" si="11"/>
        <v>11</v>
      </c>
      <c r="X36" s="196" t="str">
        <f t="shared" si="7"/>
        <v>Discharge</v>
      </c>
      <c r="Y36" s="194">
        <f t="shared" si="12"/>
        <v>11</v>
      </c>
      <c r="Z36" s="196" t="str">
        <f t="shared" si="9"/>
        <v>IR+HC</v>
      </c>
      <c r="AA36" s="1391" t="str">
        <f>A36</f>
        <v>Gloucester</v>
      </c>
      <c r="AB36" t="str">
        <f t="shared" si="10"/>
        <v>PEAGR</v>
      </c>
    </row>
    <row r="37" spans="1:28">
      <c r="A37" s="95" t="str">
        <f>'Plant loading'!A33</f>
        <v>Gloucester</v>
      </c>
      <c r="B37" s="95" t="str">
        <f>'Plant loading'!B33</f>
        <v>PEBGR</v>
      </c>
      <c r="C37" s="96">
        <f>('Plant loading'!E33*54.5)/1000</f>
        <v>44.1995</v>
      </c>
      <c r="D37" s="97" t="str">
        <f t="shared" si="0"/>
        <v>2.5 hours</v>
      </c>
      <c r="E37" s="342">
        <v>44866</v>
      </c>
      <c r="F37" s="342">
        <v>44866</v>
      </c>
      <c r="G37" s="342">
        <v>44866</v>
      </c>
      <c r="H37" s="342">
        <v>44866</v>
      </c>
      <c r="I37" s="342">
        <v>44866</v>
      </c>
      <c r="J37" s="342">
        <v>44866</v>
      </c>
      <c r="K37" s="342">
        <v>44866</v>
      </c>
      <c r="L37" s="342">
        <v>44866</v>
      </c>
      <c r="M37" s="342">
        <v>44866</v>
      </c>
      <c r="N37" s="342"/>
      <c r="O37" s="342"/>
      <c r="P37" s="342" t="s">
        <v>619</v>
      </c>
      <c r="Q37"/>
      <c r="R37" s="5">
        <f t="shared" si="1"/>
        <v>9</v>
      </c>
      <c r="S37" s="5">
        <f t="shared" si="2"/>
        <v>4.9110555555555555</v>
      </c>
      <c r="T37" s="5">
        <f t="shared" si="3"/>
        <v>10</v>
      </c>
      <c r="U37" s="5">
        <f t="shared" si="4"/>
        <v>0</v>
      </c>
      <c r="V37" s="5">
        <f t="shared" si="5"/>
        <v>0</v>
      </c>
      <c r="W37" s="194">
        <f t="shared" si="11"/>
        <v>11</v>
      </c>
      <c r="X37" s="196" t="str">
        <f t="shared" si="7"/>
        <v>Discharge</v>
      </c>
      <c r="Y37" s="194">
        <f t="shared" si="12"/>
        <v>11</v>
      </c>
      <c r="Z37" s="196" t="str">
        <f t="shared" si="9"/>
        <v>IR+HC</v>
      </c>
      <c r="AA37" s="1391"/>
      <c r="AB37" t="str">
        <f t="shared" si="10"/>
        <v>PEBGR</v>
      </c>
    </row>
    <row r="38" spans="1:28">
      <c r="A38" s="95" t="str">
        <f>'Plant loading'!A34</f>
        <v>Gloucester</v>
      </c>
      <c r="B38" s="95" t="str">
        <f>'Plant loading'!B34</f>
        <v>PECGR</v>
      </c>
      <c r="C38" s="96">
        <f>('Plant loading'!E34*54.5)/1000</f>
        <v>41.637999999999998</v>
      </c>
      <c r="D38" s="97" t="str">
        <f t="shared" si="0"/>
        <v>2.5 hours</v>
      </c>
      <c r="E38" s="342">
        <v>44866</v>
      </c>
      <c r="F38" s="342">
        <v>44866</v>
      </c>
      <c r="G38" s="342">
        <v>44866</v>
      </c>
      <c r="H38" s="342">
        <v>44866</v>
      </c>
      <c r="I38" s="342">
        <v>44866</v>
      </c>
      <c r="J38" s="342">
        <v>44866</v>
      </c>
      <c r="K38" s="342">
        <v>44866</v>
      </c>
      <c r="L38" s="342">
        <v>44866</v>
      </c>
      <c r="M38" s="342">
        <v>44866</v>
      </c>
      <c r="N38" s="342"/>
      <c r="O38" s="342"/>
      <c r="P38" s="342" t="s">
        <v>619</v>
      </c>
      <c r="Q38"/>
      <c r="R38" s="5">
        <f t="shared" si="1"/>
        <v>9</v>
      </c>
      <c r="S38" s="5">
        <f t="shared" si="2"/>
        <v>4.6264444444444441</v>
      </c>
      <c r="T38" s="5">
        <f t="shared" si="3"/>
        <v>10</v>
      </c>
      <c r="U38" s="5">
        <f t="shared" si="4"/>
        <v>0</v>
      </c>
      <c r="V38" s="5">
        <f t="shared" si="5"/>
        <v>0</v>
      </c>
      <c r="W38" s="194">
        <f t="shared" si="11"/>
        <v>11</v>
      </c>
      <c r="X38" s="196" t="str">
        <f t="shared" si="7"/>
        <v>Discharge</v>
      </c>
      <c r="Y38" s="194">
        <f t="shared" si="12"/>
        <v>11</v>
      </c>
      <c r="Z38" s="196" t="str">
        <f t="shared" si="9"/>
        <v>IR+HC</v>
      </c>
      <c r="AA38" s="1391"/>
      <c r="AB38" t="str">
        <f t="shared" si="10"/>
        <v>PECGR</v>
      </c>
    </row>
    <row r="39" spans="1:28">
      <c r="A39" s="95" t="str">
        <f>'Plant loading'!A35</f>
        <v>Gloucester</v>
      </c>
      <c r="B39" s="95" t="str">
        <f>'Plant loading'!B35</f>
        <v>PEDGR</v>
      </c>
      <c r="C39" s="96">
        <f>('Plant loading'!E35*54.5)/1000</f>
        <v>40.548000000000002</v>
      </c>
      <c r="D39" s="97" t="str">
        <f t="shared" si="0"/>
        <v>2.5 hours</v>
      </c>
      <c r="E39" s="342">
        <v>44409</v>
      </c>
      <c r="F39" s="342">
        <v>44409</v>
      </c>
      <c r="G39" s="342">
        <v>44409</v>
      </c>
      <c r="H39" s="342">
        <v>44409</v>
      </c>
      <c r="I39" s="342">
        <v>44409</v>
      </c>
      <c r="J39" s="342">
        <v>44409</v>
      </c>
      <c r="K39" s="342">
        <v>44409</v>
      </c>
      <c r="L39" s="342">
        <v>44409</v>
      </c>
      <c r="M39" s="342">
        <v>44409</v>
      </c>
      <c r="N39" s="342"/>
      <c r="O39" s="342"/>
      <c r="P39" s="518" t="s">
        <v>619</v>
      </c>
      <c r="Q39"/>
      <c r="R39" s="5">
        <f t="shared" si="1"/>
        <v>9</v>
      </c>
      <c r="S39" s="5">
        <f t="shared" si="2"/>
        <v>4.5053333333333336</v>
      </c>
      <c r="T39" s="5">
        <f t="shared" si="3"/>
        <v>10</v>
      </c>
      <c r="U39" s="5">
        <f t="shared" si="4"/>
        <v>0</v>
      </c>
      <c r="V39" s="5">
        <f t="shared" si="5"/>
        <v>0</v>
      </c>
      <c r="W39" s="194">
        <f t="shared" si="11"/>
        <v>9</v>
      </c>
      <c r="X39" s="196" t="str">
        <f t="shared" si="7"/>
        <v>IR+HC</v>
      </c>
      <c r="Y39" s="194">
        <f t="shared" si="12"/>
        <v>9</v>
      </c>
      <c r="Z39" s="196" t="str">
        <f t="shared" si="9"/>
        <v>Discharge</v>
      </c>
      <c r="AA39" s="1391"/>
      <c r="AB39" t="str">
        <f t="shared" si="10"/>
        <v>PEDGR</v>
      </c>
    </row>
    <row r="40" spans="1:28">
      <c r="A40" s="95" t="str">
        <f>'Plant loading'!A36</f>
        <v>Gloucester</v>
      </c>
      <c r="B40" s="95" t="str">
        <f>'Plant loading'!B36</f>
        <v>PEEGR</v>
      </c>
      <c r="C40" s="96">
        <f>('Plant loading'!E36*54.5)/1000</f>
        <v>39.457999999999998</v>
      </c>
      <c r="D40" s="97" t="str">
        <f t="shared" ref="D40:D48" si="13">CHOOSE(T40,$C$130,$D$130,$E$130,$F$130,$G$130,$H$130,$I$130,$J$130,$K$130,$L$130,$M$130,$N$130,$O$130,$P$130,$Q$130,$R$130)</f>
        <v>3 hours</v>
      </c>
      <c r="E40" s="342">
        <v>44866</v>
      </c>
      <c r="F40" s="342">
        <v>44866</v>
      </c>
      <c r="G40" s="342">
        <v>44866</v>
      </c>
      <c r="H40" s="342">
        <v>44866</v>
      </c>
      <c r="I40" s="342">
        <v>44866</v>
      </c>
      <c r="J40" s="342">
        <v>44866</v>
      </c>
      <c r="K40" s="342">
        <v>44866</v>
      </c>
      <c r="L40" s="342">
        <v>44866</v>
      </c>
      <c r="M40" s="342">
        <v>44866</v>
      </c>
      <c r="N40" s="342"/>
      <c r="O40" s="342"/>
      <c r="P40" s="342" t="s">
        <v>619</v>
      </c>
      <c r="Q40"/>
      <c r="R40" s="5">
        <f t="shared" ref="R40:R79" si="14">COUNT(E40:P40)</f>
        <v>9</v>
      </c>
      <c r="S40" s="5">
        <f t="shared" ref="S40:S79" si="15">C40/R40</f>
        <v>4.3842222222222222</v>
      </c>
      <c r="T40" s="5">
        <f>MATCH(S40,$C$134:$R$134,-1)</f>
        <v>11</v>
      </c>
      <c r="U40" s="5">
        <f t="shared" ref="U40:U79" si="16">COUNTIFS(E40:P40,"&gt;="&amp;$D$3,E40:P40,"&lt;="&amp;$E$3)</f>
        <v>0</v>
      </c>
      <c r="V40" s="5">
        <f t="shared" ref="V40:V79" si="17">COUNTIFS(E40:P40,"&lt;="&amp;$E$2)</f>
        <v>0</v>
      </c>
      <c r="W40" s="194">
        <f t="shared" si="11"/>
        <v>11</v>
      </c>
      <c r="X40" s="196" t="str">
        <f>CHOOSE(ROUNDUP((W40/2),0),$B$179,$D$179,$F$179,$H$179,$J$179,$L$179,$N$179,$P$179)</f>
        <v>Discharge</v>
      </c>
      <c r="Y40" s="194">
        <f t="shared" si="12"/>
        <v>11</v>
      </c>
      <c r="Z40" s="196" t="str">
        <f>CHOOSE(ROUNDUP((Y40/2),0),$B$185,$D$185,$F$185,$H$185,$J$185,$L$185,$N$185,$P$185,$R$185)</f>
        <v>IR+HC</v>
      </c>
      <c r="AA40" s="1391"/>
      <c r="AB40" t="str">
        <f t="shared" si="10"/>
        <v>PEEGR</v>
      </c>
    </row>
    <row r="41" spans="1:28">
      <c r="A41" s="95" t="str">
        <f>'Plant loading'!A37</f>
        <v>Gloucester</v>
      </c>
      <c r="B41" s="95" t="str">
        <f>'Plant loading'!B37</f>
        <v>GCRMTX-DCSYS06a</v>
      </c>
      <c r="C41" s="96">
        <f>('Plant loading'!E37*54.5)/1000</f>
        <v>37.932000000000002</v>
      </c>
      <c r="D41" s="97" t="str">
        <f t="shared" si="13"/>
        <v>1 hour</v>
      </c>
      <c r="E41" s="342">
        <v>44621</v>
      </c>
      <c r="F41" s="342">
        <v>44621</v>
      </c>
      <c r="G41" s="342">
        <v>44621</v>
      </c>
      <c r="H41" s="342">
        <v>44621</v>
      </c>
      <c r="I41" s="342">
        <v>44621</v>
      </c>
      <c r="J41" s="342"/>
      <c r="K41" s="342"/>
      <c r="L41" s="342"/>
      <c r="M41" s="342"/>
      <c r="N41" s="342"/>
      <c r="O41" s="342"/>
      <c r="P41" s="342" t="s">
        <v>619</v>
      </c>
      <c r="Q41"/>
      <c r="R41" s="5">
        <f t="shared" ref="R41:R42" si="18">COUNT(E41:P41)</f>
        <v>5</v>
      </c>
      <c r="S41" s="5">
        <f t="shared" ref="S41:S42" si="19">C41/R41</f>
        <v>7.5864000000000003</v>
      </c>
      <c r="T41" s="5">
        <f t="shared" ref="T41:T42" si="20">MATCH(S41,$C$134:$R$134,-1)</f>
        <v>7</v>
      </c>
      <c r="U41" s="5">
        <f t="shared" ref="U41:U42" si="21">COUNTIFS(E41:P41,"&gt;="&amp;$D$3,E41:P41,"&lt;="&amp;$E$3)</f>
        <v>0</v>
      </c>
      <c r="V41" s="5">
        <f t="shared" ref="V41:V42" si="22">COUNTIFS(E41:P41,"&lt;="&amp;$E$2)</f>
        <v>0</v>
      </c>
      <c r="W41" s="194"/>
      <c r="X41" s="196"/>
      <c r="Y41" s="194"/>
      <c r="Z41" s="196"/>
      <c r="AA41" s="797"/>
      <c r="AB41" t="str">
        <f t="shared" si="10"/>
        <v>GCRMTX-DCSYS06a</v>
      </c>
    </row>
    <row r="42" spans="1:28">
      <c r="A42" s="95" t="str">
        <f>'Plant loading'!A38</f>
        <v>Gloucester</v>
      </c>
      <c r="B42" s="95" t="str">
        <f>'Plant loading'!B38</f>
        <v>GCRMTX-DCSYS06b</v>
      </c>
      <c r="C42" s="96">
        <f>('Plant loading'!E38*54.5)/1000</f>
        <v>34.880000000000003</v>
      </c>
      <c r="D42" s="97" t="str">
        <f t="shared" si="13"/>
        <v>1.5 hours</v>
      </c>
      <c r="E42" s="342">
        <v>44621</v>
      </c>
      <c r="F42" s="342">
        <v>44621</v>
      </c>
      <c r="G42" s="342">
        <v>44621</v>
      </c>
      <c r="H42" s="342">
        <v>44621</v>
      </c>
      <c r="I42" s="342">
        <v>44621</v>
      </c>
      <c r="J42" s="342"/>
      <c r="K42" s="342"/>
      <c r="L42" s="342"/>
      <c r="M42" s="342"/>
      <c r="N42" s="342"/>
      <c r="O42" s="342"/>
      <c r="P42" s="342" t="s">
        <v>619</v>
      </c>
      <c r="Q42"/>
      <c r="R42" s="5">
        <f t="shared" si="18"/>
        <v>5</v>
      </c>
      <c r="S42" s="5">
        <f t="shared" si="19"/>
        <v>6.9760000000000009</v>
      </c>
      <c r="T42" s="5">
        <f t="shared" si="20"/>
        <v>8</v>
      </c>
      <c r="U42" s="5">
        <f t="shared" si="21"/>
        <v>0</v>
      </c>
      <c r="V42" s="5">
        <f t="shared" si="22"/>
        <v>0</v>
      </c>
      <c r="W42" s="194"/>
      <c r="X42" s="196"/>
      <c r="Y42" s="194"/>
      <c r="Z42" s="196"/>
      <c r="AA42" s="797"/>
      <c r="AB42" t="str">
        <f t="shared" si="10"/>
        <v>GCRMTX-DCSYS06b</v>
      </c>
    </row>
    <row r="43" spans="1:28">
      <c r="A43" s="748" t="str">
        <f>'Plant loading'!A39</f>
        <v>Gravelly Hill</v>
      </c>
      <c r="B43" s="748" t="str">
        <f>'Plant loading'!B39</f>
        <v>BMGMTX-DCSYS01</v>
      </c>
      <c r="C43" s="749">
        <f>('Plant loading'!E39*54.5)/1000</f>
        <v>40.112000000000002</v>
      </c>
      <c r="D43" s="750" t="str">
        <f t="shared" si="13"/>
        <v>2.5 hours</v>
      </c>
      <c r="E43" s="743">
        <v>45078</v>
      </c>
      <c r="F43" s="743">
        <v>45078</v>
      </c>
      <c r="G43" s="743">
        <v>45078</v>
      </c>
      <c r="H43" s="743">
        <v>45078</v>
      </c>
      <c r="I43" s="743">
        <v>45078</v>
      </c>
      <c r="J43" s="743">
        <v>45078</v>
      </c>
      <c r="K43" s="743">
        <v>45078</v>
      </c>
      <c r="L43" s="743">
        <v>45078</v>
      </c>
      <c r="M43" s="743">
        <v>45078</v>
      </c>
      <c r="N43" s="743"/>
      <c r="O43" s="743"/>
      <c r="P43" s="743" t="s">
        <v>619</v>
      </c>
      <c r="Q43"/>
      <c r="R43" s="5">
        <f t="shared" si="14"/>
        <v>9</v>
      </c>
      <c r="S43" s="5">
        <f t="shared" si="15"/>
        <v>4.4568888888888889</v>
      </c>
      <c r="T43" s="5">
        <f t="shared" ref="T43:T48" si="23">MATCH(S43,$C$134:$R$134,-1)</f>
        <v>10</v>
      </c>
      <c r="U43" s="5">
        <f t="shared" si="16"/>
        <v>0</v>
      </c>
      <c r="V43" s="5">
        <f t="shared" si="17"/>
        <v>0</v>
      </c>
      <c r="W43" s="194">
        <f t="shared" ref="W43:W48" si="24">MATCH($E43,$B$177:$Q$177,1)</f>
        <v>13</v>
      </c>
      <c r="X43" s="195" t="str">
        <f t="shared" ref="X43:X48" si="25">CHOOSE(ROUNDUP((W43/2),0),$B$179,$D$179,$F$179,$H$179,$J$179,$L$179,$N$179,$P$179)</f>
        <v>IR+HC</v>
      </c>
      <c r="Y43" s="194">
        <f t="shared" ref="Y43:Y48" si="26">MATCH($E43,$B$183:$S$183,1)</f>
        <v>13</v>
      </c>
      <c r="Z43" s="195"/>
      <c r="AA43" s="1390" t="str">
        <f>A43</f>
        <v>Gravelly Hill</v>
      </c>
      <c r="AB43" t="str">
        <f t="shared" si="10"/>
        <v>BMGMTX-DCSYS01</v>
      </c>
    </row>
    <row r="44" spans="1:28">
      <c r="A44" s="92" t="str">
        <f>'Plant loading'!A40</f>
        <v>Gravelly Hill</v>
      </c>
      <c r="B44" s="92" t="str">
        <f>'Plant loading'!B40</f>
        <v>BMGMTX-DCSYS02</v>
      </c>
      <c r="C44" s="93">
        <f>('Plant loading'!E40*54.5)/1000</f>
        <v>41.093000000000004</v>
      </c>
      <c r="D44" s="94" t="str">
        <f t="shared" si="13"/>
        <v>2.5 hours</v>
      </c>
      <c r="E44" s="342">
        <v>45078</v>
      </c>
      <c r="F44" s="342">
        <v>45078</v>
      </c>
      <c r="G44" s="342">
        <v>45078</v>
      </c>
      <c r="H44" s="342">
        <v>45078</v>
      </c>
      <c r="I44" s="342">
        <v>45078</v>
      </c>
      <c r="J44" s="342">
        <v>45078</v>
      </c>
      <c r="K44" s="342">
        <v>45078</v>
      </c>
      <c r="L44" s="342">
        <v>45078</v>
      </c>
      <c r="M44" s="342">
        <v>45078</v>
      </c>
      <c r="N44" s="342"/>
      <c r="O44" s="342"/>
      <c r="P44" s="342" t="s">
        <v>619</v>
      </c>
      <c r="Q44"/>
      <c r="R44" s="5">
        <f t="shared" si="14"/>
        <v>9</v>
      </c>
      <c r="S44" s="5">
        <f t="shared" si="15"/>
        <v>4.5658888888888889</v>
      </c>
      <c r="T44" s="5">
        <f t="shared" si="23"/>
        <v>10</v>
      </c>
      <c r="U44" s="5">
        <f t="shared" si="16"/>
        <v>0</v>
      </c>
      <c r="V44" s="5">
        <f t="shared" si="17"/>
        <v>0</v>
      </c>
      <c r="W44" s="194">
        <f t="shared" si="24"/>
        <v>13</v>
      </c>
      <c r="X44" s="195" t="str">
        <f t="shared" si="25"/>
        <v>IR+HC</v>
      </c>
      <c r="Y44" s="194">
        <f t="shared" si="26"/>
        <v>13</v>
      </c>
      <c r="Z44" s="195"/>
      <c r="AA44" s="1390"/>
      <c r="AB44" t="str">
        <f t="shared" si="10"/>
        <v>BMGMTX-DCSYS02</v>
      </c>
    </row>
    <row r="45" spans="1:28">
      <c r="A45" s="92" t="str">
        <f>'Plant loading'!A41</f>
        <v>Gravelly Hill</v>
      </c>
      <c r="B45" s="92" t="str">
        <f>'Plant loading'!B41</f>
        <v>BMGMTX-DCSYS03</v>
      </c>
      <c r="C45" s="93">
        <f>('Plant loading'!E41*54.5)/1000</f>
        <v>42.019500000000001</v>
      </c>
      <c r="D45" s="94" t="str">
        <f t="shared" si="13"/>
        <v>2.5 hours</v>
      </c>
      <c r="E45" s="342">
        <v>45078</v>
      </c>
      <c r="F45" s="342">
        <v>45078</v>
      </c>
      <c r="G45" s="342">
        <v>45078</v>
      </c>
      <c r="H45" s="342">
        <v>45078</v>
      </c>
      <c r="I45" s="342">
        <v>45078</v>
      </c>
      <c r="J45" s="342">
        <v>45078</v>
      </c>
      <c r="K45" s="342">
        <v>45078</v>
      </c>
      <c r="L45" s="342">
        <v>45078</v>
      </c>
      <c r="M45" s="342">
        <v>45078</v>
      </c>
      <c r="N45" s="342"/>
      <c r="O45" s="342"/>
      <c r="P45" s="342" t="s">
        <v>619</v>
      </c>
      <c r="Q45"/>
      <c r="R45" s="5">
        <f t="shared" si="14"/>
        <v>9</v>
      </c>
      <c r="S45" s="5">
        <f t="shared" si="15"/>
        <v>4.6688333333333336</v>
      </c>
      <c r="T45" s="5">
        <f t="shared" si="23"/>
        <v>10</v>
      </c>
      <c r="U45" s="5">
        <f t="shared" si="16"/>
        <v>0</v>
      </c>
      <c r="V45" s="5">
        <f t="shared" si="17"/>
        <v>0</v>
      </c>
      <c r="W45" s="194">
        <f t="shared" si="24"/>
        <v>13</v>
      </c>
      <c r="X45" s="195" t="str">
        <f t="shared" si="25"/>
        <v>IR+HC</v>
      </c>
      <c r="Y45" s="194">
        <f t="shared" si="26"/>
        <v>13</v>
      </c>
      <c r="Z45" s="195"/>
      <c r="AA45" s="1390"/>
      <c r="AB45" t="str">
        <f t="shared" si="10"/>
        <v>BMGMTX-DCSYS03</v>
      </c>
    </row>
    <row r="46" spans="1:28">
      <c r="A46" s="92" t="str">
        <f>'Plant loading'!A42</f>
        <v>Gravelly Hill</v>
      </c>
      <c r="B46" s="92" t="str">
        <f>'Plant loading'!B42</f>
        <v>BMGMTX-DCSYS04</v>
      </c>
      <c r="C46" s="93">
        <f>('Plant loading'!E42*54.5)/1000</f>
        <v>41.637999999999998</v>
      </c>
      <c r="D46" s="94" t="str">
        <f t="shared" si="13"/>
        <v>2.5 hours</v>
      </c>
      <c r="E46" s="342">
        <v>43891</v>
      </c>
      <c r="F46" s="342">
        <v>43891</v>
      </c>
      <c r="G46" s="342">
        <v>43891</v>
      </c>
      <c r="H46" s="342">
        <v>43922</v>
      </c>
      <c r="I46" s="342">
        <v>43922</v>
      </c>
      <c r="J46" s="342">
        <v>43922</v>
      </c>
      <c r="K46" s="342">
        <v>43922</v>
      </c>
      <c r="L46" s="342">
        <v>43922</v>
      </c>
      <c r="M46" s="342">
        <v>43922</v>
      </c>
      <c r="N46" s="342"/>
      <c r="O46" s="342"/>
      <c r="P46" s="342" t="s">
        <v>619</v>
      </c>
      <c r="Q46"/>
      <c r="R46" s="5">
        <f t="shared" si="14"/>
        <v>9</v>
      </c>
      <c r="S46" s="5">
        <f t="shared" si="15"/>
        <v>4.6264444444444441</v>
      </c>
      <c r="T46" s="5">
        <f t="shared" si="23"/>
        <v>10</v>
      </c>
      <c r="U46" s="5">
        <f t="shared" si="16"/>
        <v>0</v>
      </c>
      <c r="V46" s="5">
        <f t="shared" si="17"/>
        <v>0</v>
      </c>
      <c r="W46" s="194">
        <f t="shared" si="24"/>
        <v>5</v>
      </c>
      <c r="X46" s="195" t="str">
        <f t="shared" si="25"/>
        <v>IR+HC</v>
      </c>
      <c r="Y46" s="194">
        <f t="shared" si="26"/>
        <v>5</v>
      </c>
      <c r="Z46" s="195"/>
      <c r="AA46" s="1390"/>
      <c r="AB46" t="str">
        <f t="shared" si="10"/>
        <v>BMGMTX-DCSYS04</v>
      </c>
    </row>
    <row r="47" spans="1:28">
      <c r="A47" s="92" t="str">
        <f>'Plant loading'!A43</f>
        <v>Gravelly Hill</v>
      </c>
      <c r="B47" s="92" t="str">
        <f>'Plant loading'!B43</f>
        <v>BMGMTX-DCSYS05</v>
      </c>
      <c r="C47" s="93">
        <f>('Plant loading'!E43*54.5)/1000</f>
        <v>43.273000000000003</v>
      </c>
      <c r="D47" s="94" t="str">
        <f t="shared" si="13"/>
        <v>2.5 hours</v>
      </c>
      <c r="E47" s="342">
        <v>45078</v>
      </c>
      <c r="F47" s="342">
        <v>45078</v>
      </c>
      <c r="G47" s="342">
        <v>45078</v>
      </c>
      <c r="H47" s="342">
        <v>45078</v>
      </c>
      <c r="I47" s="342">
        <v>45078</v>
      </c>
      <c r="J47" s="342">
        <v>45078</v>
      </c>
      <c r="K47" s="342">
        <v>45078</v>
      </c>
      <c r="L47" s="342">
        <v>45078</v>
      </c>
      <c r="M47" s="342">
        <v>45078</v>
      </c>
      <c r="N47" s="342"/>
      <c r="O47" s="342"/>
      <c r="P47" s="342" t="s">
        <v>619</v>
      </c>
      <c r="Q47"/>
      <c r="R47" s="5">
        <f t="shared" si="14"/>
        <v>9</v>
      </c>
      <c r="S47" s="5">
        <f t="shared" si="15"/>
        <v>4.8081111111111117</v>
      </c>
      <c r="T47" s="5">
        <f t="shared" si="23"/>
        <v>10</v>
      </c>
      <c r="U47" s="5">
        <f t="shared" si="16"/>
        <v>0</v>
      </c>
      <c r="V47" s="5">
        <f t="shared" si="17"/>
        <v>0</v>
      </c>
      <c r="W47" s="194">
        <f t="shared" si="24"/>
        <v>13</v>
      </c>
      <c r="X47" s="195" t="str">
        <f t="shared" si="25"/>
        <v>IR+HC</v>
      </c>
      <c r="Y47" s="194">
        <f t="shared" si="26"/>
        <v>13</v>
      </c>
      <c r="Z47" s="195"/>
      <c r="AA47" s="1390"/>
      <c r="AB47" t="str">
        <f t="shared" si="10"/>
        <v>BMGMTX-DCSYS05</v>
      </c>
    </row>
    <row r="48" spans="1:28">
      <c r="A48" s="92" t="str">
        <f>'Plant loading'!A44</f>
        <v>Gravelly Hill</v>
      </c>
      <c r="B48" s="92" t="str">
        <f>'Plant loading'!B44</f>
        <v>BMGMTX-DCSYS06</v>
      </c>
      <c r="C48" s="93">
        <f>('Plant loading'!E44*54.5)/1000</f>
        <v>45.725499999999997</v>
      </c>
      <c r="D48" s="94" t="str">
        <f t="shared" si="13"/>
        <v>2 hours</v>
      </c>
      <c r="E48" s="342">
        <v>44866</v>
      </c>
      <c r="F48" s="342">
        <v>44866</v>
      </c>
      <c r="G48" s="342">
        <v>44866</v>
      </c>
      <c r="H48" s="342">
        <v>44866</v>
      </c>
      <c r="I48" s="342">
        <v>44866</v>
      </c>
      <c r="J48" s="342">
        <v>44866</v>
      </c>
      <c r="K48" s="342">
        <v>44866</v>
      </c>
      <c r="L48" s="342">
        <v>44866</v>
      </c>
      <c r="M48" s="342">
        <v>44866</v>
      </c>
      <c r="N48" s="342"/>
      <c r="O48" s="342"/>
      <c r="P48" s="342" t="s">
        <v>619</v>
      </c>
      <c r="Q48"/>
      <c r="R48" s="5">
        <f t="shared" si="14"/>
        <v>9</v>
      </c>
      <c r="S48" s="5">
        <f t="shared" si="15"/>
        <v>5.0806111111111107</v>
      </c>
      <c r="T48" s="5">
        <f t="shared" si="23"/>
        <v>9</v>
      </c>
      <c r="U48" s="5">
        <f t="shared" si="16"/>
        <v>0</v>
      </c>
      <c r="V48" s="5">
        <f t="shared" si="17"/>
        <v>0</v>
      </c>
      <c r="W48" s="194">
        <f t="shared" si="24"/>
        <v>11</v>
      </c>
      <c r="X48" s="195" t="str">
        <f t="shared" si="25"/>
        <v>Discharge</v>
      </c>
      <c r="Y48" s="194">
        <f t="shared" si="26"/>
        <v>11</v>
      </c>
      <c r="Z48" s="195"/>
      <c r="AA48" s="1390"/>
      <c r="AB48" t="str">
        <f t="shared" si="10"/>
        <v>BMGMTX-DCSYS06</v>
      </c>
    </row>
    <row r="49" spans="1:28">
      <c r="A49" s="92" t="str">
        <f>'Plant loading'!A45</f>
        <v>Gravelly Hill</v>
      </c>
      <c r="B49" s="92" t="str">
        <f>'Plant loading'!B45</f>
        <v>BMGMTX-DCSYS07a</v>
      </c>
      <c r="C49" s="93">
        <f>('Plant loading'!E45*54.5)/1000</f>
        <v>15.641500000000001</v>
      </c>
      <c r="D49" s="94" t="str">
        <f t="shared" ref="D49:D50" si="27">CHOOSE(T49,$C$130,$D$130,$E$130,$F$130,$G$130,$H$130,$I$130,$J$130,$K$130,$L$130,$M$130,$N$130,$O$130,$P$130,$Q$130,$R$130)</f>
        <v>4 hours</v>
      </c>
      <c r="E49" s="342">
        <v>44470</v>
      </c>
      <c r="F49" s="342">
        <v>44470</v>
      </c>
      <c r="G49" s="342">
        <v>44470</v>
      </c>
      <c r="H49" s="342">
        <v>44470</v>
      </c>
      <c r="I49" s="342">
        <v>44470</v>
      </c>
      <c r="J49" s="342"/>
      <c r="K49" s="342"/>
      <c r="L49" s="342"/>
      <c r="M49" s="342"/>
      <c r="N49" s="342"/>
      <c r="O49" s="342"/>
      <c r="P49" s="342" t="s">
        <v>619</v>
      </c>
      <c r="Q49"/>
      <c r="R49" s="5">
        <f t="shared" ref="R49:R50" si="28">COUNT(E49:P49)</f>
        <v>5</v>
      </c>
      <c r="S49" s="5">
        <f t="shared" ref="S49:S50" si="29">C49/R49</f>
        <v>3.1283000000000003</v>
      </c>
      <c r="T49" s="5">
        <f t="shared" ref="T49:T50" si="30">MATCH(S49,$C$134:$R$134,-1)</f>
        <v>12</v>
      </c>
      <c r="U49" s="5">
        <f t="shared" ref="U49:U50" si="31">COUNTIFS(E49:P49,"&gt;="&amp;$D$3,E49:P49,"&lt;="&amp;$E$3)</f>
        <v>0</v>
      </c>
      <c r="V49" s="5">
        <f t="shared" ref="V49:V50" si="32">COUNTIFS(E49:P49,"&lt;="&amp;$E$2)</f>
        <v>0</v>
      </c>
      <c r="W49" s="194"/>
      <c r="X49" s="195"/>
      <c r="Y49" s="194"/>
      <c r="Z49" s="195"/>
      <c r="AA49" s="890"/>
      <c r="AB49" t="str">
        <f t="shared" si="10"/>
        <v>BMGMTX-DCSYS07a</v>
      </c>
    </row>
    <row r="50" spans="1:28">
      <c r="A50" s="92" t="str">
        <f>'Plant loading'!A46</f>
        <v>Gravelly Hill</v>
      </c>
      <c r="B50" s="92" t="str">
        <f>'Plant loading'!B46</f>
        <v>BMGMTX-DCSYS07b</v>
      </c>
      <c r="C50" s="93">
        <f>('Plant loading'!E46*54.5)/1000</f>
        <v>15.587</v>
      </c>
      <c r="D50" s="94" t="str">
        <f t="shared" si="27"/>
        <v>4 hours</v>
      </c>
      <c r="E50" s="342">
        <v>44470</v>
      </c>
      <c r="F50" s="342">
        <v>44470</v>
      </c>
      <c r="G50" s="342">
        <v>44470</v>
      </c>
      <c r="H50" s="342">
        <v>44470</v>
      </c>
      <c r="I50" s="342">
        <v>44470</v>
      </c>
      <c r="J50" s="342"/>
      <c r="K50" s="342"/>
      <c r="L50" s="342"/>
      <c r="M50" s="342"/>
      <c r="N50" s="342"/>
      <c r="O50" s="342"/>
      <c r="P50" s="342" t="s">
        <v>619</v>
      </c>
      <c r="Q50"/>
      <c r="R50" s="5">
        <f t="shared" si="28"/>
        <v>5</v>
      </c>
      <c r="S50" s="5">
        <f t="shared" si="29"/>
        <v>3.1173999999999999</v>
      </c>
      <c r="T50" s="5">
        <f t="shared" si="30"/>
        <v>12</v>
      </c>
      <c r="U50" s="5">
        <f t="shared" si="31"/>
        <v>0</v>
      </c>
      <c r="V50" s="5">
        <f t="shared" si="32"/>
        <v>0</v>
      </c>
      <c r="W50" s="194"/>
      <c r="X50" s="195"/>
      <c r="Y50" s="194"/>
      <c r="Z50" s="195"/>
      <c r="AA50" s="890"/>
      <c r="AB50" t="str">
        <f t="shared" si="10"/>
        <v>BMGMTX-DCSYS07b</v>
      </c>
    </row>
    <row r="51" spans="1:28">
      <c r="A51" s="740" t="str">
        <f>'Plant loading'!A47</f>
        <v>Kings Cross</v>
      </c>
      <c r="B51" s="740" t="str">
        <f>'Plant loading'!B47</f>
        <v>PEAKS</v>
      </c>
      <c r="C51" s="741">
        <f>('Plant loading'!E47*54.5)/1000</f>
        <v>13.189</v>
      </c>
      <c r="D51" s="742" t="str">
        <f t="shared" ref="D51:D65" si="33">CHOOSE(T51,$C$130,$D$130,$E$130,$F$130,$G$130,$H$130,$I$130,$J$130,$K$130,$L$130,$M$130,$N$130,$O$130,$P$130,$Q$130,$R$130)</f>
        <v>8 hours</v>
      </c>
      <c r="E51" s="743">
        <v>44409</v>
      </c>
      <c r="F51" s="743">
        <v>44409</v>
      </c>
      <c r="G51" s="743">
        <v>44409</v>
      </c>
      <c r="H51" s="743">
        <v>44409</v>
      </c>
      <c r="I51" s="743">
        <v>44409</v>
      </c>
      <c r="J51" s="743">
        <v>44409</v>
      </c>
      <c r="K51" s="743">
        <v>44409</v>
      </c>
      <c r="L51" s="743">
        <v>44409</v>
      </c>
      <c r="M51" s="743">
        <v>44409</v>
      </c>
      <c r="N51" s="743"/>
      <c r="O51" s="743"/>
      <c r="P51" s="743" t="s">
        <v>619</v>
      </c>
      <c r="Q51"/>
      <c r="R51" s="5">
        <f t="shared" si="14"/>
        <v>9</v>
      </c>
      <c r="S51" s="5">
        <f t="shared" si="15"/>
        <v>1.4654444444444445</v>
      </c>
      <c r="T51" s="5">
        <f t="shared" ref="T51:T65" si="34">MATCH(S51,$C$134:$R$134,-1)</f>
        <v>16</v>
      </c>
      <c r="U51" s="5">
        <f t="shared" si="16"/>
        <v>0</v>
      </c>
      <c r="V51" s="5">
        <f t="shared" si="17"/>
        <v>0</v>
      </c>
      <c r="W51" s="194">
        <f t="shared" ref="W51:W65" si="35">MATCH($E51,$B$177:$Q$177,1)</f>
        <v>9</v>
      </c>
      <c r="X51" s="196" t="str">
        <f t="shared" ref="X51:X59" si="36">CHOOSE(ROUNDUP((W51/2),0),$B$179,$D$179,$F$179,$H$179,$J$179,$L$179,$N$179,$P$179)</f>
        <v>IR+HC</v>
      </c>
      <c r="Y51" s="194">
        <f t="shared" ref="Y51:Y65" si="37">MATCH($E51,$B$183:$S$183,1)</f>
        <v>9</v>
      </c>
      <c r="Z51" s="196" t="str">
        <f t="shared" ref="Z51:Z59" si="38">CHOOSE(ROUNDUP((Y51/2),0),$B$185,$D$185,$F$185,$H$185,$J$185,$L$185,$N$185,$P$185,$R$185)</f>
        <v>Discharge</v>
      </c>
      <c r="AA51" s="1391" t="str">
        <f>A51</f>
        <v>Kings Cross</v>
      </c>
      <c r="AB51" t="str">
        <f t="shared" si="10"/>
        <v>PEAKS</v>
      </c>
    </row>
    <row r="52" spans="1:28">
      <c r="A52" s="95" t="str">
        <f>'Plant loading'!A48</f>
        <v>Kings Cross</v>
      </c>
      <c r="B52" s="95" t="str">
        <f>'Plant loading'!B48</f>
        <v>PEBKS</v>
      </c>
      <c r="C52" s="96">
        <f>('Plant loading'!E48*54.5)/1000</f>
        <v>17.984999999999999</v>
      </c>
      <c r="D52" s="97" t="str">
        <f t="shared" si="33"/>
        <v>7 hours</v>
      </c>
      <c r="E52" s="342">
        <v>44409</v>
      </c>
      <c r="F52" s="342">
        <v>44409</v>
      </c>
      <c r="G52" s="342">
        <v>44409</v>
      </c>
      <c r="H52" s="342">
        <v>44409</v>
      </c>
      <c r="I52" s="342">
        <v>44409</v>
      </c>
      <c r="J52" s="342">
        <v>44409</v>
      </c>
      <c r="K52" s="342">
        <v>44409</v>
      </c>
      <c r="L52" s="342">
        <v>44409</v>
      </c>
      <c r="M52" s="342">
        <v>44409</v>
      </c>
      <c r="N52" s="342"/>
      <c r="O52" s="342"/>
      <c r="P52" s="342" t="s">
        <v>619</v>
      </c>
      <c r="Q52"/>
      <c r="R52" s="5">
        <f t="shared" si="14"/>
        <v>9</v>
      </c>
      <c r="S52" s="5">
        <f t="shared" si="15"/>
        <v>1.9983333333333333</v>
      </c>
      <c r="T52" s="5">
        <f t="shared" si="34"/>
        <v>15</v>
      </c>
      <c r="U52" s="5">
        <f t="shared" si="16"/>
        <v>0</v>
      </c>
      <c r="V52" s="5">
        <f t="shared" si="17"/>
        <v>0</v>
      </c>
      <c r="W52" s="194">
        <f t="shared" si="35"/>
        <v>9</v>
      </c>
      <c r="X52" s="196" t="str">
        <f t="shared" si="36"/>
        <v>IR+HC</v>
      </c>
      <c r="Y52" s="194">
        <f t="shared" si="37"/>
        <v>9</v>
      </c>
      <c r="Z52" s="196" t="str">
        <f t="shared" si="38"/>
        <v>Discharge</v>
      </c>
      <c r="AA52" s="1391"/>
      <c r="AB52" t="str">
        <f t="shared" si="10"/>
        <v>PEBKS</v>
      </c>
    </row>
    <row r="53" spans="1:28">
      <c r="A53" s="95" t="str">
        <f>'Plant loading'!A49</f>
        <v>Kings Cross</v>
      </c>
      <c r="B53" s="95" t="str">
        <f>'Plant loading'!B49</f>
        <v>PEEKS</v>
      </c>
      <c r="C53" s="96">
        <f>('Plant loading'!E49*54.5)/1000</f>
        <v>5.45</v>
      </c>
      <c r="D53" s="97" t="str">
        <f t="shared" si="33"/>
        <v>8 hours</v>
      </c>
      <c r="E53" s="342">
        <v>44409</v>
      </c>
      <c r="F53" s="342">
        <v>44409</v>
      </c>
      <c r="G53" s="342">
        <v>44409</v>
      </c>
      <c r="H53" s="342">
        <v>44409</v>
      </c>
      <c r="I53" s="342">
        <v>44409</v>
      </c>
      <c r="J53" s="342">
        <v>44409</v>
      </c>
      <c r="K53" s="342">
        <v>44409</v>
      </c>
      <c r="L53" s="342"/>
      <c r="M53" s="342"/>
      <c r="N53" s="342"/>
      <c r="O53" s="342"/>
      <c r="P53" s="342" t="s">
        <v>619</v>
      </c>
      <c r="Q53"/>
      <c r="R53" s="5">
        <f t="shared" si="14"/>
        <v>7</v>
      </c>
      <c r="S53" s="5">
        <f t="shared" si="15"/>
        <v>0.77857142857142858</v>
      </c>
      <c r="T53" s="5">
        <f t="shared" si="34"/>
        <v>16</v>
      </c>
      <c r="U53" s="5">
        <f t="shared" si="16"/>
        <v>0</v>
      </c>
      <c r="V53" s="5">
        <f t="shared" si="17"/>
        <v>0</v>
      </c>
      <c r="W53" s="194">
        <f t="shared" si="35"/>
        <v>9</v>
      </c>
      <c r="X53" s="196" t="str">
        <f t="shared" si="36"/>
        <v>IR+HC</v>
      </c>
      <c r="Y53" s="194">
        <f t="shared" si="37"/>
        <v>9</v>
      </c>
      <c r="Z53" s="196" t="str">
        <f t="shared" si="38"/>
        <v>Discharge</v>
      </c>
      <c r="AA53" s="1391"/>
      <c r="AB53" t="str">
        <f t="shared" si="10"/>
        <v>PEEKS</v>
      </c>
    </row>
    <row r="54" spans="1:28">
      <c r="A54" s="95" t="str">
        <f>'Plant loading'!A50</f>
        <v>Kings Cross</v>
      </c>
      <c r="B54" s="95" t="str">
        <f>'Plant loading'!B50</f>
        <v>PEIKS</v>
      </c>
      <c r="C54" s="96">
        <f>('Plant loading'!E50*54.5)/1000</f>
        <v>27.522500000000001</v>
      </c>
      <c r="D54" s="97" t="str">
        <f t="shared" si="33"/>
        <v>4 hours</v>
      </c>
      <c r="E54" s="342">
        <v>42917</v>
      </c>
      <c r="F54" s="342">
        <v>42917</v>
      </c>
      <c r="G54" s="342">
        <v>42917</v>
      </c>
      <c r="H54" s="342">
        <v>42917</v>
      </c>
      <c r="I54" s="342">
        <v>42917</v>
      </c>
      <c r="J54" s="342">
        <v>42917</v>
      </c>
      <c r="K54" s="342">
        <v>42917</v>
      </c>
      <c r="L54" s="342">
        <v>42917</v>
      </c>
      <c r="M54" s="342">
        <v>42917</v>
      </c>
      <c r="N54" s="342"/>
      <c r="O54" s="342"/>
      <c r="P54" s="342" t="s">
        <v>620</v>
      </c>
      <c r="Q54"/>
      <c r="R54" s="5">
        <f t="shared" si="14"/>
        <v>9</v>
      </c>
      <c r="S54" s="5">
        <f t="shared" si="15"/>
        <v>3.0580555555555557</v>
      </c>
      <c r="T54" s="5">
        <f t="shared" si="34"/>
        <v>12</v>
      </c>
      <c r="U54" s="5">
        <f t="shared" si="16"/>
        <v>0</v>
      </c>
      <c r="V54" s="5">
        <f t="shared" si="17"/>
        <v>9</v>
      </c>
      <c r="W54" s="194">
        <f t="shared" si="35"/>
        <v>1</v>
      </c>
      <c r="X54" s="196" t="str">
        <f t="shared" si="36"/>
        <v>Replacement Due</v>
      </c>
      <c r="Y54" s="194">
        <f t="shared" si="37"/>
        <v>1</v>
      </c>
      <c r="Z54" s="196" t="str">
        <f t="shared" si="38"/>
        <v>IR+HC</v>
      </c>
      <c r="AA54" s="1391"/>
      <c r="AB54" t="str">
        <f t="shared" si="10"/>
        <v>PEIKS</v>
      </c>
    </row>
    <row r="55" spans="1:28">
      <c r="A55" s="95" t="str">
        <f>'Plant loading'!A51</f>
        <v>Kings Cross</v>
      </c>
      <c r="B55" s="95" t="str">
        <f>'Plant loading'!B51</f>
        <v>PEJKS</v>
      </c>
      <c r="C55" s="96">
        <f>('Plant loading'!E51*54.5)/1000</f>
        <v>13.679500000000001</v>
      </c>
      <c r="D55" s="97" t="str">
        <f t="shared" si="33"/>
        <v>8 hours</v>
      </c>
      <c r="E55" s="342">
        <v>42917</v>
      </c>
      <c r="F55" s="342">
        <v>42917</v>
      </c>
      <c r="G55" s="342">
        <v>42917</v>
      </c>
      <c r="H55" s="342">
        <v>42917</v>
      </c>
      <c r="I55" s="342">
        <v>42917</v>
      </c>
      <c r="J55" s="342">
        <v>42917</v>
      </c>
      <c r="K55" s="342">
        <v>42917</v>
      </c>
      <c r="L55" s="342">
        <v>42917</v>
      </c>
      <c r="M55" s="342">
        <v>42917</v>
      </c>
      <c r="N55" s="342"/>
      <c r="O55" s="342"/>
      <c r="P55" s="342" t="s">
        <v>620</v>
      </c>
      <c r="Q55"/>
      <c r="R55" s="5">
        <f t="shared" si="14"/>
        <v>9</v>
      </c>
      <c r="S55" s="5">
        <f t="shared" si="15"/>
        <v>1.5199444444444445</v>
      </c>
      <c r="T55" s="5">
        <f t="shared" si="34"/>
        <v>16</v>
      </c>
      <c r="U55" s="5">
        <f t="shared" si="16"/>
        <v>0</v>
      </c>
      <c r="V55" s="5">
        <f t="shared" si="17"/>
        <v>9</v>
      </c>
      <c r="W55" s="194">
        <f t="shared" si="35"/>
        <v>1</v>
      </c>
      <c r="X55" s="196" t="str">
        <f t="shared" si="36"/>
        <v>Replacement Due</v>
      </c>
      <c r="Y55" s="194">
        <f t="shared" si="37"/>
        <v>1</v>
      </c>
      <c r="Z55" s="196" t="str">
        <f t="shared" si="38"/>
        <v>IR+HC</v>
      </c>
      <c r="AA55" s="1391"/>
      <c r="AB55" t="str">
        <f t="shared" si="10"/>
        <v>PEJKS</v>
      </c>
    </row>
    <row r="56" spans="1:28">
      <c r="A56" s="95" t="str">
        <f>'Plant loading'!A52</f>
        <v>Kings Cross</v>
      </c>
      <c r="B56" s="95" t="str">
        <f>'Plant loading'!B52</f>
        <v>PEKKS</v>
      </c>
      <c r="C56" s="96">
        <f>('Plant loading'!E52*54.5)/1000</f>
        <v>23.380500000000001</v>
      </c>
      <c r="D56" s="97" t="str">
        <f t="shared" si="33"/>
        <v>5 hours</v>
      </c>
      <c r="E56" s="342">
        <v>42917</v>
      </c>
      <c r="F56" s="342">
        <v>42917</v>
      </c>
      <c r="G56" s="342">
        <v>42917</v>
      </c>
      <c r="H56" s="342">
        <v>42917</v>
      </c>
      <c r="I56" s="342">
        <v>42917</v>
      </c>
      <c r="J56" s="342">
        <v>42917</v>
      </c>
      <c r="K56" s="342">
        <v>42917</v>
      </c>
      <c r="L56" s="342">
        <v>42917</v>
      </c>
      <c r="M56" s="342">
        <v>42917</v>
      </c>
      <c r="N56" s="342"/>
      <c r="O56" s="342"/>
      <c r="P56" s="342" t="s">
        <v>620</v>
      </c>
      <c r="Q56"/>
      <c r="R56" s="5">
        <f t="shared" si="14"/>
        <v>9</v>
      </c>
      <c r="S56" s="5">
        <f t="shared" si="15"/>
        <v>2.5978333333333334</v>
      </c>
      <c r="T56" s="5">
        <f t="shared" si="34"/>
        <v>13</v>
      </c>
      <c r="U56" s="5">
        <f t="shared" si="16"/>
        <v>0</v>
      </c>
      <c r="V56" s="5">
        <f t="shared" si="17"/>
        <v>9</v>
      </c>
      <c r="W56" s="194">
        <f t="shared" si="35"/>
        <v>1</v>
      </c>
      <c r="X56" s="196" t="str">
        <f t="shared" si="36"/>
        <v>Replacement Due</v>
      </c>
      <c r="Y56" s="194">
        <f t="shared" si="37"/>
        <v>1</v>
      </c>
      <c r="Z56" s="196" t="str">
        <f t="shared" si="38"/>
        <v>IR+HC</v>
      </c>
      <c r="AA56" s="1391"/>
      <c r="AB56" t="str">
        <f t="shared" si="10"/>
        <v>PEKKS</v>
      </c>
    </row>
    <row r="57" spans="1:28">
      <c r="A57" s="95" t="str">
        <f>'Plant loading'!A53</f>
        <v>Kings Cross</v>
      </c>
      <c r="B57" s="95" t="str">
        <f>'Plant loading'!B53</f>
        <v>PELKS</v>
      </c>
      <c r="C57" s="96">
        <f>('Plant loading'!E53*54.5)/1000</f>
        <v>8.3930000000000007</v>
      </c>
      <c r="D57" s="97" t="str">
        <f t="shared" si="33"/>
        <v>8 hours</v>
      </c>
      <c r="E57" s="342">
        <v>42917</v>
      </c>
      <c r="F57" s="342">
        <v>42917</v>
      </c>
      <c r="G57" s="342">
        <v>42917</v>
      </c>
      <c r="H57" s="342">
        <v>42917</v>
      </c>
      <c r="I57" s="342">
        <v>42917</v>
      </c>
      <c r="J57" s="342">
        <v>42917</v>
      </c>
      <c r="K57" s="342"/>
      <c r="L57" s="342"/>
      <c r="M57" s="342"/>
      <c r="N57" s="342"/>
      <c r="O57" s="342"/>
      <c r="P57" s="342" t="s">
        <v>620</v>
      </c>
      <c r="Q57"/>
      <c r="R57" s="5">
        <f t="shared" si="14"/>
        <v>6</v>
      </c>
      <c r="S57" s="5">
        <f t="shared" si="15"/>
        <v>1.3988333333333334</v>
      </c>
      <c r="T57" s="5">
        <f t="shared" si="34"/>
        <v>16</v>
      </c>
      <c r="U57" s="5">
        <f t="shared" si="16"/>
        <v>0</v>
      </c>
      <c r="V57" s="5">
        <f t="shared" si="17"/>
        <v>6</v>
      </c>
      <c r="W57" s="194">
        <f t="shared" si="35"/>
        <v>1</v>
      </c>
      <c r="X57" s="196" t="str">
        <f t="shared" si="36"/>
        <v>Replacement Due</v>
      </c>
      <c r="Y57" s="194">
        <f t="shared" si="37"/>
        <v>1</v>
      </c>
      <c r="Z57" s="196" t="str">
        <f t="shared" si="38"/>
        <v>IR+HC</v>
      </c>
      <c r="AA57" s="1391"/>
      <c r="AB57" t="str">
        <f t="shared" si="10"/>
        <v>PELKS</v>
      </c>
    </row>
    <row r="58" spans="1:28">
      <c r="A58" s="95" t="str">
        <f>'Plant loading'!A54</f>
        <v>Kings Cross</v>
      </c>
      <c r="B58" s="95" t="str">
        <f>'Plant loading'!B54</f>
        <v>PEMKS</v>
      </c>
      <c r="C58" s="96">
        <f>('Plant loading'!E54*54.5)/1000</f>
        <v>7.5754999999999999</v>
      </c>
      <c r="D58" s="97" t="str">
        <f t="shared" si="33"/>
        <v>8 hours</v>
      </c>
      <c r="E58" s="342">
        <v>42917</v>
      </c>
      <c r="F58" s="342">
        <v>42917</v>
      </c>
      <c r="G58" s="342">
        <v>42917</v>
      </c>
      <c r="H58" s="342">
        <v>42917</v>
      </c>
      <c r="I58" s="342">
        <v>42917</v>
      </c>
      <c r="J58" s="342">
        <v>42917</v>
      </c>
      <c r="K58" s="342"/>
      <c r="L58" s="342"/>
      <c r="M58" s="342"/>
      <c r="N58" s="342"/>
      <c r="O58" s="342"/>
      <c r="P58" s="342" t="s">
        <v>620</v>
      </c>
      <c r="Q58"/>
      <c r="R58" s="5">
        <f t="shared" si="14"/>
        <v>6</v>
      </c>
      <c r="S58" s="5">
        <f t="shared" si="15"/>
        <v>1.2625833333333334</v>
      </c>
      <c r="T58" s="5">
        <f t="shared" si="34"/>
        <v>16</v>
      </c>
      <c r="U58" s="5">
        <f t="shared" si="16"/>
        <v>0</v>
      </c>
      <c r="V58" s="5">
        <f t="shared" si="17"/>
        <v>6</v>
      </c>
      <c r="W58" s="194">
        <f t="shared" si="35"/>
        <v>1</v>
      </c>
      <c r="X58" s="196" t="str">
        <f t="shared" si="36"/>
        <v>Replacement Due</v>
      </c>
      <c r="Y58" s="194">
        <f t="shared" si="37"/>
        <v>1</v>
      </c>
      <c r="Z58" s="196" t="str">
        <f t="shared" si="38"/>
        <v>IR+HC</v>
      </c>
      <c r="AA58" s="1391"/>
      <c r="AB58" t="str">
        <f t="shared" si="10"/>
        <v>PEMKS</v>
      </c>
    </row>
    <row r="59" spans="1:28">
      <c r="A59" s="95" t="str">
        <f>'Plant loading'!A55</f>
        <v>Kings Cross</v>
      </c>
      <c r="B59" s="95" t="str">
        <f>'Plant loading'!B55</f>
        <v>PENKS</v>
      </c>
      <c r="C59" s="96">
        <f>('Plant loading'!E55*54.5)/1000</f>
        <v>5.6135000000000002</v>
      </c>
      <c r="D59" s="97" t="str">
        <f t="shared" si="33"/>
        <v>8 hours</v>
      </c>
      <c r="E59" s="342">
        <v>42917</v>
      </c>
      <c r="F59" s="342">
        <v>42917</v>
      </c>
      <c r="G59" s="342">
        <v>42917</v>
      </c>
      <c r="H59" s="342">
        <v>42917</v>
      </c>
      <c r="I59" s="342">
        <v>42917</v>
      </c>
      <c r="J59" s="342">
        <v>42917</v>
      </c>
      <c r="K59" s="342"/>
      <c r="L59" s="342"/>
      <c r="M59" s="342"/>
      <c r="N59" s="342"/>
      <c r="O59" s="342"/>
      <c r="P59" s="342" t="s">
        <v>620</v>
      </c>
      <c r="Q59"/>
      <c r="R59" s="5">
        <f t="shared" si="14"/>
        <v>6</v>
      </c>
      <c r="S59" s="5">
        <f t="shared" si="15"/>
        <v>0.93558333333333332</v>
      </c>
      <c r="T59" s="5">
        <f t="shared" si="34"/>
        <v>16</v>
      </c>
      <c r="U59" s="5">
        <f t="shared" si="16"/>
        <v>0</v>
      </c>
      <c r="V59" s="5">
        <f t="shared" si="17"/>
        <v>6</v>
      </c>
      <c r="W59" s="194">
        <f t="shared" si="35"/>
        <v>1</v>
      </c>
      <c r="X59" s="196" t="str">
        <f t="shared" si="36"/>
        <v>Replacement Due</v>
      </c>
      <c r="Y59" s="194">
        <f t="shared" si="37"/>
        <v>1</v>
      </c>
      <c r="Z59" s="196" t="str">
        <f t="shared" si="38"/>
        <v>IR+HC</v>
      </c>
      <c r="AA59" s="1391"/>
      <c r="AB59" t="str">
        <f t="shared" si="10"/>
        <v>PENKS</v>
      </c>
    </row>
    <row r="60" spans="1:28">
      <c r="A60" s="748" t="str">
        <f>'Plant loading'!A56</f>
        <v>Leyland</v>
      </c>
      <c r="B60" s="748" t="str">
        <f>'Plant loading'!B56</f>
        <v>LLDMTX-DCSYS01</v>
      </c>
      <c r="C60" s="749">
        <f>('Plant loading'!E56*54.5)/1000</f>
        <v>48.832000000000001</v>
      </c>
      <c r="D60" s="750" t="str">
        <f t="shared" si="33"/>
        <v>2 hours</v>
      </c>
      <c r="E60" s="743">
        <v>44835</v>
      </c>
      <c r="F60" s="743">
        <v>44835</v>
      </c>
      <c r="G60" s="743">
        <v>44835</v>
      </c>
      <c r="H60" s="743">
        <v>44835</v>
      </c>
      <c r="I60" s="743">
        <v>44835</v>
      </c>
      <c r="J60" s="743">
        <v>44835</v>
      </c>
      <c r="K60" s="743">
        <v>44835</v>
      </c>
      <c r="L60" s="743">
        <v>44835</v>
      </c>
      <c r="M60" s="743">
        <v>44835</v>
      </c>
      <c r="N60" s="743"/>
      <c r="O60" s="743"/>
      <c r="P60" s="743" t="s">
        <v>619</v>
      </c>
      <c r="Q60"/>
      <c r="R60" s="5">
        <f t="shared" si="14"/>
        <v>9</v>
      </c>
      <c r="S60" s="5">
        <f t="shared" si="15"/>
        <v>5.4257777777777783</v>
      </c>
      <c r="T60" s="5">
        <f t="shared" si="34"/>
        <v>9</v>
      </c>
      <c r="U60" s="5">
        <f t="shared" si="16"/>
        <v>0</v>
      </c>
      <c r="V60" s="5">
        <f t="shared" si="17"/>
        <v>0</v>
      </c>
      <c r="W60" s="194">
        <f t="shared" si="35"/>
        <v>11</v>
      </c>
      <c r="X60" s="195"/>
      <c r="Y60" s="194">
        <f t="shared" si="37"/>
        <v>11</v>
      </c>
      <c r="Z60" s="195"/>
      <c r="AA60" s="1390" t="str">
        <f>A60</f>
        <v>Leyland</v>
      </c>
      <c r="AB60" t="str">
        <f t="shared" si="10"/>
        <v>LLDMTX-DCSYS01</v>
      </c>
    </row>
    <row r="61" spans="1:28">
      <c r="A61" s="92" t="str">
        <f>'Plant loading'!A57</f>
        <v>Leyland</v>
      </c>
      <c r="B61" s="92" t="str">
        <f>'Plant loading'!B57</f>
        <v>LLDMTX-DCSYS02</v>
      </c>
      <c r="C61" s="93">
        <f>('Plant loading'!E57*54.5)/1000</f>
        <v>44.798999999999999</v>
      </c>
      <c r="D61" s="94" t="str">
        <f t="shared" si="33"/>
        <v>2.5 hours</v>
      </c>
      <c r="E61" s="342">
        <v>44835</v>
      </c>
      <c r="F61" s="342">
        <v>44835</v>
      </c>
      <c r="G61" s="342">
        <v>44835</v>
      </c>
      <c r="H61" s="342">
        <v>44835</v>
      </c>
      <c r="I61" s="342">
        <v>44835</v>
      </c>
      <c r="J61" s="342">
        <v>44835</v>
      </c>
      <c r="K61" s="342">
        <v>44835</v>
      </c>
      <c r="L61" s="342">
        <v>44835</v>
      </c>
      <c r="M61" s="342">
        <v>44835</v>
      </c>
      <c r="N61" s="342"/>
      <c r="O61" s="342"/>
      <c r="P61" s="342" t="s">
        <v>619</v>
      </c>
      <c r="Q61"/>
      <c r="R61" s="5">
        <f t="shared" si="14"/>
        <v>9</v>
      </c>
      <c r="S61" s="5">
        <f t="shared" si="15"/>
        <v>4.9776666666666669</v>
      </c>
      <c r="T61" s="5">
        <f t="shared" si="34"/>
        <v>10</v>
      </c>
      <c r="U61" s="5">
        <f t="shared" si="16"/>
        <v>0</v>
      </c>
      <c r="V61" s="5">
        <f t="shared" si="17"/>
        <v>0</v>
      </c>
      <c r="W61" s="194">
        <f t="shared" si="35"/>
        <v>11</v>
      </c>
      <c r="X61" s="195"/>
      <c r="Y61" s="194">
        <f t="shared" si="37"/>
        <v>11</v>
      </c>
      <c r="Z61" s="195"/>
      <c r="AA61" s="1390"/>
      <c r="AB61" t="str">
        <f t="shared" si="10"/>
        <v>LLDMTX-DCSYS02</v>
      </c>
    </row>
    <row r="62" spans="1:28">
      <c r="A62" s="92" t="str">
        <f>'Plant loading'!A58</f>
        <v>Leyland</v>
      </c>
      <c r="B62" s="92" t="str">
        <f>'Plant loading'!B58</f>
        <v>LLDMTX-DCSYS03</v>
      </c>
      <c r="C62" s="93">
        <f>('Plant loading'!E58*54.5)/1000</f>
        <v>51.502499999999998</v>
      </c>
      <c r="D62" s="94" t="str">
        <f t="shared" si="33"/>
        <v>2 hours</v>
      </c>
      <c r="E62" s="342">
        <v>44835</v>
      </c>
      <c r="F62" s="342">
        <v>44835</v>
      </c>
      <c r="G62" s="342">
        <v>44835</v>
      </c>
      <c r="H62" s="342">
        <v>44835</v>
      </c>
      <c r="I62" s="342">
        <v>44835</v>
      </c>
      <c r="J62" s="342">
        <v>44835</v>
      </c>
      <c r="K62" s="342">
        <v>44835</v>
      </c>
      <c r="L62" s="342">
        <v>44835</v>
      </c>
      <c r="M62" s="342">
        <v>44835</v>
      </c>
      <c r="N62" s="342"/>
      <c r="O62" s="342"/>
      <c r="P62" s="342" t="s">
        <v>619</v>
      </c>
      <c r="Q62"/>
      <c r="R62" s="5">
        <f t="shared" si="14"/>
        <v>9</v>
      </c>
      <c r="S62" s="5">
        <f t="shared" si="15"/>
        <v>5.7225000000000001</v>
      </c>
      <c r="T62" s="5">
        <f t="shared" si="34"/>
        <v>9</v>
      </c>
      <c r="U62" s="5">
        <f t="shared" si="16"/>
        <v>0</v>
      </c>
      <c r="V62" s="5">
        <f t="shared" si="17"/>
        <v>0</v>
      </c>
      <c r="W62" s="194">
        <f t="shared" si="35"/>
        <v>11</v>
      </c>
      <c r="X62" s="195"/>
      <c r="Y62" s="194">
        <f t="shared" si="37"/>
        <v>11</v>
      </c>
      <c r="Z62" s="195"/>
      <c r="AA62" s="1390"/>
      <c r="AB62" t="str">
        <f t="shared" si="10"/>
        <v>LLDMTX-DCSYS03</v>
      </c>
    </row>
    <row r="63" spans="1:28">
      <c r="A63" s="92" t="str">
        <f>'Plant loading'!A59</f>
        <v>Leyland</v>
      </c>
      <c r="B63" s="92" t="str">
        <f>'Plant loading'!B59</f>
        <v>LLDMTX-DCSYS04</v>
      </c>
      <c r="C63" s="93">
        <f>('Plant loading'!E59*54.5)/1000</f>
        <v>46.87</v>
      </c>
      <c r="D63" s="94" t="str">
        <f t="shared" si="33"/>
        <v>2 hours</v>
      </c>
      <c r="E63" s="342">
        <v>44378</v>
      </c>
      <c r="F63" s="342">
        <v>44378</v>
      </c>
      <c r="G63" s="342">
        <v>44378</v>
      </c>
      <c r="H63" s="342">
        <v>44378</v>
      </c>
      <c r="I63" s="342">
        <v>44378</v>
      </c>
      <c r="J63" s="342">
        <v>44378</v>
      </c>
      <c r="K63" s="342">
        <v>44378</v>
      </c>
      <c r="L63" s="342">
        <v>44378</v>
      </c>
      <c r="M63" s="342">
        <v>44378</v>
      </c>
      <c r="N63" s="342"/>
      <c r="O63" s="342"/>
      <c r="P63" s="342" t="s">
        <v>619</v>
      </c>
      <c r="Q63"/>
      <c r="R63" s="5">
        <f t="shared" si="14"/>
        <v>9</v>
      </c>
      <c r="S63" s="5">
        <f t="shared" si="15"/>
        <v>5.2077777777777774</v>
      </c>
      <c r="T63" s="5">
        <f t="shared" si="34"/>
        <v>9</v>
      </c>
      <c r="U63" s="5">
        <f t="shared" si="16"/>
        <v>0</v>
      </c>
      <c r="V63" s="5">
        <f t="shared" si="17"/>
        <v>0</v>
      </c>
      <c r="W63" s="194">
        <f t="shared" si="35"/>
        <v>9</v>
      </c>
      <c r="X63" s="195"/>
      <c r="Y63" s="194">
        <f t="shared" si="37"/>
        <v>9</v>
      </c>
      <c r="Z63" s="195"/>
      <c r="AA63" s="1390"/>
      <c r="AB63" t="str">
        <f t="shared" si="10"/>
        <v>LLDMTX-DCSYS04</v>
      </c>
    </row>
    <row r="64" spans="1:28">
      <c r="A64" s="92" t="str">
        <f>'Plant loading'!A60</f>
        <v>Leyland</v>
      </c>
      <c r="B64" s="92" t="str">
        <f>'Plant loading'!B60</f>
        <v>LLDMTX-DCSYS05</v>
      </c>
      <c r="C64" s="93">
        <f>('Plant loading'!E60*54.5)/1000</f>
        <v>49.976500000000001</v>
      </c>
      <c r="D64" s="94" t="str">
        <f t="shared" si="33"/>
        <v>2 hours</v>
      </c>
      <c r="E64" s="342">
        <v>44835</v>
      </c>
      <c r="F64" s="342">
        <v>44835</v>
      </c>
      <c r="G64" s="342">
        <v>44835</v>
      </c>
      <c r="H64" s="342">
        <v>44835</v>
      </c>
      <c r="I64" s="342">
        <v>44835</v>
      </c>
      <c r="J64" s="342">
        <v>44835</v>
      </c>
      <c r="K64" s="342">
        <v>44835</v>
      </c>
      <c r="L64" s="342">
        <v>44835</v>
      </c>
      <c r="M64" s="342">
        <v>44835</v>
      </c>
      <c r="N64" s="342"/>
      <c r="O64" s="342"/>
      <c r="P64" s="342" t="s">
        <v>619</v>
      </c>
      <c r="Q64"/>
      <c r="R64" s="5">
        <f t="shared" si="14"/>
        <v>9</v>
      </c>
      <c r="S64" s="5">
        <f t="shared" si="15"/>
        <v>5.5529444444444449</v>
      </c>
      <c r="T64" s="5">
        <f t="shared" si="34"/>
        <v>9</v>
      </c>
      <c r="U64" s="5">
        <f t="shared" si="16"/>
        <v>0</v>
      </c>
      <c r="V64" s="5">
        <f t="shared" si="17"/>
        <v>0</v>
      </c>
      <c r="W64" s="194">
        <f t="shared" si="35"/>
        <v>11</v>
      </c>
      <c r="X64" s="195"/>
      <c r="Y64" s="194">
        <f t="shared" si="37"/>
        <v>11</v>
      </c>
      <c r="Z64" s="195"/>
      <c r="AA64" s="1390"/>
      <c r="AB64" t="str">
        <f t="shared" si="10"/>
        <v>LLDMTX-DCSYS05</v>
      </c>
    </row>
    <row r="65" spans="1:28">
      <c r="A65" s="92" t="str">
        <f>'Plant loading'!A61</f>
        <v>Leyland</v>
      </c>
      <c r="B65" s="92" t="str">
        <f>'Plant loading'!B61</f>
        <v>LLDMTX-DCSYS06</v>
      </c>
      <c r="C65" s="93">
        <f>('Plant loading'!E61*54.5)/1000</f>
        <v>48.613999999999997</v>
      </c>
      <c r="D65" s="94" t="str">
        <f t="shared" si="33"/>
        <v>2 hours</v>
      </c>
      <c r="E65" s="342">
        <v>44835</v>
      </c>
      <c r="F65" s="342">
        <v>44835</v>
      </c>
      <c r="G65" s="342">
        <v>44835</v>
      </c>
      <c r="H65" s="342">
        <v>44835</v>
      </c>
      <c r="I65" s="342">
        <v>44835</v>
      </c>
      <c r="J65" s="342">
        <v>44835</v>
      </c>
      <c r="K65" s="342">
        <v>44835</v>
      </c>
      <c r="L65" s="342">
        <v>44835</v>
      </c>
      <c r="M65" s="342">
        <v>44835</v>
      </c>
      <c r="N65" s="342"/>
      <c r="O65" s="342"/>
      <c r="P65" s="342" t="s">
        <v>619</v>
      </c>
      <c r="Q65"/>
      <c r="R65" s="5">
        <f t="shared" si="14"/>
        <v>9</v>
      </c>
      <c r="S65" s="5">
        <f t="shared" si="15"/>
        <v>5.4015555555555554</v>
      </c>
      <c r="T65" s="5">
        <f t="shared" si="34"/>
        <v>9</v>
      </c>
      <c r="U65" s="5">
        <f t="shared" si="16"/>
        <v>0</v>
      </c>
      <c r="V65" s="5">
        <f t="shared" si="17"/>
        <v>0</v>
      </c>
      <c r="W65" s="194">
        <f t="shared" si="35"/>
        <v>11</v>
      </c>
      <c r="X65" s="195"/>
      <c r="Y65" s="194">
        <f t="shared" si="37"/>
        <v>11</v>
      </c>
      <c r="Z65" s="195"/>
      <c r="AA65" s="1390"/>
      <c r="AB65" t="str">
        <f t="shared" si="10"/>
        <v>LLDMTX-DCSYS06</v>
      </c>
    </row>
    <row r="66" spans="1:28">
      <c r="A66" s="92" t="str">
        <f>'Plant loading'!A62</f>
        <v>Leyland</v>
      </c>
      <c r="B66" s="92" t="str">
        <f>'Plant loading'!B62</f>
        <v>LLDMTX-DCSYS07a</v>
      </c>
      <c r="C66" s="93">
        <f>('Plant loading'!E62*54.5)/1000</f>
        <v>21.690999999999999</v>
      </c>
      <c r="D66" s="94" t="str">
        <f t="shared" ref="D66:D67" si="39">CHOOSE(T66,$C$130,$D$130,$E$130,$F$130,$G$130,$H$130,$I$130,$J$130,$K$130,$L$130,$M$130,$N$130,$O$130,$P$130,$Q$130,$R$130)</f>
        <v>3 hours</v>
      </c>
      <c r="E66" s="342">
        <v>44256</v>
      </c>
      <c r="F66" s="342">
        <v>44256</v>
      </c>
      <c r="G66" s="342">
        <v>44256</v>
      </c>
      <c r="H66" s="342">
        <v>44256</v>
      </c>
      <c r="I66" s="342">
        <v>44256</v>
      </c>
      <c r="J66" s="342"/>
      <c r="K66" s="342"/>
      <c r="L66" s="342"/>
      <c r="M66" s="342"/>
      <c r="N66" s="342"/>
      <c r="O66" s="342"/>
      <c r="P66" s="342" t="s">
        <v>619</v>
      </c>
      <c r="Q66"/>
      <c r="R66" s="5">
        <f t="shared" ref="R66:R67" si="40">COUNT(E66:P66)</f>
        <v>5</v>
      </c>
      <c r="S66" s="5">
        <f t="shared" ref="S66:S67" si="41">C66/R66</f>
        <v>4.3381999999999996</v>
      </c>
      <c r="T66" s="5">
        <f t="shared" ref="T66:T67" si="42">MATCH(S66,$C$134:$R$134,-1)</f>
        <v>11</v>
      </c>
      <c r="U66" s="5">
        <f t="shared" ref="U66:U67" si="43">COUNTIFS(E66:P66,"&gt;="&amp;$D$3,E66:P66,"&lt;="&amp;$E$3)</f>
        <v>0</v>
      </c>
      <c r="V66" s="5">
        <f t="shared" ref="V66:V67" si="44">COUNTIFS(E66:P66,"&lt;="&amp;$E$2)</f>
        <v>0</v>
      </c>
      <c r="W66" s="194"/>
      <c r="X66" s="195"/>
      <c r="Y66" s="194"/>
      <c r="Z66" s="195"/>
      <c r="AA66" s="890"/>
      <c r="AB66" t="str">
        <f t="shared" si="10"/>
        <v>LLDMTX-DCSYS07a</v>
      </c>
    </row>
    <row r="67" spans="1:28">
      <c r="A67" s="92" t="str">
        <f>'Plant loading'!A63</f>
        <v>Leyland</v>
      </c>
      <c r="B67" s="92" t="str">
        <f>'Plant loading'!B63</f>
        <v>LLDMTX-DCSYS07b</v>
      </c>
      <c r="C67" s="93">
        <f>('Plant loading'!E63*54.5)/1000</f>
        <v>21.690999999999999</v>
      </c>
      <c r="D67" s="94" t="str">
        <f t="shared" si="39"/>
        <v>3 hours</v>
      </c>
      <c r="E67" s="342">
        <v>44256</v>
      </c>
      <c r="F67" s="342">
        <v>44256</v>
      </c>
      <c r="G67" s="342">
        <v>44256</v>
      </c>
      <c r="H67" s="342">
        <v>44256</v>
      </c>
      <c r="I67" s="342">
        <v>44256</v>
      </c>
      <c r="J67" s="342"/>
      <c r="K67" s="342"/>
      <c r="L67" s="342"/>
      <c r="M67" s="342"/>
      <c r="N67" s="342"/>
      <c r="O67" s="342"/>
      <c r="P67" s="342" t="s">
        <v>619</v>
      </c>
      <c r="Q67"/>
      <c r="R67" s="5">
        <f t="shared" si="40"/>
        <v>5</v>
      </c>
      <c r="S67" s="5">
        <f t="shared" si="41"/>
        <v>4.3381999999999996</v>
      </c>
      <c r="T67" s="5">
        <f t="shared" si="42"/>
        <v>11</v>
      </c>
      <c r="U67" s="5">
        <f t="shared" si="43"/>
        <v>0</v>
      </c>
      <c r="V67" s="5">
        <f t="shared" si="44"/>
        <v>0</v>
      </c>
      <c r="W67" s="194"/>
      <c r="X67" s="195"/>
      <c r="Y67" s="194"/>
      <c r="Z67" s="195"/>
      <c r="AA67" s="890"/>
      <c r="AB67" t="str">
        <f t="shared" si="10"/>
        <v>LLDMTX-DCSYS07b</v>
      </c>
    </row>
    <row r="68" spans="1:28">
      <c r="A68" s="740" t="str">
        <f>'Plant loading'!A64</f>
        <v>Milton Keynes</v>
      </c>
      <c r="B68" s="740" t="str">
        <f>'Plant loading'!B64</f>
        <v>PEAMS</v>
      </c>
      <c r="C68" s="741">
        <f>('Plant loading'!E64*54.5)/1000</f>
        <v>60.277000000000001</v>
      </c>
      <c r="D68" s="742" t="str">
        <f t="shared" ref="D68:D73" si="45">CHOOSE(T68,$C$130,$D$130,$E$130,$F$130,$G$130,$H$130,$I$130,$J$130,$K$130,$L$130,$M$130,$N$130,$O$130,$P$130,$Q$130,$R$130)</f>
        <v>1.5 hours</v>
      </c>
      <c r="E68" s="743">
        <v>45139</v>
      </c>
      <c r="F68" s="743">
        <v>45139</v>
      </c>
      <c r="G68" s="743">
        <v>45139</v>
      </c>
      <c r="H68" s="743">
        <v>45139</v>
      </c>
      <c r="I68" s="743">
        <v>45139</v>
      </c>
      <c r="J68" s="743">
        <v>45139</v>
      </c>
      <c r="K68" s="743">
        <v>45139</v>
      </c>
      <c r="L68" s="743">
        <v>45139</v>
      </c>
      <c r="M68" s="743">
        <v>45139</v>
      </c>
      <c r="N68" s="743">
        <v>45139</v>
      </c>
      <c r="O68" s="743"/>
      <c r="P68" s="743" t="s">
        <v>619</v>
      </c>
      <c r="Q68"/>
      <c r="R68" s="5">
        <f t="shared" si="14"/>
        <v>10</v>
      </c>
      <c r="S68" s="5">
        <f t="shared" si="15"/>
        <v>6.0277000000000003</v>
      </c>
      <c r="T68" s="5">
        <f t="shared" ref="T68:T73" si="46">MATCH(S68,$C$134:$R$134,-1)</f>
        <v>8</v>
      </c>
      <c r="U68" s="5">
        <f t="shared" si="16"/>
        <v>0</v>
      </c>
      <c r="V68" s="5">
        <f t="shared" si="17"/>
        <v>0</v>
      </c>
      <c r="W68" s="194">
        <f t="shared" ref="W68:W73" si="47">MATCH($E68,$B$177:$Q$177,1)</f>
        <v>13</v>
      </c>
      <c r="X68" s="196" t="str">
        <f t="shared" ref="X68:X73" si="48">CHOOSE(ROUNDUP((W68/2),0),$B$179,$D$179,$F$179,$H$179,$J$179,$L$179,$N$179,$P$179)</f>
        <v>IR+HC</v>
      </c>
      <c r="Y68" s="194">
        <f t="shared" ref="Y68:Y73" si="49">MATCH($E68,$B$183:$S$183,1)</f>
        <v>13</v>
      </c>
      <c r="Z68" s="196" t="str">
        <f t="shared" ref="Z68:Z73" si="50">CHOOSE(ROUNDUP((Y68/2),0),$B$185,$D$185,$F$185,$H$185,$J$185,$L$185,$N$185,$P$185,$R$185)</f>
        <v>Discharge</v>
      </c>
      <c r="AA68" s="1391" t="str">
        <f>A68</f>
        <v>Milton Keynes</v>
      </c>
      <c r="AB68" t="str">
        <f t="shared" si="10"/>
        <v>PEAMS</v>
      </c>
    </row>
    <row r="69" spans="1:28">
      <c r="A69" s="95" t="str">
        <f>'Plant loading'!A65</f>
        <v>Milton Keynes</v>
      </c>
      <c r="B69" s="95" t="str">
        <f>'Plant loading'!B65</f>
        <v>PEBMS</v>
      </c>
      <c r="C69" s="96">
        <f>('Plant loading'!E65*54.5)/1000</f>
        <v>56.789000000000001</v>
      </c>
      <c r="D69" s="97" t="str">
        <f t="shared" si="45"/>
        <v>2 hours</v>
      </c>
      <c r="E69" s="342">
        <v>45139</v>
      </c>
      <c r="F69" s="342">
        <v>45139</v>
      </c>
      <c r="G69" s="342">
        <v>45139</v>
      </c>
      <c r="H69" s="342">
        <v>45139</v>
      </c>
      <c r="I69" s="342">
        <v>45139</v>
      </c>
      <c r="J69" s="342">
        <v>45139</v>
      </c>
      <c r="K69" s="342">
        <v>45139</v>
      </c>
      <c r="L69" s="342">
        <v>45139</v>
      </c>
      <c r="M69" s="342">
        <v>45139</v>
      </c>
      <c r="N69" s="342">
        <v>45139</v>
      </c>
      <c r="O69" s="342"/>
      <c r="P69" s="342" t="s">
        <v>619</v>
      </c>
      <c r="Q69"/>
      <c r="R69" s="5">
        <f t="shared" si="14"/>
        <v>10</v>
      </c>
      <c r="S69" s="5">
        <f t="shared" si="15"/>
        <v>5.6789000000000005</v>
      </c>
      <c r="T69" s="5">
        <f t="shared" si="46"/>
        <v>9</v>
      </c>
      <c r="U69" s="5">
        <f t="shared" si="16"/>
        <v>0</v>
      </c>
      <c r="V69" s="5">
        <f t="shared" si="17"/>
        <v>0</v>
      </c>
      <c r="W69" s="194">
        <f t="shared" si="47"/>
        <v>13</v>
      </c>
      <c r="X69" s="196" t="str">
        <f t="shared" si="48"/>
        <v>IR+HC</v>
      </c>
      <c r="Y69" s="194">
        <f t="shared" si="49"/>
        <v>13</v>
      </c>
      <c r="Z69" s="196" t="str">
        <f t="shared" si="50"/>
        <v>Discharge</v>
      </c>
      <c r="AA69" s="1391"/>
      <c r="AB69" t="str">
        <f t="shared" si="10"/>
        <v>PEBMS</v>
      </c>
    </row>
    <row r="70" spans="1:28">
      <c r="A70" s="95" t="str">
        <f>'Plant loading'!A66</f>
        <v>Milton Keynes</v>
      </c>
      <c r="B70" s="95" t="str">
        <f>'Plant loading'!B66</f>
        <v>PECMS</v>
      </c>
      <c r="C70" s="96">
        <f>('Plant loading'!E66*54.5)/1000</f>
        <v>59.078000000000003</v>
      </c>
      <c r="D70" s="97" t="str">
        <f t="shared" si="45"/>
        <v>2 hours</v>
      </c>
      <c r="E70" s="342">
        <v>45139</v>
      </c>
      <c r="F70" s="342">
        <v>45139</v>
      </c>
      <c r="G70" s="342">
        <v>45139</v>
      </c>
      <c r="H70" s="342">
        <v>45139</v>
      </c>
      <c r="I70" s="342">
        <v>45139</v>
      </c>
      <c r="J70" s="342">
        <v>45139</v>
      </c>
      <c r="K70" s="342">
        <v>45139</v>
      </c>
      <c r="L70" s="342">
        <v>45139</v>
      </c>
      <c r="M70" s="342">
        <v>45139</v>
      </c>
      <c r="N70" s="342">
        <v>45139</v>
      </c>
      <c r="O70" s="342"/>
      <c r="P70" s="342" t="s">
        <v>619</v>
      </c>
      <c r="Q70"/>
      <c r="R70" s="5">
        <f t="shared" si="14"/>
        <v>10</v>
      </c>
      <c r="S70" s="5">
        <f t="shared" si="15"/>
        <v>5.9077999999999999</v>
      </c>
      <c r="T70" s="5">
        <f t="shared" si="46"/>
        <v>9</v>
      </c>
      <c r="U70" s="5">
        <f t="shared" si="16"/>
        <v>0</v>
      </c>
      <c r="V70" s="5">
        <f t="shared" si="17"/>
        <v>0</v>
      </c>
      <c r="W70" s="194">
        <f t="shared" si="47"/>
        <v>13</v>
      </c>
      <c r="X70" s="196" t="str">
        <f t="shared" si="48"/>
        <v>IR+HC</v>
      </c>
      <c r="Y70" s="194">
        <f t="shared" si="49"/>
        <v>13</v>
      </c>
      <c r="Z70" s="196" t="str">
        <f t="shared" si="50"/>
        <v>Discharge</v>
      </c>
      <c r="AA70" s="1391"/>
      <c r="AB70" t="str">
        <f t="shared" si="10"/>
        <v>PECMS</v>
      </c>
    </row>
    <row r="71" spans="1:28">
      <c r="A71" s="95" t="str">
        <f>'Plant loading'!A67</f>
        <v>Milton Keynes</v>
      </c>
      <c r="B71" s="95" t="str">
        <f>'Plant loading'!B67</f>
        <v>PEDMS</v>
      </c>
      <c r="C71" s="96">
        <f>('Plant loading'!E67*54.5)/1000</f>
        <v>62.6205</v>
      </c>
      <c r="D71" s="97" t="str">
        <f t="shared" si="45"/>
        <v>1.5 hours</v>
      </c>
      <c r="E71" s="342">
        <v>45139</v>
      </c>
      <c r="F71" s="342">
        <v>45139</v>
      </c>
      <c r="G71" s="342">
        <v>45139</v>
      </c>
      <c r="H71" s="342">
        <v>45139</v>
      </c>
      <c r="I71" s="342">
        <v>45139</v>
      </c>
      <c r="J71" s="342">
        <v>45139</v>
      </c>
      <c r="K71" s="342">
        <v>45139</v>
      </c>
      <c r="L71" s="342">
        <v>45139</v>
      </c>
      <c r="M71" s="342">
        <v>45139</v>
      </c>
      <c r="N71" s="342">
        <v>45139</v>
      </c>
      <c r="O71" s="342"/>
      <c r="P71" s="342" t="s">
        <v>619</v>
      </c>
      <c r="Q71"/>
      <c r="R71" s="5">
        <f t="shared" si="14"/>
        <v>10</v>
      </c>
      <c r="S71" s="5">
        <f t="shared" si="15"/>
        <v>6.2620500000000003</v>
      </c>
      <c r="T71" s="5">
        <f t="shared" si="46"/>
        <v>8</v>
      </c>
      <c r="U71" s="5">
        <f t="shared" si="16"/>
        <v>0</v>
      </c>
      <c r="V71" s="5">
        <f t="shared" si="17"/>
        <v>0</v>
      </c>
      <c r="W71" s="194">
        <f t="shared" si="47"/>
        <v>13</v>
      </c>
      <c r="X71" s="196" t="str">
        <f t="shared" si="48"/>
        <v>IR+HC</v>
      </c>
      <c r="Y71" s="194">
        <f t="shared" si="49"/>
        <v>13</v>
      </c>
      <c r="Z71" s="196" t="str">
        <f t="shared" si="50"/>
        <v>Discharge</v>
      </c>
      <c r="AA71" s="1391"/>
      <c r="AB71" t="str">
        <f t="shared" si="10"/>
        <v>PEDMS</v>
      </c>
    </row>
    <row r="72" spans="1:28">
      <c r="A72" s="95" t="str">
        <f>'Plant loading'!A68</f>
        <v>Milton Keynes</v>
      </c>
      <c r="B72" s="95" t="str">
        <f>'Plant loading'!B68</f>
        <v>PEEMS</v>
      </c>
      <c r="C72" s="96">
        <f>('Plant loading'!E68*54.5)/1000</f>
        <v>58.750999999999998</v>
      </c>
      <c r="D72" s="97" t="str">
        <f t="shared" si="45"/>
        <v>2 hours</v>
      </c>
      <c r="E72" s="342">
        <v>45139</v>
      </c>
      <c r="F72" s="342">
        <v>45139</v>
      </c>
      <c r="G72" s="342">
        <v>45139</v>
      </c>
      <c r="H72" s="342">
        <v>45139</v>
      </c>
      <c r="I72" s="342">
        <v>45139</v>
      </c>
      <c r="J72" s="342">
        <v>45139</v>
      </c>
      <c r="K72" s="342">
        <v>45139</v>
      </c>
      <c r="L72" s="342">
        <v>45139</v>
      </c>
      <c r="M72" s="342">
        <v>45139</v>
      </c>
      <c r="N72" s="342">
        <v>45139</v>
      </c>
      <c r="O72" s="342"/>
      <c r="P72" s="342" t="s">
        <v>619</v>
      </c>
      <c r="Q72"/>
      <c r="R72" s="5">
        <f t="shared" si="14"/>
        <v>10</v>
      </c>
      <c r="S72" s="5">
        <f t="shared" si="15"/>
        <v>5.8750999999999998</v>
      </c>
      <c r="T72" s="5">
        <f t="shared" si="46"/>
        <v>9</v>
      </c>
      <c r="U72" s="5">
        <f t="shared" si="16"/>
        <v>0</v>
      </c>
      <c r="V72" s="5">
        <f t="shared" si="17"/>
        <v>0</v>
      </c>
      <c r="W72" s="194">
        <f t="shared" si="47"/>
        <v>13</v>
      </c>
      <c r="X72" s="196" t="str">
        <f t="shared" si="48"/>
        <v>IR+HC</v>
      </c>
      <c r="Y72" s="194">
        <f t="shared" si="49"/>
        <v>13</v>
      </c>
      <c r="Z72" s="196" t="str">
        <f t="shared" si="50"/>
        <v>Discharge</v>
      </c>
      <c r="AA72" s="1391"/>
      <c r="AB72" t="str">
        <f t="shared" si="10"/>
        <v>PEEMS</v>
      </c>
    </row>
    <row r="73" spans="1:28">
      <c r="A73" s="95" t="str">
        <f>'Plant loading'!A69</f>
        <v>Milton Keynes</v>
      </c>
      <c r="B73" s="95" t="str">
        <f>'Plant loading'!B69</f>
        <v>PEFMS</v>
      </c>
      <c r="C73" s="96">
        <f>('Plant loading'!E69*54.5)/1000</f>
        <v>59.295999999999999</v>
      </c>
      <c r="D73" s="97" t="str">
        <f t="shared" si="45"/>
        <v>1.5 hours</v>
      </c>
      <c r="E73" s="342">
        <v>45139</v>
      </c>
      <c r="F73" s="342">
        <v>45139</v>
      </c>
      <c r="G73" s="342">
        <v>45139</v>
      </c>
      <c r="H73" s="342">
        <v>45139</v>
      </c>
      <c r="I73" s="342">
        <v>45139</v>
      </c>
      <c r="J73" s="342">
        <v>45139</v>
      </c>
      <c r="K73" s="342">
        <v>45139</v>
      </c>
      <c r="L73" s="342">
        <v>45139</v>
      </c>
      <c r="M73" s="342">
        <v>45139</v>
      </c>
      <c r="N73" s="342">
        <v>45139</v>
      </c>
      <c r="O73" s="342"/>
      <c r="P73" s="342" t="s">
        <v>619</v>
      </c>
      <c r="Q73"/>
      <c r="R73" s="5">
        <f t="shared" si="14"/>
        <v>10</v>
      </c>
      <c r="S73" s="5">
        <f t="shared" si="15"/>
        <v>5.9295999999999998</v>
      </c>
      <c r="T73" s="5">
        <f t="shared" si="46"/>
        <v>8</v>
      </c>
      <c r="U73" s="5">
        <f t="shared" si="16"/>
        <v>0</v>
      </c>
      <c r="V73" s="5">
        <f t="shared" si="17"/>
        <v>0</v>
      </c>
      <c r="W73" s="194">
        <f t="shared" si="47"/>
        <v>13</v>
      </c>
      <c r="X73" s="196" t="str">
        <f t="shared" si="48"/>
        <v>IR+HC</v>
      </c>
      <c r="Y73" s="194">
        <f t="shared" si="49"/>
        <v>13</v>
      </c>
      <c r="Z73" s="196" t="str">
        <f t="shared" si="50"/>
        <v>Discharge</v>
      </c>
      <c r="AA73" s="1391"/>
      <c r="AB73" t="str">
        <f t="shared" ref="AB73:AB122" si="51">B73</f>
        <v>PEFMS</v>
      </c>
    </row>
    <row r="74" spans="1:28">
      <c r="A74" s="95" t="str">
        <f>'Plant loading'!A70</f>
        <v>Milton Keynes</v>
      </c>
      <c r="B74" s="95" t="str">
        <f>'Plant loading'!B70</f>
        <v>MKSMTX-DCSYS07a</v>
      </c>
      <c r="C74" s="96">
        <f>('Plant loading'!E70*54.5)/1000</f>
        <v>16.513500000000001</v>
      </c>
      <c r="D74" s="97" t="str">
        <f t="shared" ref="D74:D75" si="52">CHOOSE(T74,$C$130,$D$130,$E$130,$F$130,$G$130,$H$130,$I$130,$J$130,$K$130,$L$130,$M$130,$N$130,$O$130,$P$130,$Q$130,$R$130)</f>
        <v>4 hours</v>
      </c>
      <c r="E74" s="342">
        <v>44256</v>
      </c>
      <c r="F74" s="342">
        <v>44256</v>
      </c>
      <c r="G74" s="342">
        <v>44256</v>
      </c>
      <c r="H74" s="342">
        <v>44256</v>
      </c>
      <c r="I74" s="342">
        <v>44256</v>
      </c>
      <c r="J74" s="342"/>
      <c r="K74" s="342"/>
      <c r="L74" s="342"/>
      <c r="M74" s="342"/>
      <c r="N74" s="342"/>
      <c r="O74" s="342"/>
      <c r="P74" s="342" t="s">
        <v>619</v>
      </c>
      <c r="Q74"/>
      <c r="R74" s="5">
        <f t="shared" ref="R74:R75" si="53">COUNT(E74:P74)</f>
        <v>5</v>
      </c>
      <c r="S74" s="5">
        <f t="shared" ref="S74:S75" si="54">C74/R74</f>
        <v>3.3027000000000002</v>
      </c>
      <c r="T74" s="5">
        <f t="shared" ref="T74:T75" si="55">MATCH(S74,$C$134:$R$134,-1)</f>
        <v>12</v>
      </c>
      <c r="U74" s="5">
        <f t="shared" ref="U74:U75" si="56">COUNTIFS(E74:P74,"&gt;="&amp;$D$3,E74:P74,"&lt;="&amp;$E$3)</f>
        <v>0</v>
      </c>
      <c r="V74" s="5">
        <f t="shared" ref="V74:V75" si="57">COUNTIFS(E74:P74,"&lt;="&amp;$E$2)</f>
        <v>0</v>
      </c>
      <c r="W74" s="194"/>
      <c r="X74" s="196"/>
      <c r="Y74" s="194"/>
      <c r="Z74" s="196"/>
      <c r="AA74" s="797"/>
      <c r="AB74" t="str">
        <f t="shared" si="51"/>
        <v>MKSMTX-DCSYS07a</v>
      </c>
    </row>
    <row r="75" spans="1:28">
      <c r="A75" s="95" t="str">
        <f>'Plant loading'!A71</f>
        <v>Milton Keynes</v>
      </c>
      <c r="B75" s="95" t="str">
        <f>'Plant loading'!B71</f>
        <v>MKSMTX-DCSYS07b</v>
      </c>
      <c r="C75" s="96">
        <f>('Plant loading'!E71*54.5)/1000</f>
        <v>15.859500000000001</v>
      </c>
      <c r="D75" s="97" t="str">
        <f t="shared" si="52"/>
        <v>4 hours</v>
      </c>
      <c r="E75" s="342">
        <v>44256</v>
      </c>
      <c r="F75" s="342">
        <v>44256</v>
      </c>
      <c r="G75" s="342">
        <v>44256</v>
      </c>
      <c r="H75" s="342">
        <v>44256</v>
      </c>
      <c r="I75" s="342">
        <v>44256</v>
      </c>
      <c r="J75" s="342"/>
      <c r="K75" s="342"/>
      <c r="L75" s="342"/>
      <c r="M75" s="342"/>
      <c r="N75" s="342"/>
      <c r="O75" s="342"/>
      <c r="P75" s="342" t="s">
        <v>619</v>
      </c>
      <c r="Q75"/>
      <c r="R75" s="5">
        <f t="shared" si="53"/>
        <v>5</v>
      </c>
      <c r="S75" s="5">
        <f t="shared" si="54"/>
        <v>3.1718999999999999</v>
      </c>
      <c r="T75" s="5">
        <f t="shared" si="55"/>
        <v>12</v>
      </c>
      <c r="U75" s="5">
        <f t="shared" si="56"/>
        <v>0</v>
      </c>
      <c r="V75" s="5">
        <f t="shared" si="57"/>
        <v>0</v>
      </c>
      <c r="W75" s="194"/>
      <c r="X75" s="196"/>
      <c r="Y75" s="194"/>
      <c r="Z75" s="196"/>
      <c r="AA75" s="797"/>
      <c r="AB75" t="str">
        <f t="shared" si="51"/>
        <v>MKSMTX-DCSYS07b</v>
      </c>
    </row>
    <row r="76" spans="1:28">
      <c r="A76" s="748" t="str">
        <f>'Plant loading'!A72</f>
        <v>Oldham</v>
      </c>
      <c r="B76" s="748" t="str">
        <f>'Plant loading'!B72</f>
        <v>OLDMTX-DCSYS01</v>
      </c>
      <c r="C76" s="749">
        <f>('Plant loading'!E72*54.5)/1000</f>
        <v>47.142499999999998</v>
      </c>
      <c r="D76" s="750" t="str">
        <f t="shared" ref="D76:D81" si="58">CHOOSE(T76,$C$130,$D$130,$E$130,$F$130,$G$130,$H$130,$I$130,$J$130,$K$130,$L$130,$M$130,$N$130,$O$130,$P$130,$Q$130,$R$130)</f>
        <v>2 hours</v>
      </c>
      <c r="E76" s="743">
        <v>43891</v>
      </c>
      <c r="F76" s="743">
        <v>43891</v>
      </c>
      <c r="G76" s="743">
        <v>43891</v>
      </c>
      <c r="H76" s="743">
        <v>43891</v>
      </c>
      <c r="I76" s="743">
        <v>43891</v>
      </c>
      <c r="J76" s="743">
        <v>43891</v>
      </c>
      <c r="K76" s="743">
        <v>43891</v>
      </c>
      <c r="L76" s="743">
        <v>43891</v>
      </c>
      <c r="M76" s="743">
        <v>43891</v>
      </c>
      <c r="N76" s="743"/>
      <c r="O76" s="743"/>
      <c r="P76" s="743" t="s">
        <v>619</v>
      </c>
      <c r="Q76"/>
      <c r="R76" s="5">
        <f t="shared" si="14"/>
        <v>9</v>
      </c>
      <c r="S76" s="5">
        <f t="shared" si="15"/>
        <v>5.2380555555555555</v>
      </c>
      <c r="T76" s="5">
        <f t="shared" ref="T76:T81" si="59">MATCH(S76,$C$134:$R$134,-1)</f>
        <v>9</v>
      </c>
      <c r="U76" s="5">
        <f t="shared" si="16"/>
        <v>0</v>
      </c>
      <c r="V76" s="5">
        <f t="shared" si="17"/>
        <v>0</v>
      </c>
      <c r="W76" s="194">
        <f t="shared" ref="W76:W81" si="60">MATCH($E76,$B$177:$Q$177,1)</f>
        <v>5</v>
      </c>
      <c r="X76" s="195" t="str">
        <f t="shared" ref="X76:X81" si="61">CHOOSE(ROUNDUP((W76/2),0),$B$179,$D$179,$F$179,$H$179,$J$179,$L$179,$N$179,$P$179)</f>
        <v>IR+HC</v>
      </c>
      <c r="Y76" s="194">
        <f t="shared" ref="Y76:Y81" si="62">MATCH($E76,$B$183:$S$183,1)</f>
        <v>5</v>
      </c>
      <c r="Z76" s="195"/>
      <c r="AA76" s="1390" t="str">
        <f>A76</f>
        <v>Oldham</v>
      </c>
      <c r="AB76" t="str">
        <f t="shared" si="51"/>
        <v>OLDMTX-DCSYS01</v>
      </c>
    </row>
    <row r="77" spans="1:28">
      <c r="A77" s="92" t="str">
        <f>'Plant loading'!A73</f>
        <v>Oldham</v>
      </c>
      <c r="B77" s="92" t="str">
        <f>'Plant loading'!B73</f>
        <v>OLDMTX-DCSYS02</v>
      </c>
      <c r="C77" s="93">
        <f>('Plant loading'!E73*54.5)/1000</f>
        <v>39.567</v>
      </c>
      <c r="D77" s="94" t="str">
        <f t="shared" si="58"/>
        <v>3 hours</v>
      </c>
      <c r="E77" s="342">
        <v>43891</v>
      </c>
      <c r="F77" s="342">
        <v>43891</v>
      </c>
      <c r="G77" s="342">
        <v>43891</v>
      </c>
      <c r="H77" s="342">
        <v>43891</v>
      </c>
      <c r="I77" s="342">
        <v>43891</v>
      </c>
      <c r="J77" s="342">
        <v>43891</v>
      </c>
      <c r="K77" s="342">
        <v>43891</v>
      </c>
      <c r="L77" s="342">
        <v>43891</v>
      </c>
      <c r="M77" s="342">
        <v>43891</v>
      </c>
      <c r="N77" s="342"/>
      <c r="O77" s="342"/>
      <c r="P77" s="342" t="s">
        <v>619</v>
      </c>
      <c r="Q77"/>
      <c r="R77" s="5">
        <f t="shared" si="14"/>
        <v>9</v>
      </c>
      <c r="S77" s="5">
        <f t="shared" si="15"/>
        <v>4.3963333333333336</v>
      </c>
      <c r="T77" s="5">
        <f t="shared" si="59"/>
        <v>11</v>
      </c>
      <c r="U77" s="5">
        <f t="shared" si="16"/>
        <v>0</v>
      </c>
      <c r="V77" s="5">
        <f t="shared" si="17"/>
        <v>0</v>
      </c>
      <c r="W77" s="194">
        <f t="shared" si="60"/>
        <v>5</v>
      </c>
      <c r="X77" s="195" t="str">
        <f t="shared" si="61"/>
        <v>IR+HC</v>
      </c>
      <c r="Y77" s="194">
        <f t="shared" si="62"/>
        <v>5</v>
      </c>
      <c r="Z77" s="195"/>
      <c r="AA77" s="1390"/>
      <c r="AB77" t="str">
        <f t="shared" si="51"/>
        <v>OLDMTX-DCSYS02</v>
      </c>
    </row>
    <row r="78" spans="1:28">
      <c r="A78" s="92" t="str">
        <f>'Plant loading'!A74</f>
        <v>Oldham</v>
      </c>
      <c r="B78" s="92" t="str">
        <f>'Plant loading'!B74</f>
        <v>OLDMTX-DCSYS03</v>
      </c>
      <c r="C78" s="93">
        <f>('Plant loading'!E74*54.5)/1000</f>
        <v>43.000500000000002</v>
      </c>
      <c r="D78" s="94" t="str">
        <f t="shared" si="58"/>
        <v>2.5 hours</v>
      </c>
      <c r="E78" s="342">
        <v>44835</v>
      </c>
      <c r="F78" s="342">
        <v>44835</v>
      </c>
      <c r="G78" s="342">
        <v>44835</v>
      </c>
      <c r="H78" s="342">
        <v>44835</v>
      </c>
      <c r="I78" s="342">
        <v>44835</v>
      </c>
      <c r="J78" s="342">
        <v>44835</v>
      </c>
      <c r="K78" s="342">
        <v>44835</v>
      </c>
      <c r="L78" s="342">
        <v>44835</v>
      </c>
      <c r="M78" s="342">
        <v>44835</v>
      </c>
      <c r="N78" s="342"/>
      <c r="O78" s="342"/>
      <c r="P78" s="342" t="s">
        <v>619</v>
      </c>
      <c r="Q78"/>
      <c r="R78" s="5">
        <f t="shared" si="14"/>
        <v>9</v>
      </c>
      <c r="S78" s="5">
        <f t="shared" si="15"/>
        <v>4.7778333333333336</v>
      </c>
      <c r="T78" s="5">
        <f t="shared" si="59"/>
        <v>10</v>
      </c>
      <c r="U78" s="5">
        <f t="shared" si="16"/>
        <v>0</v>
      </c>
      <c r="V78" s="5">
        <f t="shared" si="17"/>
        <v>0</v>
      </c>
      <c r="W78" s="194">
        <f t="shared" si="60"/>
        <v>11</v>
      </c>
      <c r="X78" s="195" t="str">
        <f t="shared" si="61"/>
        <v>Discharge</v>
      </c>
      <c r="Y78" s="194">
        <f t="shared" si="62"/>
        <v>11</v>
      </c>
      <c r="Z78" s="195"/>
      <c r="AA78" s="1390"/>
      <c r="AB78" t="str">
        <f t="shared" si="51"/>
        <v>OLDMTX-DCSYS03</v>
      </c>
    </row>
    <row r="79" spans="1:28">
      <c r="A79" s="92" t="str">
        <f>'Plant loading'!A75</f>
        <v>Oldham</v>
      </c>
      <c r="B79" s="92" t="str">
        <f>'Plant loading'!B75</f>
        <v>OLDMTX-DCSYS04</v>
      </c>
      <c r="C79" s="93">
        <f>('Plant loading'!E75*54.5)/1000</f>
        <v>32.536499999999997</v>
      </c>
      <c r="D79" s="94" t="str">
        <f t="shared" si="58"/>
        <v>3 hours</v>
      </c>
      <c r="E79" s="342">
        <v>44835</v>
      </c>
      <c r="F79" s="342">
        <v>44835</v>
      </c>
      <c r="G79" s="342">
        <v>44835</v>
      </c>
      <c r="H79" s="342">
        <v>44835</v>
      </c>
      <c r="I79" s="342">
        <v>44835</v>
      </c>
      <c r="J79" s="342">
        <v>44835</v>
      </c>
      <c r="K79" s="342">
        <v>44835</v>
      </c>
      <c r="L79" s="342">
        <v>44835</v>
      </c>
      <c r="M79" s="342">
        <v>44835</v>
      </c>
      <c r="N79" s="342"/>
      <c r="O79" s="342"/>
      <c r="P79" s="342" t="s">
        <v>619</v>
      </c>
      <c r="Q79"/>
      <c r="R79" s="5">
        <f t="shared" si="14"/>
        <v>9</v>
      </c>
      <c r="S79" s="5">
        <f t="shared" si="15"/>
        <v>3.6151666666666662</v>
      </c>
      <c r="T79" s="5">
        <f t="shared" si="59"/>
        <v>11</v>
      </c>
      <c r="U79" s="5">
        <f t="shared" si="16"/>
        <v>0</v>
      </c>
      <c r="V79" s="5">
        <f t="shared" si="17"/>
        <v>0</v>
      </c>
      <c r="W79" s="194">
        <f t="shared" si="60"/>
        <v>11</v>
      </c>
      <c r="X79" s="195" t="str">
        <f t="shared" si="61"/>
        <v>Discharge</v>
      </c>
      <c r="Y79" s="194">
        <f t="shared" si="62"/>
        <v>11</v>
      </c>
      <c r="Z79" s="195"/>
      <c r="AA79" s="1390"/>
      <c r="AB79" t="str">
        <f t="shared" si="51"/>
        <v>OLDMTX-DCSYS04</v>
      </c>
    </row>
    <row r="80" spans="1:28">
      <c r="A80" s="92" t="str">
        <f>'Plant loading'!A76</f>
        <v>Oldham</v>
      </c>
      <c r="B80" s="92" t="str">
        <f>'Plant loading'!B76</f>
        <v>OLDMTX-DCSYS05</v>
      </c>
      <c r="C80" s="93">
        <f>('Plant loading'!E76*54.5)/1000</f>
        <v>29.43</v>
      </c>
      <c r="D80" s="94" t="str">
        <f t="shared" si="58"/>
        <v>4 hours</v>
      </c>
      <c r="E80" s="342">
        <v>44835</v>
      </c>
      <c r="F80" s="342">
        <v>44835</v>
      </c>
      <c r="G80" s="342">
        <v>44835</v>
      </c>
      <c r="H80" s="342">
        <v>44835</v>
      </c>
      <c r="I80" s="342">
        <v>44835</v>
      </c>
      <c r="J80" s="342">
        <v>44835</v>
      </c>
      <c r="K80" s="342">
        <v>44835</v>
      </c>
      <c r="L80" s="342">
        <v>44835</v>
      </c>
      <c r="M80" s="342">
        <v>44835</v>
      </c>
      <c r="N80" s="342"/>
      <c r="O80" s="342"/>
      <c r="P80" s="342" t="s">
        <v>619</v>
      </c>
      <c r="Q80"/>
      <c r="R80" s="5">
        <f t="shared" ref="R80:R100" si="63">COUNT(E80:P80)</f>
        <v>9</v>
      </c>
      <c r="S80" s="5">
        <f t="shared" ref="S80:S112" si="64">C80/R80</f>
        <v>3.27</v>
      </c>
      <c r="T80" s="5">
        <f t="shared" si="59"/>
        <v>12</v>
      </c>
      <c r="U80" s="5">
        <f t="shared" ref="U80:U100" si="65">COUNTIFS(E80:P80,"&gt;="&amp;$D$3,E80:P80,"&lt;="&amp;$E$3)</f>
        <v>0</v>
      </c>
      <c r="V80" s="5">
        <f t="shared" ref="V80:V100" si="66">COUNTIFS(E80:P80,"&lt;="&amp;$E$2)</f>
        <v>0</v>
      </c>
      <c r="W80" s="194">
        <f t="shared" si="60"/>
        <v>11</v>
      </c>
      <c r="X80" s="195" t="str">
        <f t="shared" si="61"/>
        <v>Discharge</v>
      </c>
      <c r="Y80" s="194">
        <f t="shared" si="62"/>
        <v>11</v>
      </c>
      <c r="Z80" s="195"/>
      <c r="AA80" s="1390"/>
      <c r="AB80" t="str">
        <f t="shared" si="51"/>
        <v>OLDMTX-DCSYS05</v>
      </c>
    </row>
    <row r="81" spans="1:28">
      <c r="A81" s="92" t="str">
        <f>'Plant loading'!A77</f>
        <v>Oldham</v>
      </c>
      <c r="B81" s="92" t="str">
        <f>'Plant loading'!B77</f>
        <v>OLDMTX-DCSYS06</v>
      </c>
      <c r="C81" s="93">
        <f>('Plant loading'!E77*54.5)/1000</f>
        <v>34.280500000000004</v>
      </c>
      <c r="D81" s="94" t="str">
        <f t="shared" si="58"/>
        <v>3 hours</v>
      </c>
      <c r="E81" s="342">
        <v>44835</v>
      </c>
      <c r="F81" s="342">
        <v>44835</v>
      </c>
      <c r="G81" s="342">
        <v>44835</v>
      </c>
      <c r="H81" s="342">
        <v>44835</v>
      </c>
      <c r="I81" s="342">
        <v>44835</v>
      </c>
      <c r="J81" s="342">
        <v>44835</v>
      </c>
      <c r="K81" s="342">
        <v>44835</v>
      </c>
      <c r="L81" s="342">
        <v>44835</v>
      </c>
      <c r="M81" s="342">
        <v>44835</v>
      </c>
      <c r="N81" s="342"/>
      <c r="O81" s="342"/>
      <c r="P81" s="342" t="s">
        <v>619</v>
      </c>
      <c r="Q81"/>
      <c r="R81" s="5">
        <f t="shared" si="63"/>
        <v>9</v>
      </c>
      <c r="S81" s="5">
        <f t="shared" si="64"/>
        <v>3.8089444444444447</v>
      </c>
      <c r="T81" s="5">
        <f t="shared" si="59"/>
        <v>11</v>
      </c>
      <c r="U81" s="5">
        <f t="shared" si="65"/>
        <v>0</v>
      </c>
      <c r="V81" s="5">
        <f t="shared" si="66"/>
        <v>0</v>
      </c>
      <c r="W81" s="194">
        <f t="shared" si="60"/>
        <v>11</v>
      </c>
      <c r="X81" s="195" t="str">
        <f t="shared" si="61"/>
        <v>Discharge</v>
      </c>
      <c r="Y81" s="194">
        <f t="shared" si="62"/>
        <v>11</v>
      </c>
      <c r="Z81" s="195"/>
      <c r="AA81" s="1390"/>
      <c r="AB81" t="str">
        <f t="shared" si="51"/>
        <v>OLDMTX-DCSYS06</v>
      </c>
    </row>
    <row r="82" spans="1:28">
      <c r="A82" s="92" t="str">
        <f>'Plant loading'!A78</f>
        <v>Oldham</v>
      </c>
      <c r="B82" s="92" t="str">
        <f>'Plant loading'!B78</f>
        <v>OLDMTX-DCSYS07a</v>
      </c>
      <c r="C82" s="93">
        <f>('Plant loading'!E78*54.5)/1000</f>
        <v>26.323499999999999</v>
      </c>
      <c r="D82" s="94" t="str">
        <f t="shared" ref="D82:D83" si="67">CHOOSE(T82,$C$130,$D$130,$E$130,$F$130,$G$130,$H$130,$I$130,$J$130,$K$130,$L$130,$M$130,$N$130,$O$130,$P$130,$Q$130,$R$130)</f>
        <v>2 hours</v>
      </c>
      <c r="E82" s="342">
        <v>44501</v>
      </c>
      <c r="F82" s="342">
        <v>44501</v>
      </c>
      <c r="G82" s="342">
        <v>44501</v>
      </c>
      <c r="H82" s="342">
        <v>44501</v>
      </c>
      <c r="I82" s="342">
        <v>44501</v>
      </c>
      <c r="J82" s="342"/>
      <c r="K82" s="342"/>
      <c r="L82" s="342"/>
      <c r="M82" s="342"/>
      <c r="N82" s="342"/>
      <c r="O82" s="342"/>
      <c r="P82" s="342" t="s">
        <v>619</v>
      </c>
      <c r="Q82"/>
      <c r="R82" s="5">
        <f t="shared" ref="R82:R83" si="68">COUNT(E82:P82)</f>
        <v>5</v>
      </c>
      <c r="S82" s="5">
        <f t="shared" ref="S82:S83" si="69">C82/R82</f>
        <v>5.2646999999999995</v>
      </c>
      <c r="T82" s="5">
        <f t="shared" ref="T82:T83" si="70">MATCH(S82,$C$134:$R$134,-1)</f>
        <v>9</v>
      </c>
      <c r="U82" s="5">
        <f t="shared" ref="U82:U83" si="71">COUNTIFS(E82:P82,"&gt;="&amp;$D$3,E82:P82,"&lt;="&amp;$E$3)</f>
        <v>0</v>
      </c>
      <c r="V82" s="5">
        <f t="shared" ref="V82:V83" si="72">COUNTIFS(E82:P82,"&lt;="&amp;$E$2)</f>
        <v>0</v>
      </c>
      <c r="W82" s="194"/>
      <c r="X82" s="195"/>
      <c r="Y82" s="194"/>
      <c r="Z82" s="195"/>
      <c r="AA82" s="890"/>
      <c r="AB82" t="str">
        <f t="shared" si="51"/>
        <v>OLDMTX-DCSYS07a</v>
      </c>
    </row>
    <row r="83" spans="1:28">
      <c r="A83" s="92" t="str">
        <f>'Plant loading'!A79</f>
        <v>Oldham</v>
      </c>
      <c r="B83" s="92" t="str">
        <f>'Plant loading'!B79</f>
        <v>OLDMTX-DCSYS07b</v>
      </c>
      <c r="C83" s="93">
        <f>('Plant loading'!E79*54.5)/1000</f>
        <v>25.942</v>
      </c>
      <c r="D83" s="94" t="str">
        <f t="shared" si="67"/>
        <v>2 hours</v>
      </c>
      <c r="E83" s="342">
        <v>44501</v>
      </c>
      <c r="F83" s="342">
        <v>44501</v>
      </c>
      <c r="G83" s="342">
        <v>44501</v>
      </c>
      <c r="H83" s="342">
        <v>44501</v>
      </c>
      <c r="I83" s="342">
        <v>44501</v>
      </c>
      <c r="J83" s="342"/>
      <c r="K83" s="342"/>
      <c r="L83" s="342"/>
      <c r="M83" s="342"/>
      <c r="N83" s="342"/>
      <c r="O83" s="342"/>
      <c r="P83" s="342" t="s">
        <v>619</v>
      </c>
      <c r="Q83"/>
      <c r="R83" s="5">
        <f t="shared" si="68"/>
        <v>5</v>
      </c>
      <c r="S83" s="5">
        <f t="shared" si="69"/>
        <v>5.1883999999999997</v>
      </c>
      <c r="T83" s="5">
        <f t="shared" si="70"/>
        <v>9</v>
      </c>
      <c r="U83" s="5">
        <f t="shared" si="71"/>
        <v>0</v>
      </c>
      <c r="V83" s="5">
        <f t="shared" si="72"/>
        <v>0</v>
      </c>
      <c r="W83" s="194"/>
      <c r="X83" s="195"/>
      <c r="Y83" s="194"/>
      <c r="Z83" s="195"/>
      <c r="AA83" s="890"/>
      <c r="AB83" t="str">
        <f t="shared" si="51"/>
        <v>OLDMTX-DCSYS07b</v>
      </c>
    </row>
    <row r="84" spans="1:28">
      <c r="A84" s="740" t="str">
        <f>'Plant loading'!A80</f>
        <v>Rotherham</v>
      </c>
      <c r="B84" s="740" t="str">
        <f>'Plant loading'!B80</f>
        <v>PEARM</v>
      </c>
      <c r="C84" s="741">
        <f>('Plant loading'!E80*54.5)/1000</f>
        <v>22.998999999999999</v>
      </c>
      <c r="D84" s="742" t="str">
        <f t="shared" ref="D84" si="73">CHOOSE(T84,$C$130,$D$130,$E$130,$F$130,$G$130,$H$130,$I$130,$J$130,$K$130,$L$130,$M$130,$N$130,$O$130,$P$130,$Q$130,$R$130)</f>
        <v>5 hours</v>
      </c>
      <c r="E84" s="743">
        <v>44409</v>
      </c>
      <c r="F84" s="743">
        <v>44409</v>
      </c>
      <c r="G84" s="743">
        <v>44409</v>
      </c>
      <c r="H84" s="743">
        <v>44440</v>
      </c>
      <c r="I84" s="743">
        <v>44440</v>
      </c>
      <c r="J84" s="743">
        <v>44440</v>
      </c>
      <c r="K84" s="743">
        <v>44440</v>
      </c>
      <c r="L84" s="743">
        <v>43891</v>
      </c>
      <c r="M84" s="743">
        <v>43891</v>
      </c>
      <c r="N84" s="743"/>
      <c r="O84" s="743"/>
      <c r="P84" s="743" t="s">
        <v>619</v>
      </c>
      <c r="Q84"/>
      <c r="R84" s="5">
        <f t="shared" si="63"/>
        <v>9</v>
      </c>
      <c r="S84" s="5">
        <f t="shared" si="64"/>
        <v>2.5554444444444444</v>
      </c>
      <c r="T84" s="5">
        <f t="shared" ref="T84" si="74">MATCH(S84,$C$134:$R$134,-1)</f>
        <v>13</v>
      </c>
      <c r="U84" s="5">
        <f t="shared" si="65"/>
        <v>0</v>
      </c>
      <c r="V84" s="5">
        <f t="shared" si="66"/>
        <v>0</v>
      </c>
      <c r="W84" s="194">
        <f t="shared" ref="W84" si="75">MATCH($E84,$B$177:$Q$177,1)</f>
        <v>9</v>
      </c>
      <c r="X84" s="196" t="str">
        <f t="shared" ref="X84" si="76">CHOOSE(ROUNDUP((W84/2),0),$B$179,$D$179,$F$179,$H$179,$J$179,$L$179,$N$179,$P$179)</f>
        <v>IR+HC</v>
      </c>
      <c r="Y84" s="194">
        <f t="shared" ref="Y84" si="77">MATCH($E84,$B$183:$S$183,1)</f>
        <v>9</v>
      </c>
      <c r="Z84" s="196" t="str">
        <f t="shared" ref="Z84" si="78">CHOOSE(ROUNDUP((Y84/2),0),$B$185,$D$185,$F$185,$H$185,$J$185,$L$185,$N$185,$P$185,$R$185)</f>
        <v>Discharge</v>
      </c>
      <c r="AA84" s="1391" t="str">
        <f>A84</f>
        <v>Rotherham</v>
      </c>
      <c r="AB84" t="str">
        <f t="shared" si="51"/>
        <v>PEARM</v>
      </c>
    </row>
    <row r="85" spans="1:28">
      <c r="A85" s="95" t="str">
        <f>'Plant loading'!A81</f>
        <v>Rotherham</v>
      </c>
      <c r="B85" s="95" t="str">
        <f>'Plant loading'!B81</f>
        <v>PEBRM</v>
      </c>
      <c r="C85" s="96">
        <f>('Plant loading'!E81*54.5)/1000</f>
        <v>28.503499999999999</v>
      </c>
      <c r="D85" s="97" t="str">
        <f t="shared" ref="D85:D113" si="79">CHOOSE(T85,$C$130,$D$130,$E$130,$F$130,$G$130,$H$130,$I$130,$J$130,$K$130,$L$130,$M$130,$N$130,$O$130,$P$130,$Q$130,$R$130)</f>
        <v>4 hours</v>
      </c>
      <c r="E85" s="342">
        <v>44440</v>
      </c>
      <c r="F85" s="342">
        <v>44440</v>
      </c>
      <c r="G85" s="342">
        <v>44440</v>
      </c>
      <c r="H85" s="342">
        <v>44440</v>
      </c>
      <c r="I85" s="342">
        <v>44440</v>
      </c>
      <c r="J85" s="342">
        <v>44440</v>
      </c>
      <c r="K85" s="342">
        <v>44440</v>
      </c>
      <c r="L85" s="342">
        <v>44440</v>
      </c>
      <c r="M85" s="342">
        <v>44440</v>
      </c>
      <c r="N85" s="342"/>
      <c r="O85" s="342"/>
      <c r="P85" s="342" t="s">
        <v>619</v>
      </c>
      <c r="Q85"/>
      <c r="R85" s="5">
        <f t="shared" si="63"/>
        <v>9</v>
      </c>
      <c r="S85" s="5">
        <f t="shared" si="64"/>
        <v>3.1670555555555553</v>
      </c>
      <c r="T85" s="5">
        <f t="shared" ref="T85:T113" si="80">MATCH(S85,$C$134:$R$134,-1)</f>
        <v>12</v>
      </c>
      <c r="U85" s="5">
        <f t="shared" si="65"/>
        <v>0</v>
      </c>
      <c r="V85" s="5">
        <f t="shared" si="66"/>
        <v>0</v>
      </c>
      <c r="W85" s="194">
        <f t="shared" ref="W85:W106" si="81">MATCH($E85,$B$177:$Q$177,1)</f>
        <v>9</v>
      </c>
      <c r="X85" s="196" t="str">
        <f t="shared" ref="X85:X113" si="82">CHOOSE(ROUNDUP((W85/2),0),$B$179,$D$179,$F$179,$H$179,$J$179,$L$179,$N$179,$P$179)</f>
        <v>IR+HC</v>
      </c>
      <c r="Y85" s="194">
        <f t="shared" ref="Y85:Y106" si="83">MATCH($E85,$B$183:$S$183,1)</f>
        <v>9</v>
      </c>
      <c r="Z85" s="196" t="str">
        <f t="shared" ref="Z85:Z113" si="84">CHOOSE(ROUNDUP((Y85/2),0),$B$185,$D$185,$F$185,$H$185,$J$185,$L$185,$N$185,$P$185,$R$185)</f>
        <v>Discharge</v>
      </c>
      <c r="AA85" s="1391"/>
      <c r="AB85" t="str">
        <f t="shared" si="51"/>
        <v>PEBRM</v>
      </c>
    </row>
    <row r="86" spans="1:28">
      <c r="A86" s="95" t="str">
        <f>'Plant loading'!A82</f>
        <v>Rotherham</v>
      </c>
      <c r="B86" s="95" t="str">
        <f>'Plant loading'!B82</f>
        <v>PECRM</v>
      </c>
      <c r="C86" s="96">
        <f>('Plant loading'!E82*54.5)/1000</f>
        <v>28.994</v>
      </c>
      <c r="D86" s="97" t="str">
        <f t="shared" si="79"/>
        <v>4 hours</v>
      </c>
      <c r="E86" s="342">
        <v>44440</v>
      </c>
      <c r="F86" s="342">
        <v>44440</v>
      </c>
      <c r="G86" s="342">
        <v>44440</v>
      </c>
      <c r="H86" s="342">
        <v>44440</v>
      </c>
      <c r="I86" s="342">
        <v>44440</v>
      </c>
      <c r="J86" s="342">
        <v>44440</v>
      </c>
      <c r="K86" s="342">
        <v>44440</v>
      </c>
      <c r="L86" s="342">
        <v>44440</v>
      </c>
      <c r="M86" s="342">
        <v>44440</v>
      </c>
      <c r="N86" s="342"/>
      <c r="O86" s="342"/>
      <c r="P86" s="342" t="s">
        <v>619</v>
      </c>
      <c r="Q86"/>
      <c r="R86" s="5">
        <f t="shared" si="63"/>
        <v>9</v>
      </c>
      <c r="S86" s="5">
        <f t="shared" si="64"/>
        <v>3.2215555555555557</v>
      </c>
      <c r="T86" s="5">
        <f t="shared" si="80"/>
        <v>12</v>
      </c>
      <c r="U86" s="5">
        <f t="shared" si="65"/>
        <v>0</v>
      </c>
      <c r="V86" s="5">
        <f t="shared" si="66"/>
        <v>0</v>
      </c>
      <c r="W86" s="194">
        <f t="shared" si="81"/>
        <v>9</v>
      </c>
      <c r="X86" s="196" t="str">
        <f t="shared" si="82"/>
        <v>IR+HC</v>
      </c>
      <c r="Y86" s="194">
        <f t="shared" si="83"/>
        <v>9</v>
      </c>
      <c r="Z86" s="196" t="str">
        <f t="shared" si="84"/>
        <v>Discharge</v>
      </c>
      <c r="AA86" s="1391"/>
      <c r="AB86" t="str">
        <f t="shared" si="51"/>
        <v>PECRM</v>
      </c>
    </row>
    <row r="87" spans="1:28">
      <c r="A87" s="95" t="str">
        <f>'Plant loading'!A83</f>
        <v>Rotherham</v>
      </c>
      <c r="B87" s="95" t="str">
        <f>'Plant loading'!B83</f>
        <v>PEDRM</v>
      </c>
      <c r="C87" s="96">
        <f>('Plant loading'!E83*54.5)/1000</f>
        <v>14.333500000000001</v>
      </c>
      <c r="D87" s="97" t="str">
        <f t="shared" si="79"/>
        <v>8 hours</v>
      </c>
      <c r="E87" s="342">
        <v>44409</v>
      </c>
      <c r="F87" s="342">
        <v>44409</v>
      </c>
      <c r="G87" s="342">
        <v>44409</v>
      </c>
      <c r="H87" s="342">
        <v>44440</v>
      </c>
      <c r="I87" s="342">
        <v>44440</v>
      </c>
      <c r="J87" s="342">
        <v>44440</v>
      </c>
      <c r="K87" s="342">
        <v>44440</v>
      </c>
      <c r="L87" s="342">
        <v>44440</v>
      </c>
      <c r="M87" s="342">
        <v>44440</v>
      </c>
      <c r="N87" s="342"/>
      <c r="O87" s="342"/>
      <c r="P87" s="342" t="s">
        <v>619</v>
      </c>
      <c r="Q87"/>
      <c r="R87" s="5">
        <f t="shared" si="63"/>
        <v>9</v>
      </c>
      <c r="S87" s="5">
        <f t="shared" si="64"/>
        <v>1.5926111111111112</v>
      </c>
      <c r="T87" s="5">
        <f t="shared" si="80"/>
        <v>16</v>
      </c>
      <c r="U87" s="5">
        <f t="shared" si="65"/>
        <v>0</v>
      </c>
      <c r="V87" s="5">
        <f t="shared" si="66"/>
        <v>0</v>
      </c>
      <c r="W87" s="194">
        <f t="shared" si="81"/>
        <v>9</v>
      </c>
      <c r="X87" s="196" t="str">
        <f t="shared" si="82"/>
        <v>IR+HC</v>
      </c>
      <c r="Y87" s="194">
        <f t="shared" si="83"/>
        <v>9</v>
      </c>
      <c r="Z87" s="196" t="str">
        <f t="shared" si="84"/>
        <v>Discharge</v>
      </c>
      <c r="AA87" s="1391"/>
      <c r="AB87" t="str">
        <f t="shared" si="51"/>
        <v>PEDRM</v>
      </c>
    </row>
    <row r="88" spans="1:28">
      <c r="A88" s="95" t="str">
        <f>'Plant loading'!A84</f>
        <v>Rotherham</v>
      </c>
      <c r="B88" s="95" t="str">
        <f>'Plant loading'!B84</f>
        <v>PEERM</v>
      </c>
      <c r="C88" s="96">
        <f>('Plant loading'!E84*54.5)/1000</f>
        <v>11.554</v>
      </c>
      <c r="D88" s="97" t="str">
        <f t="shared" si="79"/>
        <v>8 hours</v>
      </c>
      <c r="E88" s="342">
        <v>44440</v>
      </c>
      <c r="F88" s="342">
        <v>44440</v>
      </c>
      <c r="G88" s="342">
        <v>44440</v>
      </c>
      <c r="H88" s="342">
        <v>44440</v>
      </c>
      <c r="I88" s="342">
        <v>44440</v>
      </c>
      <c r="J88" s="342">
        <v>44440</v>
      </c>
      <c r="K88" s="342">
        <v>44440</v>
      </c>
      <c r="L88" s="342">
        <v>44440</v>
      </c>
      <c r="M88" s="342">
        <v>44440</v>
      </c>
      <c r="N88" s="342"/>
      <c r="O88" s="342"/>
      <c r="P88" s="342" t="s">
        <v>619</v>
      </c>
      <c r="Q88"/>
      <c r="R88" s="5">
        <f t="shared" si="63"/>
        <v>9</v>
      </c>
      <c r="S88" s="5">
        <f t="shared" si="64"/>
        <v>1.2837777777777779</v>
      </c>
      <c r="T88" s="5">
        <f t="shared" si="80"/>
        <v>16</v>
      </c>
      <c r="U88" s="5">
        <f t="shared" si="65"/>
        <v>0</v>
      </c>
      <c r="V88" s="5">
        <f t="shared" si="66"/>
        <v>0</v>
      </c>
      <c r="W88" s="194">
        <f t="shared" si="81"/>
        <v>9</v>
      </c>
      <c r="X88" s="196" t="str">
        <f t="shared" si="82"/>
        <v>IR+HC</v>
      </c>
      <c r="Y88" s="194">
        <f t="shared" si="83"/>
        <v>9</v>
      </c>
      <c r="Z88" s="196" t="str">
        <f t="shared" si="84"/>
        <v>Discharge</v>
      </c>
      <c r="AA88" s="1391"/>
      <c r="AB88" t="str">
        <f t="shared" si="51"/>
        <v>PEERM</v>
      </c>
    </row>
    <row r="89" spans="1:28">
      <c r="A89" s="748" t="str">
        <f>'Plant loading'!A85</f>
        <v>Southampton</v>
      </c>
      <c r="B89" s="748" t="str">
        <f>'Plant loading'!B85</f>
        <v>PEASN</v>
      </c>
      <c r="C89" s="749">
        <f>('Plant loading'!E85*54.5)/1000</f>
        <v>19.838000000000001</v>
      </c>
      <c r="D89" s="750" t="str">
        <f t="shared" si="79"/>
        <v>6 hours</v>
      </c>
      <c r="E89" s="743">
        <v>44136</v>
      </c>
      <c r="F89" s="743">
        <v>44136</v>
      </c>
      <c r="G89" s="743">
        <v>44136</v>
      </c>
      <c r="H89" s="743">
        <v>44136</v>
      </c>
      <c r="I89" s="743">
        <v>44136</v>
      </c>
      <c r="J89" s="743">
        <v>44136</v>
      </c>
      <c r="K89" s="743">
        <v>44136</v>
      </c>
      <c r="L89" s="743">
        <v>44136</v>
      </c>
      <c r="M89" s="743">
        <v>44136</v>
      </c>
      <c r="N89" s="743"/>
      <c r="O89" s="743"/>
      <c r="P89" s="743" t="s">
        <v>619</v>
      </c>
      <c r="Q89"/>
      <c r="R89" s="5">
        <f t="shared" si="63"/>
        <v>9</v>
      </c>
      <c r="S89" s="5">
        <f t="shared" si="64"/>
        <v>2.2042222222222225</v>
      </c>
      <c r="T89" s="5">
        <f t="shared" si="80"/>
        <v>14</v>
      </c>
      <c r="U89" s="5">
        <f t="shared" si="65"/>
        <v>0</v>
      </c>
      <c r="V89" s="5">
        <f t="shared" si="66"/>
        <v>0</v>
      </c>
      <c r="W89" s="194">
        <f t="shared" si="81"/>
        <v>7</v>
      </c>
      <c r="X89" s="195" t="str">
        <f t="shared" si="82"/>
        <v>Discharge</v>
      </c>
      <c r="Y89" s="194">
        <f t="shared" si="83"/>
        <v>7</v>
      </c>
      <c r="Z89" s="195" t="str">
        <f t="shared" si="84"/>
        <v>IR+HC</v>
      </c>
      <c r="AA89" s="1390" t="str">
        <f>A89</f>
        <v>Southampton</v>
      </c>
      <c r="AB89" t="str">
        <f t="shared" si="51"/>
        <v>PEASN</v>
      </c>
    </row>
    <row r="90" spans="1:28">
      <c r="A90" s="92" t="str">
        <f>'Plant loading'!A86</f>
        <v>Southampton</v>
      </c>
      <c r="B90" s="92" t="str">
        <f>'Plant loading'!B86</f>
        <v>PEBSN</v>
      </c>
      <c r="C90" s="93">
        <f>('Plant loading'!E86*54.5)/1000</f>
        <v>28.34</v>
      </c>
      <c r="D90" s="94" t="str">
        <f t="shared" si="79"/>
        <v>4 hours</v>
      </c>
      <c r="E90" s="342">
        <v>44136</v>
      </c>
      <c r="F90" s="342">
        <v>44136</v>
      </c>
      <c r="G90" s="342">
        <v>44136</v>
      </c>
      <c r="H90" s="342">
        <v>44136</v>
      </c>
      <c r="I90" s="342">
        <v>44136</v>
      </c>
      <c r="J90" s="342">
        <v>44136</v>
      </c>
      <c r="K90" s="342">
        <v>44136</v>
      </c>
      <c r="L90" s="342">
        <v>44136</v>
      </c>
      <c r="M90" s="342">
        <v>44136</v>
      </c>
      <c r="N90" s="342"/>
      <c r="O90" s="342"/>
      <c r="P90" s="342" t="s">
        <v>619</v>
      </c>
      <c r="Q90"/>
      <c r="R90" s="5">
        <f t="shared" si="63"/>
        <v>9</v>
      </c>
      <c r="S90" s="5">
        <f t="shared" si="64"/>
        <v>3.1488888888888891</v>
      </c>
      <c r="T90" s="5">
        <f t="shared" si="80"/>
        <v>12</v>
      </c>
      <c r="U90" s="5">
        <f t="shared" si="65"/>
        <v>0</v>
      </c>
      <c r="V90" s="5">
        <f t="shared" si="66"/>
        <v>0</v>
      </c>
      <c r="W90" s="194">
        <f t="shared" si="81"/>
        <v>7</v>
      </c>
      <c r="X90" s="195" t="str">
        <f t="shared" si="82"/>
        <v>Discharge</v>
      </c>
      <c r="Y90" s="194">
        <f t="shared" si="83"/>
        <v>7</v>
      </c>
      <c r="Z90" s="195" t="str">
        <f t="shared" si="84"/>
        <v>IR+HC</v>
      </c>
      <c r="AA90" s="1390"/>
      <c r="AB90" t="str">
        <f t="shared" si="51"/>
        <v>PEBSN</v>
      </c>
    </row>
    <row r="91" spans="1:28">
      <c r="A91" s="92" t="str">
        <f>'Plant loading'!A87</f>
        <v>Southampton</v>
      </c>
      <c r="B91" s="92" t="str">
        <f>'Plant loading'!B87</f>
        <v>PECSN</v>
      </c>
      <c r="C91" s="93">
        <f>('Plant loading'!E87*54.5)/1000</f>
        <v>25.724</v>
      </c>
      <c r="D91" s="94" t="str">
        <f t="shared" si="79"/>
        <v>5 hours</v>
      </c>
      <c r="E91" s="342">
        <v>44136</v>
      </c>
      <c r="F91" s="342">
        <v>44136</v>
      </c>
      <c r="G91" s="342">
        <v>44136</v>
      </c>
      <c r="H91" s="342">
        <v>44136</v>
      </c>
      <c r="I91" s="342">
        <v>44136</v>
      </c>
      <c r="J91" s="342">
        <v>44136</v>
      </c>
      <c r="K91" s="342">
        <v>44136</v>
      </c>
      <c r="L91" s="342">
        <v>44136</v>
      </c>
      <c r="M91" s="342">
        <v>44136</v>
      </c>
      <c r="N91" s="342"/>
      <c r="O91" s="342"/>
      <c r="P91" s="342" t="s">
        <v>619</v>
      </c>
      <c r="Q91"/>
      <c r="R91" s="5">
        <f t="shared" si="63"/>
        <v>9</v>
      </c>
      <c r="S91" s="5">
        <f t="shared" si="64"/>
        <v>2.8582222222222224</v>
      </c>
      <c r="T91" s="5">
        <f t="shared" si="80"/>
        <v>13</v>
      </c>
      <c r="U91" s="5">
        <f t="shared" si="65"/>
        <v>0</v>
      </c>
      <c r="V91" s="5">
        <f t="shared" si="66"/>
        <v>0</v>
      </c>
      <c r="W91" s="194">
        <f t="shared" si="81"/>
        <v>7</v>
      </c>
      <c r="X91" s="195" t="str">
        <f t="shared" si="82"/>
        <v>Discharge</v>
      </c>
      <c r="Y91" s="194">
        <f t="shared" si="83"/>
        <v>7</v>
      </c>
      <c r="Z91" s="195" t="str">
        <f t="shared" si="84"/>
        <v>IR+HC</v>
      </c>
      <c r="AA91" s="1390"/>
      <c r="AB91" t="str">
        <f t="shared" si="51"/>
        <v>PECSN</v>
      </c>
    </row>
    <row r="92" spans="1:28">
      <c r="A92" s="92" t="str">
        <f>'Plant loading'!A88</f>
        <v>Southampton</v>
      </c>
      <c r="B92" s="92" t="str">
        <f>'Plant loading'!B88</f>
        <v>PEESN</v>
      </c>
      <c r="C92" s="93">
        <f>('Plant loading'!E88*54.5)/1000</f>
        <v>18.966000000000001</v>
      </c>
      <c r="D92" s="94" t="str">
        <f t="shared" si="79"/>
        <v>7 hours</v>
      </c>
      <c r="E92" s="342">
        <v>44136</v>
      </c>
      <c r="F92" s="342">
        <v>44136</v>
      </c>
      <c r="G92" s="342">
        <v>44136</v>
      </c>
      <c r="H92" s="342">
        <v>44136</v>
      </c>
      <c r="I92" s="342">
        <v>44136</v>
      </c>
      <c r="J92" s="342">
        <v>44136</v>
      </c>
      <c r="K92" s="342">
        <v>44136</v>
      </c>
      <c r="L92" s="342">
        <v>44136</v>
      </c>
      <c r="M92" s="342">
        <v>44136</v>
      </c>
      <c r="N92" s="342"/>
      <c r="O92" s="342"/>
      <c r="P92" s="342" t="s">
        <v>619</v>
      </c>
      <c r="Q92"/>
      <c r="R92" s="5">
        <f t="shared" si="63"/>
        <v>9</v>
      </c>
      <c r="S92" s="5">
        <f t="shared" si="64"/>
        <v>2.1073333333333335</v>
      </c>
      <c r="T92" s="5">
        <f t="shared" si="80"/>
        <v>15</v>
      </c>
      <c r="U92" s="5">
        <f t="shared" si="65"/>
        <v>0</v>
      </c>
      <c r="V92" s="5">
        <f t="shared" si="66"/>
        <v>0</v>
      </c>
      <c r="W92" s="194">
        <f t="shared" si="81"/>
        <v>7</v>
      </c>
      <c r="X92" s="195" t="str">
        <f t="shared" si="82"/>
        <v>Discharge</v>
      </c>
      <c r="Y92" s="194">
        <f t="shared" si="83"/>
        <v>7</v>
      </c>
      <c r="Z92" s="195" t="str">
        <f t="shared" si="84"/>
        <v>IR+HC</v>
      </c>
      <c r="AA92" s="1390"/>
      <c r="AB92" t="str">
        <f t="shared" si="51"/>
        <v>PEESN</v>
      </c>
    </row>
    <row r="93" spans="1:28">
      <c r="A93" s="740" t="str">
        <f>'Plant loading'!A89</f>
        <v>Swanley</v>
      </c>
      <c r="B93" s="740" t="str">
        <f>'Plant loading'!B89</f>
        <v>PEASY</v>
      </c>
      <c r="C93" s="741">
        <f>('Plant loading'!E89*54.5)/1000</f>
        <v>29.757000000000001</v>
      </c>
      <c r="D93" s="742" t="str">
        <f t="shared" si="79"/>
        <v>4 hours</v>
      </c>
      <c r="E93" s="743">
        <v>44562</v>
      </c>
      <c r="F93" s="743">
        <v>44562</v>
      </c>
      <c r="G93" s="743">
        <v>44562</v>
      </c>
      <c r="H93" s="743">
        <v>44562</v>
      </c>
      <c r="I93" s="743">
        <v>44562</v>
      </c>
      <c r="J93" s="743">
        <v>44562</v>
      </c>
      <c r="K93" s="743">
        <v>44562</v>
      </c>
      <c r="L93" s="743">
        <v>44562</v>
      </c>
      <c r="M93" s="743">
        <v>44562</v>
      </c>
      <c r="N93" s="743"/>
      <c r="O93" s="743"/>
      <c r="P93" s="743" t="s">
        <v>619</v>
      </c>
      <c r="Q93"/>
      <c r="R93" s="5">
        <f t="shared" si="63"/>
        <v>9</v>
      </c>
      <c r="S93" s="5">
        <f t="shared" si="64"/>
        <v>3.3063333333333333</v>
      </c>
      <c r="T93" s="5">
        <f t="shared" si="80"/>
        <v>12</v>
      </c>
      <c r="U93" s="5">
        <f t="shared" si="65"/>
        <v>0</v>
      </c>
      <c r="V93" s="5">
        <f t="shared" si="66"/>
        <v>0</v>
      </c>
      <c r="W93" s="194">
        <f t="shared" si="81"/>
        <v>9</v>
      </c>
      <c r="X93" s="196" t="str">
        <f t="shared" si="82"/>
        <v>IR+HC</v>
      </c>
      <c r="Y93" s="194">
        <f t="shared" si="83"/>
        <v>9</v>
      </c>
      <c r="Z93" s="196" t="str">
        <f t="shared" si="84"/>
        <v>Discharge</v>
      </c>
      <c r="AA93" s="1391" t="str">
        <f>A93</f>
        <v>Swanley</v>
      </c>
      <c r="AB93" t="str">
        <f t="shared" si="51"/>
        <v>PEASY</v>
      </c>
    </row>
    <row r="94" spans="1:28">
      <c r="A94" s="95" t="str">
        <f>'Plant loading'!A90</f>
        <v>Swanley</v>
      </c>
      <c r="B94" s="95" t="str">
        <f>'Plant loading'!B90</f>
        <v>PEBSY</v>
      </c>
      <c r="C94" s="96">
        <f>('Plant loading'!E90*54.5)/1000</f>
        <v>25.342500000000001</v>
      </c>
      <c r="D94" s="97" t="str">
        <f t="shared" si="79"/>
        <v>5 hours</v>
      </c>
      <c r="E94" s="342">
        <v>44562</v>
      </c>
      <c r="F94" s="342">
        <v>44562</v>
      </c>
      <c r="G94" s="342">
        <v>44562</v>
      </c>
      <c r="H94" s="342">
        <v>44562</v>
      </c>
      <c r="I94" s="342">
        <v>44562</v>
      </c>
      <c r="J94" s="342">
        <v>44562</v>
      </c>
      <c r="K94" s="342">
        <v>44562</v>
      </c>
      <c r="L94" s="342">
        <v>44562</v>
      </c>
      <c r="M94" s="342">
        <v>44562</v>
      </c>
      <c r="N94" s="342"/>
      <c r="O94" s="342"/>
      <c r="P94" s="342" t="s">
        <v>619</v>
      </c>
      <c r="Q94"/>
      <c r="R94" s="5">
        <f t="shared" si="63"/>
        <v>9</v>
      </c>
      <c r="S94" s="5">
        <f t="shared" si="64"/>
        <v>2.8158333333333334</v>
      </c>
      <c r="T94" s="5">
        <f t="shared" si="80"/>
        <v>13</v>
      </c>
      <c r="U94" s="5">
        <f t="shared" si="65"/>
        <v>0</v>
      </c>
      <c r="V94" s="5">
        <f t="shared" si="66"/>
        <v>0</v>
      </c>
      <c r="W94" s="194">
        <f t="shared" si="81"/>
        <v>9</v>
      </c>
      <c r="X94" s="196" t="str">
        <f t="shared" si="82"/>
        <v>IR+HC</v>
      </c>
      <c r="Y94" s="194">
        <f t="shared" si="83"/>
        <v>9</v>
      </c>
      <c r="Z94" s="196" t="str">
        <f t="shared" si="84"/>
        <v>Discharge</v>
      </c>
      <c r="AA94" s="1391"/>
      <c r="AB94" t="str">
        <f t="shared" si="51"/>
        <v>PEBSY</v>
      </c>
    </row>
    <row r="95" spans="1:28">
      <c r="A95" s="95" t="str">
        <f>'Plant loading'!A91</f>
        <v>Swanley</v>
      </c>
      <c r="B95" s="95" t="str">
        <f>'Plant loading'!B91</f>
        <v>PECSY</v>
      </c>
      <c r="C95" s="96">
        <f>('Plant loading'!E91*54.5)/1000</f>
        <v>21.690999999999999</v>
      </c>
      <c r="D95" s="97" t="str">
        <f t="shared" si="79"/>
        <v>6 hours</v>
      </c>
      <c r="E95" s="342">
        <v>44562</v>
      </c>
      <c r="F95" s="342">
        <v>44562</v>
      </c>
      <c r="G95" s="342">
        <v>44562</v>
      </c>
      <c r="H95" s="342">
        <v>44562</v>
      </c>
      <c r="I95" s="342">
        <v>44562</v>
      </c>
      <c r="J95" s="342">
        <v>44562</v>
      </c>
      <c r="K95" s="342">
        <v>44562</v>
      </c>
      <c r="L95" s="342">
        <v>44562</v>
      </c>
      <c r="M95" s="342">
        <v>44562</v>
      </c>
      <c r="N95" s="342"/>
      <c r="O95" s="342"/>
      <c r="P95" s="342" t="s">
        <v>619</v>
      </c>
      <c r="Q95"/>
      <c r="R95" s="5">
        <f t="shared" si="63"/>
        <v>9</v>
      </c>
      <c r="S95" s="5">
        <f t="shared" si="64"/>
        <v>2.4101111111111111</v>
      </c>
      <c r="T95" s="5">
        <f t="shared" si="80"/>
        <v>14</v>
      </c>
      <c r="U95" s="5">
        <f t="shared" si="65"/>
        <v>0</v>
      </c>
      <c r="V95" s="5">
        <f t="shared" si="66"/>
        <v>0</v>
      </c>
      <c r="W95" s="194">
        <f t="shared" si="81"/>
        <v>9</v>
      </c>
      <c r="X95" s="196" t="str">
        <f t="shared" si="82"/>
        <v>IR+HC</v>
      </c>
      <c r="Y95" s="194">
        <f t="shared" si="83"/>
        <v>9</v>
      </c>
      <c r="Z95" s="196" t="str">
        <f t="shared" si="84"/>
        <v>Discharge</v>
      </c>
      <c r="AA95" s="1391"/>
      <c r="AB95" t="str">
        <f t="shared" si="51"/>
        <v>PECSY</v>
      </c>
    </row>
    <row r="96" spans="1:28">
      <c r="A96" s="95" t="str">
        <f>'Plant loading'!A92</f>
        <v>Swanley</v>
      </c>
      <c r="B96" s="95" t="str">
        <f>'Plant loading'!B92</f>
        <v>PEDSY</v>
      </c>
      <c r="C96" s="96">
        <f>('Plant loading'!E92*54.5)/1000</f>
        <v>15.532500000000001</v>
      </c>
      <c r="D96" s="97" t="str">
        <f t="shared" si="79"/>
        <v>8 hours</v>
      </c>
      <c r="E96" s="342">
        <v>44562</v>
      </c>
      <c r="F96" s="342">
        <v>44562</v>
      </c>
      <c r="G96" s="342">
        <v>44562</v>
      </c>
      <c r="H96" s="342">
        <v>44562</v>
      </c>
      <c r="I96" s="342">
        <v>44562</v>
      </c>
      <c r="J96" s="342">
        <v>44562</v>
      </c>
      <c r="K96" s="342">
        <v>44562</v>
      </c>
      <c r="L96" s="342">
        <v>44562</v>
      </c>
      <c r="M96" s="342">
        <v>44562</v>
      </c>
      <c r="N96" s="342"/>
      <c r="O96" s="342"/>
      <c r="P96" s="342" t="s">
        <v>619</v>
      </c>
      <c r="Q96"/>
      <c r="R96" s="5">
        <f t="shared" si="63"/>
        <v>9</v>
      </c>
      <c r="S96" s="5">
        <f t="shared" si="64"/>
        <v>1.7258333333333333</v>
      </c>
      <c r="T96" s="5">
        <f t="shared" si="80"/>
        <v>16</v>
      </c>
      <c r="U96" s="5">
        <f t="shared" si="65"/>
        <v>0</v>
      </c>
      <c r="V96" s="5">
        <f t="shared" si="66"/>
        <v>0</v>
      </c>
      <c r="W96" s="194">
        <f t="shared" si="81"/>
        <v>9</v>
      </c>
      <c r="X96" s="196" t="str">
        <f t="shared" si="82"/>
        <v>IR+HC</v>
      </c>
      <c r="Y96" s="194">
        <f t="shared" si="83"/>
        <v>9</v>
      </c>
      <c r="Z96" s="196" t="str">
        <f t="shared" si="84"/>
        <v>Discharge</v>
      </c>
      <c r="AA96" s="1391"/>
      <c r="AB96" t="str">
        <f t="shared" si="51"/>
        <v>PEDSY</v>
      </c>
    </row>
    <row r="97" spans="1:28">
      <c r="A97" s="95" t="str">
        <f>'Plant loading'!A93</f>
        <v>Swanley</v>
      </c>
      <c r="B97" s="95" t="str">
        <f>'Plant loading'!B93</f>
        <v>PEESY</v>
      </c>
      <c r="C97" s="96">
        <f>('Plant loading'!E93*54.5)/1000</f>
        <v>17.494499999999999</v>
      </c>
      <c r="D97" s="97" t="str">
        <f t="shared" si="79"/>
        <v>5 hours</v>
      </c>
      <c r="E97" s="342">
        <v>44562</v>
      </c>
      <c r="F97" s="342">
        <v>44562</v>
      </c>
      <c r="G97" s="342">
        <v>44562</v>
      </c>
      <c r="H97" s="342">
        <v>44562</v>
      </c>
      <c r="I97" s="342">
        <v>44562</v>
      </c>
      <c r="J97" s="342">
        <v>44562</v>
      </c>
      <c r="K97" s="342">
        <v>44562</v>
      </c>
      <c r="L97" s="342"/>
      <c r="M97" s="342"/>
      <c r="N97" s="342"/>
      <c r="O97" s="342"/>
      <c r="P97" s="342" t="s">
        <v>619</v>
      </c>
      <c r="Q97"/>
      <c r="R97" s="5">
        <f t="shared" si="63"/>
        <v>7</v>
      </c>
      <c r="S97" s="5">
        <f t="shared" si="64"/>
        <v>2.4992142857142854</v>
      </c>
      <c r="T97" s="5">
        <f t="shared" si="80"/>
        <v>13</v>
      </c>
      <c r="U97" s="5">
        <f t="shared" si="65"/>
        <v>0</v>
      </c>
      <c r="V97" s="5">
        <f t="shared" si="66"/>
        <v>0</v>
      </c>
      <c r="W97" s="194">
        <f t="shared" si="81"/>
        <v>9</v>
      </c>
      <c r="X97" s="196" t="str">
        <f t="shared" si="82"/>
        <v>IR+HC</v>
      </c>
      <c r="Y97" s="194">
        <f t="shared" si="83"/>
        <v>9</v>
      </c>
      <c r="Z97" s="196" t="str">
        <f t="shared" si="84"/>
        <v>Discharge</v>
      </c>
      <c r="AA97" s="1391"/>
      <c r="AB97" t="str">
        <f t="shared" si="51"/>
        <v>PEESY</v>
      </c>
    </row>
    <row r="98" spans="1:28">
      <c r="A98" s="748" t="str">
        <f>'Plant loading'!A94</f>
        <v>Bristol</v>
      </c>
      <c r="B98" s="748" t="str">
        <f>'Plant loading'!B94</f>
        <v>PEFBL</v>
      </c>
      <c r="C98" s="749">
        <f>('Plant loading'!E94*54.5)/1000</f>
        <v>23.326000000000001</v>
      </c>
      <c r="D98" s="750" t="str">
        <f t="shared" si="79"/>
        <v>5 hours</v>
      </c>
      <c r="E98" s="743">
        <v>44501</v>
      </c>
      <c r="F98" s="743">
        <v>44501</v>
      </c>
      <c r="G98" s="743">
        <v>44501</v>
      </c>
      <c r="H98" s="743">
        <v>44501</v>
      </c>
      <c r="I98" s="743">
        <v>44501</v>
      </c>
      <c r="J98" s="743">
        <v>44501</v>
      </c>
      <c r="K98" s="743">
        <v>44501</v>
      </c>
      <c r="L98" s="743">
        <v>44501</v>
      </c>
      <c r="M98" s="743">
        <v>44501</v>
      </c>
      <c r="N98" s="743"/>
      <c r="O98" s="743"/>
      <c r="P98" s="743" t="s">
        <v>619</v>
      </c>
      <c r="Q98"/>
      <c r="R98" s="5">
        <f t="shared" si="63"/>
        <v>9</v>
      </c>
      <c r="S98" s="5">
        <f t="shared" si="64"/>
        <v>2.5917777777777777</v>
      </c>
      <c r="T98" s="5">
        <f t="shared" si="80"/>
        <v>13</v>
      </c>
      <c r="U98" s="5">
        <f t="shared" si="65"/>
        <v>0</v>
      </c>
      <c r="V98" s="5">
        <f t="shared" si="66"/>
        <v>0</v>
      </c>
      <c r="W98" s="194">
        <f t="shared" si="81"/>
        <v>9</v>
      </c>
      <c r="X98" s="195" t="str">
        <f t="shared" si="82"/>
        <v>IR+HC</v>
      </c>
      <c r="Y98" s="194">
        <f t="shared" si="83"/>
        <v>9</v>
      </c>
      <c r="Z98" s="195" t="str">
        <f t="shared" si="84"/>
        <v>Discharge</v>
      </c>
      <c r="AA98" s="1399" t="str">
        <f>A98</f>
        <v>Bristol</v>
      </c>
      <c r="AB98" t="str">
        <f t="shared" si="51"/>
        <v>PEFBL</v>
      </c>
    </row>
    <row r="99" spans="1:28">
      <c r="A99" s="92" t="str">
        <f>'Plant loading'!A95</f>
        <v>Bristol</v>
      </c>
      <c r="B99" s="92" t="str">
        <f>'Plant loading'!B95</f>
        <v>PEHBL</v>
      </c>
      <c r="C99" s="93">
        <f>('Plant loading'!E95*54.5)/1000</f>
        <v>17.222000000000001</v>
      </c>
      <c r="D99" s="94" t="str">
        <f t="shared" si="79"/>
        <v>8 hours</v>
      </c>
      <c r="E99" s="342">
        <v>44531</v>
      </c>
      <c r="F99" s="342">
        <v>44531</v>
      </c>
      <c r="G99" s="342">
        <v>44531</v>
      </c>
      <c r="H99" s="342">
        <v>44531</v>
      </c>
      <c r="I99" s="342">
        <v>44531</v>
      </c>
      <c r="J99" s="342">
        <v>44531</v>
      </c>
      <c r="K99" s="342">
        <v>44531</v>
      </c>
      <c r="L99" s="342">
        <v>44531</v>
      </c>
      <c r="M99" s="342">
        <v>44531</v>
      </c>
      <c r="N99" s="342"/>
      <c r="O99" s="342"/>
      <c r="P99" s="342" t="s">
        <v>619</v>
      </c>
      <c r="Q99"/>
      <c r="R99" s="5">
        <f t="shared" si="63"/>
        <v>9</v>
      </c>
      <c r="S99" s="5">
        <f t="shared" si="64"/>
        <v>1.9135555555555557</v>
      </c>
      <c r="T99" s="5">
        <f t="shared" si="80"/>
        <v>16</v>
      </c>
      <c r="U99" s="5">
        <f t="shared" si="65"/>
        <v>0</v>
      </c>
      <c r="V99" s="5">
        <f t="shared" si="66"/>
        <v>0</v>
      </c>
      <c r="W99" s="194">
        <f t="shared" si="81"/>
        <v>9</v>
      </c>
      <c r="X99" s="195" t="str">
        <f t="shared" si="82"/>
        <v>IR+HC</v>
      </c>
      <c r="Y99" s="194">
        <f t="shared" si="83"/>
        <v>9</v>
      </c>
      <c r="Z99" s="195" t="str">
        <f t="shared" si="84"/>
        <v>Discharge</v>
      </c>
      <c r="AA99" s="1399"/>
      <c r="AB99" t="str">
        <f t="shared" si="51"/>
        <v>PEHBL</v>
      </c>
    </row>
    <row r="100" spans="1:28">
      <c r="A100" s="740" t="str">
        <f>'Plant loading'!A96</f>
        <v>Cardiff</v>
      </c>
      <c r="B100" s="740" t="str">
        <f>'Plant loading'!B96</f>
        <v>PECCF</v>
      </c>
      <c r="C100" s="741">
        <f>('Plant loading'!E96*54.5)/1000</f>
        <v>19.184000000000001</v>
      </c>
      <c r="D100" s="742" t="str">
        <f t="shared" si="79"/>
        <v>3 hours</v>
      </c>
      <c r="E100" s="743">
        <v>43435</v>
      </c>
      <c r="F100" s="743">
        <v>43435</v>
      </c>
      <c r="G100" s="743">
        <v>43435</v>
      </c>
      <c r="H100" s="743">
        <v>42826</v>
      </c>
      <c r="I100" s="743">
        <v>42826</v>
      </c>
      <c r="J100" s="743"/>
      <c r="K100" s="743"/>
      <c r="L100" s="743"/>
      <c r="M100" s="743"/>
      <c r="N100" s="743"/>
      <c r="O100" s="743"/>
      <c r="P100" s="743" t="s">
        <v>620</v>
      </c>
      <c r="Q100"/>
      <c r="R100" s="5">
        <f t="shared" si="63"/>
        <v>5</v>
      </c>
      <c r="S100" s="5">
        <f t="shared" si="64"/>
        <v>3.8368000000000002</v>
      </c>
      <c r="T100" s="5">
        <f t="shared" si="80"/>
        <v>11</v>
      </c>
      <c r="U100" s="5">
        <f t="shared" si="65"/>
        <v>3</v>
      </c>
      <c r="V100" s="5">
        <f t="shared" si="66"/>
        <v>2</v>
      </c>
      <c r="W100" s="194">
        <f t="shared" si="81"/>
        <v>3</v>
      </c>
      <c r="X100" s="196" t="str">
        <f t="shared" si="82"/>
        <v>Discharge</v>
      </c>
      <c r="Y100" s="194">
        <f t="shared" si="83"/>
        <v>3</v>
      </c>
      <c r="Z100" s="196" t="str">
        <f t="shared" si="84"/>
        <v>Replacement Due</v>
      </c>
      <c r="AA100" s="1391" t="str">
        <f>A100</f>
        <v>Cardiff</v>
      </c>
      <c r="AB100" t="str">
        <f t="shared" si="51"/>
        <v>PECCF</v>
      </c>
    </row>
    <row r="101" spans="1:28">
      <c r="A101" s="95" t="str">
        <f>'Plant loading'!A97</f>
        <v>Cardiff</v>
      </c>
      <c r="B101" s="95" t="str">
        <f>'Plant loading'!B97</f>
        <v>PEDCF</v>
      </c>
      <c r="C101" s="96">
        <f>('Plant loading'!E97*54.5)/1000</f>
        <v>9.1014999999999997</v>
      </c>
      <c r="D101" s="97" t="str">
        <f t="shared" si="79"/>
        <v>8 hours</v>
      </c>
      <c r="E101" s="342">
        <v>44896</v>
      </c>
      <c r="F101" s="342">
        <v>44896</v>
      </c>
      <c r="G101" s="342">
        <v>44896</v>
      </c>
      <c r="H101" s="342">
        <v>44896</v>
      </c>
      <c r="I101" s="342">
        <v>44896</v>
      </c>
      <c r="J101" s="342"/>
      <c r="K101" s="342"/>
      <c r="L101" s="342"/>
      <c r="M101" s="342"/>
      <c r="N101" s="342"/>
      <c r="O101" s="342"/>
      <c r="P101" s="342" t="s">
        <v>619</v>
      </c>
      <c r="Q101"/>
      <c r="R101" s="5">
        <f>COUNT(E101:J101)</f>
        <v>5</v>
      </c>
      <c r="S101" s="5">
        <f t="shared" si="64"/>
        <v>1.8203</v>
      </c>
      <c r="T101" s="5">
        <f t="shared" si="80"/>
        <v>16</v>
      </c>
      <c r="U101" s="5">
        <f>COUNTIFS(E101:J101,"&gt;="&amp;$D$3,E101:J101,"&lt;="&amp;$E$3)</f>
        <v>0</v>
      </c>
      <c r="V101" s="5">
        <f>COUNTIFS(E101:J101,"&lt;="&amp;$E$2)</f>
        <v>0</v>
      </c>
      <c r="W101" s="194">
        <f t="shared" si="81"/>
        <v>11</v>
      </c>
      <c r="X101" s="196" t="str">
        <f t="shared" si="82"/>
        <v>Discharge</v>
      </c>
      <c r="Y101" s="194">
        <f t="shared" si="83"/>
        <v>11</v>
      </c>
      <c r="Z101" s="196" t="str">
        <f t="shared" si="84"/>
        <v>IR+HC</v>
      </c>
      <c r="AA101" s="1391"/>
      <c r="AB101" t="str">
        <f t="shared" si="51"/>
        <v>PEDCF</v>
      </c>
    </row>
    <row r="102" spans="1:28">
      <c r="A102" s="95" t="str">
        <f>'Plant loading'!A98</f>
        <v>Cardiff</v>
      </c>
      <c r="B102" s="95" t="str">
        <f>'Plant loading'!B98</f>
        <v>PEECF</v>
      </c>
      <c r="C102" s="96">
        <f>('Plant loading'!E98*54.5)/1000</f>
        <v>10.9</v>
      </c>
      <c r="D102" s="97" t="str">
        <f t="shared" si="79"/>
        <v>6 hours</v>
      </c>
      <c r="E102" s="342">
        <v>44896</v>
      </c>
      <c r="F102" s="342">
        <v>44896</v>
      </c>
      <c r="G102" s="342">
        <v>44896</v>
      </c>
      <c r="H102" s="342">
        <v>44896</v>
      </c>
      <c r="I102" s="342">
        <v>44896</v>
      </c>
      <c r="J102" s="342"/>
      <c r="K102" s="342"/>
      <c r="L102" s="342"/>
      <c r="M102" s="342"/>
      <c r="N102" s="342"/>
      <c r="O102" s="342"/>
      <c r="P102" s="342" t="s">
        <v>619</v>
      </c>
      <c r="Q102"/>
      <c r="R102" s="5">
        <f t="shared" ref="R102:R122" si="85">COUNT(E102:P102)</f>
        <v>5</v>
      </c>
      <c r="S102" s="5">
        <f t="shared" si="64"/>
        <v>2.1800000000000002</v>
      </c>
      <c r="T102" s="5">
        <f t="shared" si="80"/>
        <v>14</v>
      </c>
      <c r="U102" s="5">
        <f t="shared" ref="U102:U122" si="86">COUNTIFS(E102:P102,"&gt;="&amp;$D$3,E102:P102,"&lt;="&amp;$E$3)</f>
        <v>0</v>
      </c>
      <c r="V102" s="5">
        <f t="shared" ref="V102:V122" si="87">COUNTIFS(E102:P102,"&lt;="&amp;$E$2)</f>
        <v>0</v>
      </c>
      <c r="W102" s="194">
        <f t="shared" si="81"/>
        <v>11</v>
      </c>
      <c r="X102" s="196" t="str">
        <f t="shared" si="82"/>
        <v>Discharge</v>
      </c>
      <c r="Y102" s="194">
        <f t="shared" si="83"/>
        <v>11</v>
      </c>
      <c r="Z102" s="196" t="str">
        <f t="shared" si="84"/>
        <v>IR+HC</v>
      </c>
      <c r="AA102" s="1391"/>
      <c r="AB102" t="str">
        <f t="shared" si="51"/>
        <v>PEECF</v>
      </c>
    </row>
    <row r="103" spans="1:28">
      <c r="A103" s="748" t="str">
        <f>'Plant loading'!A99</f>
        <v>Carlisle</v>
      </c>
      <c r="B103" s="748" t="str">
        <f>'Plant loading'!B99</f>
        <v>PEACE</v>
      </c>
      <c r="C103" s="749">
        <f>('Plant loading'!E99*54.5)/1000</f>
        <v>21.582000000000001</v>
      </c>
      <c r="D103" s="750" t="str">
        <f t="shared" si="79"/>
        <v>6 hours</v>
      </c>
      <c r="E103" s="743">
        <v>45108</v>
      </c>
      <c r="F103" s="743">
        <v>45108</v>
      </c>
      <c r="G103" s="743">
        <v>45108</v>
      </c>
      <c r="H103" s="743">
        <v>45108</v>
      </c>
      <c r="I103" s="743">
        <v>45108</v>
      </c>
      <c r="J103" s="743">
        <v>45108</v>
      </c>
      <c r="K103" s="743">
        <v>45108</v>
      </c>
      <c r="L103" s="743">
        <v>45108</v>
      </c>
      <c r="M103" s="743">
        <v>45108</v>
      </c>
      <c r="N103" s="743"/>
      <c r="O103" s="743"/>
      <c r="P103" s="743" t="s">
        <v>619</v>
      </c>
      <c r="Q103"/>
      <c r="R103" s="5">
        <f t="shared" si="85"/>
        <v>9</v>
      </c>
      <c r="S103" s="5">
        <f t="shared" si="64"/>
        <v>2.3980000000000001</v>
      </c>
      <c r="T103" s="5">
        <f t="shared" si="80"/>
        <v>14</v>
      </c>
      <c r="U103" s="5">
        <f t="shared" si="86"/>
        <v>0</v>
      </c>
      <c r="V103" s="5">
        <f t="shared" si="87"/>
        <v>0</v>
      </c>
      <c r="W103" s="194">
        <f t="shared" si="81"/>
        <v>13</v>
      </c>
      <c r="X103" s="195" t="str">
        <f t="shared" si="82"/>
        <v>IR+HC</v>
      </c>
      <c r="Y103" s="194">
        <f t="shared" si="83"/>
        <v>13</v>
      </c>
      <c r="Z103" s="195" t="str">
        <f t="shared" si="84"/>
        <v>Discharge</v>
      </c>
      <c r="AA103" s="1390" t="str">
        <f>A103</f>
        <v>Carlisle</v>
      </c>
      <c r="AB103" t="str">
        <f t="shared" si="51"/>
        <v>PEACE</v>
      </c>
    </row>
    <row r="104" spans="1:28">
      <c r="A104" s="92" t="str">
        <f>'Plant loading'!A100</f>
        <v>Carlisle</v>
      </c>
      <c r="B104" s="92" t="str">
        <f>'Plant loading'!B100</f>
        <v>PEBCE</v>
      </c>
      <c r="C104" s="93">
        <f>('Plant loading'!E100*54.5)/1000</f>
        <v>24.361499999999999</v>
      </c>
      <c r="D104" s="94" t="str">
        <f t="shared" si="79"/>
        <v>5 hours</v>
      </c>
      <c r="E104" s="342">
        <v>45108</v>
      </c>
      <c r="F104" s="342">
        <v>45108</v>
      </c>
      <c r="G104" s="342">
        <v>45108</v>
      </c>
      <c r="H104" s="342">
        <v>45108</v>
      </c>
      <c r="I104" s="342">
        <v>45108</v>
      </c>
      <c r="J104" s="342">
        <v>45108</v>
      </c>
      <c r="K104" s="342">
        <v>45108</v>
      </c>
      <c r="L104" s="342">
        <v>45108</v>
      </c>
      <c r="M104" s="342">
        <v>45108</v>
      </c>
      <c r="N104" s="342"/>
      <c r="O104" s="342"/>
      <c r="P104" s="342" t="s">
        <v>619</v>
      </c>
      <c r="Q104"/>
      <c r="R104" s="5">
        <f t="shared" si="85"/>
        <v>9</v>
      </c>
      <c r="S104" s="5">
        <f t="shared" si="64"/>
        <v>2.7068333333333334</v>
      </c>
      <c r="T104" s="5">
        <f t="shared" si="80"/>
        <v>13</v>
      </c>
      <c r="U104" s="5">
        <f t="shared" si="86"/>
        <v>0</v>
      </c>
      <c r="V104" s="5">
        <f t="shared" si="87"/>
        <v>0</v>
      </c>
      <c r="W104" s="194">
        <f t="shared" si="81"/>
        <v>13</v>
      </c>
      <c r="X104" s="195" t="str">
        <f t="shared" si="82"/>
        <v>IR+HC</v>
      </c>
      <c r="Y104" s="194">
        <f t="shared" si="83"/>
        <v>13</v>
      </c>
      <c r="Z104" s="195" t="str">
        <f t="shared" si="84"/>
        <v>Discharge</v>
      </c>
      <c r="AA104" s="1390"/>
      <c r="AB104" t="str">
        <f t="shared" si="51"/>
        <v>PEBCE</v>
      </c>
    </row>
    <row r="105" spans="1:28">
      <c r="A105" s="740" t="str">
        <f>'Plant loading'!A101</f>
        <v>Croydon</v>
      </c>
      <c r="B105" s="740" t="str">
        <f>'Plant loading'!B101</f>
        <v>PEFCN</v>
      </c>
      <c r="C105" s="741">
        <f>('Plant loading'!E101*54.5)/1000</f>
        <v>13.952</v>
      </c>
      <c r="D105" s="742" t="str">
        <f t="shared" si="79"/>
        <v>8 hours</v>
      </c>
      <c r="E105" s="743">
        <v>44896</v>
      </c>
      <c r="F105" s="743">
        <v>44896</v>
      </c>
      <c r="G105" s="743">
        <v>44896</v>
      </c>
      <c r="H105" s="743">
        <v>44896</v>
      </c>
      <c r="I105" s="743">
        <v>44896</v>
      </c>
      <c r="J105" s="743">
        <v>44896</v>
      </c>
      <c r="K105" s="743">
        <v>44896</v>
      </c>
      <c r="L105" s="743">
        <v>44896</v>
      </c>
      <c r="M105" s="743">
        <v>44896</v>
      </c>
      <c r="N105" s="743"/>
      <c r="O105" s="743"/>
      <c r="P105" s="743" t="s">
        <v>619</v>
      </c>
      <c r="Q105"/>
      <c r="R105" s="5">
        <f t="shared" si="85"/>
        <v>9</v>
      </c>
      <c r="S105" s="5">
        <f t="shared" si="64"/>
        <v>1.5502222222222222</v>
      </c>
      <c r="T105" s="5">
        <f t="shared" si="80"/>
        <v>16</v>
      </c>
      <c r="U105" s="5">
        <f t="shared" si="86"/>
        <v>0</v>
      </c>
      <c r="V105" s="5">
        <f t="shared" si="87"/>
        <v>0</v>
      </c>
      <c r="W105" s="194">
        <f t="shared" si="81"/>
        <v>11</v>
      </c>
      <c r="X105" s="196" t="str">
        <f t="shared" si="82"/>
        <v>Discharge</v>
      </c>
      <c r="Y105" s="194">
        <f t="shared" si="83"/>
        <v>11</v>
      </c>
      <c r="Z105" s="196" t="str">
        <f t="shared" si="84"/>
        <v>IR+HC</v>
      </c>
      <c r="AA105" s="1391" t="str">
        <f>A105</f>
        <v>Croydon</v>
      </c>
      <c r="AB105" t="str">
        <f t="shared" si="51"/>
        <v>PEFCN</v>
      </c>
    </row>
    <row r="106" spans="1:28">
      <c r="A106" s="95" t="str">
        <f>'Plant loading'!A102</f>
        <v>Croydon</v>
      </c>
      <c r="B106" s="95" t="str">
        <f>'Plant loading'!B102</f>
        <v>PEGCN</v>
      </c>
      <c r="C106" s="96">
        <f>('Plant loading'!E102*54.5)/1000</f>
        <v>18.966000000000001</v>
      </c>
      <c r="D106" s="97" t="str">
        <f t="shared" si="79"/>
        <v>7 hours</v>
      </c>
      <c r="E106" s="342">
        <v>44896</v>
      </c>
      <c r="F106" s="342">
        <v>44896</v>
      </c>
      <c r="G106" s="342">
        <v>44896</v>
      </c>
      <c r="H106" s="342">
        <v>44896</v>
      </c>
      <c r="I106" s="342">
        <v>44896</v>
      </c>
      <c r="J106" s="342">
        <v>44896</v>
      </c>
      <c r="K106" s="342">
        <v>44896</v>
      </c>
      <c r="L106" s="342">
        <v>44896</v>
      </c>
      <c r="M106" s="342">
        <v>44896</v>
      </c>
      <c r="N106" s="342"/>
      <c r="O106" s="342"/>
      <c r="P106" s="342" t="s">
        <v>619</v>
      </c>
      <c r="Q106"/>
      <c r="R106" s="5">
        <f t="shared" si="85"/>
        <v>9</v>
      </c>
      <c r="S106" s="5">
        <f t="shared" si="64"/>
        <v>2.1073333333333335</v>
      </c>
      <c r="T106" s="5">
        <f t="shared" si="80"/>
        <v>15</v>
      </c>
      <c r="U106" s="5">
        <f t="shared" si="86"/>
        <v>0</v>
      </c>
      <c r="V106" s="5">
        <f t="shared" si="87"/>
        <v>0</v>
      </c>
      <c r="W106" s="194">
        <f t="shared" si="81"/>
        <v>11</v>
      </c>
      <c r="X106" s="196" t="str">
        <f t="shared" si="82"/>
        <v>Discharge</v>
      </c>
      <c r="Y106" s="194">
        <f t="shared" si="83"/>
        <v>11</v>
      </c>
      <c r="Z106" s="196" t="str">
        <f t="shared" si="84"/>
        <v>IR+HC</v>
      </c>
      <c r="AA106" s="1391"/>
      <c r="AB106" t="str">
        <f t="shared" si="51"/>
        <v>PEGCN</v>
      </c>
    </row>
    <row r="107" spans="1:28">
      <c r="A107" s="748" t="str">
        <f>'Plant loading'!A103</f>
        <v>Glasgow TXO</v>
      </c>
      <c r="B107" s="748" t="str">
        <f>'Plant loading'!B103</f>
        <v>PEJGW</v>
      </c>
      <c r="C107" s="749">
        <f>('Plant loading'!E103*54.5)/1000</f>
        <v>4.8505000000000003</v>
      </c>
      <c r="D107" s="750" t="str">
        <f t="shared" si="79"/>
        <v>6 hours</v>
      </c>
      <c r="E107" s="743">
        <v>44440</v>
      </c>
      <c r="F107" s="743">
        <v>44440</v>
      </c>
      <c r="G107" s="743"/>
      <c r="H107" s="743"/>
      <c r="I107" s="743"/>
      <c r="J107" s="743"/>
      <c r="K107" s="743"/>
      <c r="L107" s="743"/>
      <c r="M107" s="743"/>
      <c r="N107" s="743"/>
      <c r="O107" s="743"/>
      <c r="P107" s="743" t="s">
        <v>619</v>
      </c>
      <c r="Q107"/>
      <c r="R107" s="5">
        <f t="shared" si="85"/>
        <v>2</v>
      </c>
      <c r="S107" s="5">
        <f t="shared" si="64"/>
        <v>2.4252500000000001</v>
      </c>
      <c r="T107" s="5">
        <f t="shared" si="80"/>
        <v>14</v>
      </c>
      <c r="U107" s="5">
        <f t="shared" si="86"/>
        <v>0</v>
      </c>
      <c r="V107" s="5">
        <f t="shared" si="87"/>
        <v>0</v>
      </c>
      <c r="W107" s="194">
        <f t="shared" ref="W107:W122" si="88">MATCH($E107,$B$177:$Q$177,1)</f>
        <v>9</v>
      </c>
      <c r="X107" s="195" t="str">
        <f t="shared" si="82"/>
        <v>IR+HC</v>
      </c>
      <c r="Y107" s="194">
        <f t="shared" ref="Y107:Y122" si="89">MATCH($E107,$B$183:$S$183,1)</f>
        <v>9</v>
      </c>
      <c r="Z107" s="195" t="str">
        <f t="shared" si="84"/>
        <v>Discharge</v>
      </c>
      <c r="AA107" s="1390" t="str">
        <f>A107</f>
        <v>Glasgow TXO</v>
      </c>
      <c r="AB107" t="str">
        <f t="shared" si="51"/>
        <v>PEJGW</v>
      </c>
    </row>
    <row r="108" spans="1:28">
      <c r="A108" s="92" t="str">
        <f>'Plant loading'!A104</f>
        <v>Glasgow TXO</v>
      </c>
      <c r="B108" s="92" t="str">
        <f>'Plant loading'!B104</f>
        <v>PEKGW</v>
      </c>
      <c r="C108" s="93">
        <f>('Plant loading'!E104*54.5)/1000</f>
        <v>4.6870000000000003</v>
      </c>
      <c r="D108" s="94" t="str">
        <f t="shared" si="79"/>
        <v>6 hours</v>
      </c>
      <c r="E108" s="342">
        <v>44440</v>
      </c>
      <c r="F108" s="342">
        <v>44440</v>
      </c>
      <c r="G108" s="342"/>
      <c r="H108" s="342"/>
      <c r="I108" s="342"/>
      <c r="J108" s="342"/>
      <c r="K108" s="342"/>
      <c r="L108" s="342"/>
      <c r="M108" s="342"/>
      <c r="N108" s="342"/>
      <c r="O108" s="342"/>
      <c r="P108" s="342" t="s">
        <v>619</v>
      </c>
      <c r="Q108"/>
      <c r="R108" s="5">
        <f t="shared" si="85"/>
        <v>2</v>
      </c>
      <c r="S108" s="5">
        <f t="shared" si="64"/>
        <v>2.3435000000000001</v>
      </c>
      <c r="T108" s="5">
        <f t="shared" si="80"/>
        <v>14</v>
      </c>
      <c r="U108" s="5">
        <f t="shared" si="86"/>
        <v>0</v>
      </c>
      <c r="V108" s="5">
        <f t="shared" si="87"/>
        <v>0</v>
      </c>
      <c r="W108" s="194">
        <f t="shared" si="88"/>
        <v>9</v>
      </c>
      <c r="X108" s="195" t="str">
        <f t="shared" si="82"/>
        <v>IR+HC</v>
      </c>
      <c r="Y108" s="194">
        <f t="shared" si="89"/>
        <v>9</v>
      </c>
      <c r="Z108" s="195" t="str">
        <f t="shared" si="84"/>
        <v>Discharge</v>
      </c>
      <c r="AA108" s="1390"/>
      <c r="AB108" t="str">
        <f t="shared" si="51"/>
        <v>PEKGW</v>
      </c>
    </row>
    <row r="109" spans="1:28">
      <c r="A109" s="740" t="str">
        <f>'Plant loading'!A105</f>
        <v>Leicester</v>
      </c>
      <c r="B109" s="740" t="str">
        <f>'Plant loading'!B105</f>
        <v>PEFLR</v>
      </c>
      <c r="C109" s="741">
        <f>('Plant loading'!E105*54.5)/1000</f>
        <v>33.027000000000001</v>
      </c>
      <c r="D109" s="742" t="str">
        <f t="shared" si="79"/>
        <v>3 hours</v>
      </c>
      <c r="E109" s="743">
        <v>44531</v>
      </c>
      <c r="F109" s="743">
        <v>44531</v>
      </c>
      <c r="G109" s="743">
        <v>44531</v>
      </c>
      <c r="H109" s="743">
        <v>44531</v>
      </c>
      <c r="I109" s="743">
        <v>44531</v>
      </c>
      <c r="J109" s="743">
        <v>44531</v>
      </c>
      <c r="K109" s="743">
        <v>44531</v>
      </c>
      <c r="L109" s="743">
        <v>44531</v>
      </c>
      <c r="M109" s="743">
        <v>44531</v>
      </c>
      <c r="N109" s="743"/>
      <c r="O109" s="743"/>
      <c r="P109" s="743" t="s">
        <v>619</v>
      </c>
      <c r="Q109"/>
      <c r="R109" s="5">
        <f t="shared" si="85"/>
        <v>9</v>
      </c>
      <c r="S109" s="5">
        <f t="shared" si="64"/>
        <v>3.6696666666666666</v>
      </c>
      <c r="T109" s="5">
        <f t="shared" si="80"/>
        <v>11</v>
      </c>
      <c r="U109" s="5">
        <f t="shared" si="86"/>
        <v>0</v>
      </c>
      <c r="V109" s="5">
        <f t="shared" si="87"/>
        <v>0</v>
      </c>
      <c r="W109" s="194">
        <f t="shared" si="88"/>
        <v>9</v>
      </c>
      <c r="X109" s="196" t="str">
        <f t="shared" si="82"/>
        <v>IR+HC</v>
      </c>
      <c r="Y109" s="194">
        <f t="shared" si="89"/>
        <v>9</v>
      </c>
      <c r="Z109" s="196" t="str">
        <f t="shared" si="84"/>
        <v>Discharge</v>
      </c>
      <c r="AA109" s="1391" t="str">
        <f>A109</f>
        <v>Leicester</v>
      </c>
      <c r="AB109" t="str">
        <f t="shared" si="51"/>
        <v>PEFLR</v>
      </c>
    </row>
    <row r="110" spans="1:28">
      <c r="A110" s="95" t="str">
        <f>'Plant loading'!A106</f>
        <v>Leicester</v>
      </c>
      <c r="B110" s="95" t="str">
        <f>'Plant loading'!B106</f>
        <v>PEGLR</v>
      </c>
      <c r="C110" s="96">
        <f>('Plant loading'!E106*54.5)/1000</f>
        <v>28.067499999999999</v>
      </c>
      <c r="D110" s="97" t="str">
        <f t="shared" si="79"/>
        <v>4 hours</v>
      </c>
      <c r="E110" s="342">
        <v>44866</v>
      </c>
      <c r="F110" s="342">
        <v>44866</v>
      </c>
      <c r="G110" s="342">
        <v>44866</v>
      </c>
      <c r="H110" s="342">
        <v>44866</v>
      </c>
      <c r="I110" s="342">
        <v>44866</v>
      </c>
      <c r="J110" s="342">
        <v>44866</v>
      </c>
      <c r="K110" s="342">
        <v>44866</v>
      </c>
      <c r="L110" s="342">
        <v>44866</v>
      </c>
      <c r="M110" s="342">
        <v>44866</v>
      </c>
      <c r="N110" s="342"/>
      <c r="O110" s="342"/>
      <c r="P110" s="342" t="s">
        <v>619</v>
      </c>
      <c r="Q110"/>
      <c r="R110" s="5">
        <f t="shared" si="85"/>
        <v>9</v>
      </c>
      <c r="S110" s="5">
        <f t="shared" si="64"/>
        <v>3.118611111111111</v>
      </c>
      <c r="T110" s="5">
        <f t="shared" si="80"/>
        <v>12</v>
      </c>
      <c r="U110" s="5">
        <f t="shared" si="86"/>
        <v>0</v>
      </c>
      <c r="V110" s="5">
        <f t="shared" si="87"/>
        <v>0</v>
      </c>
      <c r="W110" s="194">
        <f t="shared" si="88"/>
        <v>11</v>
      </c>
      <c r="X110" s="196" t="str">
        <f t="shared" si="82"/>
        <v>Discharge</v>
      </c>
      <c r="Y110" s="194">
        <f t="shared" si="89"/>
        <v>11</v>
      </c>
      <c r="Z110" s="196" t="str">
        <f t="shared" si="84"/>
        <v>IR+HC</v>
      </c>
      <c r="AA110" s="1391"/>
      <c r="AB110" t="str">
        <f t="shared" si="51"/>
        <v>PEGLR</v>
      </c>
    </row>
    <row r="111" spans="1:28">
      <c r="A111" s="748" t="str">
        <f>'Plant loading'!A107</f>
        <v>Newbury</v>
      </c>
      <c r="B111" s="748" t="str">
        <f>'Plant loading'!B107</f>
        <v>PEGNY</v>
      </c>
      <c r="C111" s="749">
        <f>('Plant loading'!E107*54.5)/1000</f>
        <v>17.276499999999999</v>
      </c>
      <c r="D111" s="750" t="str">
        <f t="shared" si="79"/>
        <v>8 hours</v>
      </c>
      <c r="E111" s="743">
        <v>44531</v>
      </c>
      <c r="F111" s="743">
        <v>44531</v>
      </c>
      <c r="G111" s="743">
        <v>44531</v>
      </c>
      <c r="H111" s="743">
        <v>44531</v>
      </c>
      <c r="I111" s="743">
        <v>44531</v>
      </c>
      <c r="J111" s="743">
        <v>44531</v>
      </c>
      <c r="K111" s="743">
        <v>44531</v>
      </c>
      <c r="L111" s="743">
        <v>44531</v>
      </c>
      <c r="M111" s="743">
        <v>44531</v>
      </c>
      <c r="N111" s="743"/>
      <c r="O111" s="743"/>
      <c r="P111" s="743" t="s">
        <v>619</v>
      </c>
      <c r="Q111"/>
      <c r="R111" s="5">
        <f t="shared" si="85"/>
        <v>9</v>
      </c>
      <c r="S111" s="5">
        <f t="shared" si="64"/>
        <v>1.9196111111111109</v>
      </c>
      <c r="T111" s="5">
        <f t="shared" si="80"/>
        <v>16</v>
      </c>
      <c r="U111" s="5">
        <f t="shared" si="86"/>
        <v>0</v>
      </c>
      <c r="V111" s="5">
        <f t="shared" si="87"/>
        <v>0</v>
      </c>
      <c r="W111" s="194">
        <f t="shared" si="88"/>
        <v>9</v>
      </c>
      <c r="X111" s="195" t="str">
        <f t="shared" si="82"/>
        <v>IR+HC</v>
      </c>
      <c r="Y111" s="194">
        <f t="shared" si="89"/>
        <v>9</v>
      </c>
      <c r="Z111" s="195" t="str">
        <f t="shared" si="84"/>
        <v>Discharge</v>
      </c>
      <c r="AA111" s="1390" t="str">
        <f>A111</f>
        <v>Newbury</v>
      </c>
      <c r="AB111" t="str">
        <f t="shared" si="51"/>
        <v>PEGNY</v>
      </c>
    </row>
    <row r="112" spans="1:28">
      <c r="A112" s="92" t="str">
        <f>'Plant loading'!A108</f>
        <v>Newbury</v>
      </c>
      <c r="B112" s="92" t="str">
        <f>'Plant loading'!B108</f>
        <v>PEHNY</v>
      </c>
      <c r="C112" s="93">
        <f>('Plant loading'!E108*54.5)/1000</f>
        <v>15.968500000000001</v>
      </c>
      <c r="D112" s="94" t="str">
        <f t="shared" si="79"/>
        <v>8 hours</v>
      </c>
      <c r="E112" s="342">
        <v>44531</v>
      </c>
      <c r="F112" s="342">
        <v>44531</v>
      </c>
      <c r="G112" s="342">
        <v>44531</v>
      </c>
      <c r="H112" s="342">
        <v>44531</v>
      </c>
      <c r="I112" s="342">
        <v>44531</v>
      </c>
      <c r="J112" s="342">
        <v>44531</v>
      </c>
      <c r="K112" s="342">
        <v>44531</v>
      </c>
      <c r="L112" s="342">
        <v>44531</v>
      </c>
      <c r="M112" s="342">
        <v>44531</v>
      </c>
      <c r="N112" s="342"/>
      <c r="O112" s="342"/>
      <c r="P112" s="342" t="s">
        <v>619</v>
      </c>
      <c r="Q112"/>
      <c r="R112" s="5">
        <f t="shared" si="85"/>
        <v>9</v>
      </c>
      <c r="S112" s="5">
        <f t="shared" si="64"/>
        <v>1.7742777777777778</v>
      </c>
      <c r="T112" s="5">
        <f t="shared" si="80"/>
        <v>16</v>
      </c>
      <c r="U112" s="5">
        <f t="shared" si="86"/>
        <v>0</v>
      </c>
      <c r="V112" s="5">
        <f t="shared" si="87"/>
        <v>0</v>
      </c>
      <c r="W112" s="194">
        <f t="shared" si="88"/>
        <v>9</v>
      </c>
      <c r="X112" s="195" t="str">
        <f t="shared" si="82"/>
        <v>IR+HC</v>
      </c>
      <c r="Y112" s="194">
        <f t="shared" si="89"/>
        <v>9</v>
      </c>
      <c r="Z112" s="195" t="str">
        <f t="shared" si="84"/>
        <v>Discharge</v>
      </c>
      <c r="AA112" s="1390"/>
      <c r="AB112" t="str">
        <f t="shared" si="51"/>
        <v>PEHNY</v>
      </c>
    </row>
    <row r="113" spans="1:28">
      <c r="A113" s="740" t="str">
        <f>'Plant loading'!A109</f>
        <v>Newcastle</v>
      </c>
      <c r="B113" s="740" t="str">
        <f>'Plant loading'!B109</f>
        <v>PEENE</v>
      </c>
      <c r="C113" s="741">
        <f>('Plant loading'!E109*54.5)/1000</f>
        <v>15.532500000000001</v>
      </c>
      <c r="D113" s="742" t="str">
        <f t="shared" si="79"/>
        <v>8 hours</v>
      </c>
      <c r="E113" s="743">
        <v>44440</v>
      </c>
      <c r="F113" s="743">
        <v>44440</v>
      </c>
      <c r="G113" s="743">
        <v>44440</v>
      </c>
      <c r="H113" s="743">
        <v>44440</v>
      </c>
      <c r="I113" s="743">
        <v>44440</v>
      </c>
      <c r="J113" s="743">
        <v>44440</v>
      </c>
      <c r="K113" s="743">
        <v>44440</v>
      </c>
      <c r="L113" s="743">
        <v>43891</v>
      </c>
      <c r="M113" s="743">
        <v>43891</v>
      </c>
      <c r="N113" s="743"/>
      <c r="O113" s="743"/>
      <c r="P113" s="743" t="s">
        <v>619</v>
      </c>
      <c r="Q113"/>
      <c r="R113" s="5">
        <f t="shared" si="85"/>
        <v>9</v>
      </c>
      <c r="S113" s="5">
        <f t="shared" ref="S113:S122" si="90">C113/R113</f>
        <v>1.7258333333333333</v>
      </c>
      <c r="T113" s="5">
        <f t="shared" si="80"/>
        <v>16</v>
      </c>
      <c r="U113" s="5">
        <f t="shared" si="86"/>
        <v>0</v>
      </c>
      <c r="V113" s="5">
        <f t="shared" si="87"/>
        <v>0</v>
      </c>
      <c r="W113" s="194">
        <f t="shared" si="88"/>
        <v>9</v>
      </c>
      <c r="X113" s="196" t="str">
        <f t="shared" si="82"/>
        <v>IR+HC</v>
      </c>
      <c r="Y113" s="194">
        <f t="shared" si="89"/>
        <v>9</v>
      </c>
      <c r="Z113" s="196" t="str">
        <f t="shared" si="84"/>
        <v>Discharge</v>
      </c>
      <c r="AA113" s="1391" t="str">
        <f>A113</f>
        <v>Newcastle</v>
      </c>
      <c r="AB113" t="str">
        <f t="shared" si="51"/>
        <v>PEENE</v>
      </c>
    </row>
    <row r="114" spans="1:28">
      <c r="A114" s="95" t="str">
        <f>'Plant loading'!A110</f>
        <v>Newcastle</v>
      </c>
      <c r="B114" s="95" t="str">
        <f>'Plant loading'!B110</f>
        <v>PEFNE</v>
      </c>
      <c r="C114" s="96">
        <f>('Plant loading'!E110*54.5)/1000</f>
        <v>20.2195</v>
      </c>
      <c r="D114" s="97" t="str">
        <f t="shared" ref="D114:D122" si="91">CHOOSE(T114,$C$130,$D$130,$E$130,$F$130,$G$130,$H$130,$I$130,$J$130,$K$130,$L$130,$M$130,$N$130,$O$130,$P$130,$Q$130,$R$130)</f>
        <v>5 hours</v>
      </c>
      <c r="E114" s="342">
        <v>44440</v>
      </c>
      <c r="F114" s="342">
        <v>44440</v>
      </c>
      <c r="G114" s="342">
        <v>44440</v>
      </c>
      <c r="H114" s="342">
        <v>44440</v>
      </c>
      <c r="I114" s="342">
        <v>44440</v>
      </c>
      <c r="J114" s="342">
        <v>44440</v>
      </c>
      <c r="K114" s="342">
        <v>44440</v>
      </c>
      <c r="L114" s="342"/>
      <c r="M114" s="342"/>
      <c r="N114" s="342"/>
      <c r="O114" s="342"/>
      <c r="P114" s="342" t="s">
        <v>619</v>
      </c>
      <c r="Q114"/>
      <c r="R114" s="5">
        <f t="shared" si="85"/>
        <v>7</v>
      </c>
      <c r="S114" s="5">
        <f t="shared" si="90"/>
        <v>2.8885000000000001</v>
      </c>
      <c r="T114" s="5">
        <f t="shared" ref="T114:T122" si="92">MATCH(S114,$C$134:$R$134,-1)</f>
        <v>13</v>
      </c>
      <c r="U114" s="5">
        <f t="shared" si="86"/>
        <v>0</v>
      </c>
      <c r="V114" s="5">
        <f t="shared" si="87"/>
        <v>0</v>
      </c>
      <c r="W114" s="194">
        <f t="shared" si="88"/>
        <v>9</v>
      </c>
      <c r="X114" s="196" t="str">
        <f t="shared" ref="X114:X122" si="93">CHOOSE(ROUNDUP((W114/2),0),$B$179,$D$179,$F$179,$H$179,$J$179,$L$179,$N$179,$P$179)</f>
        <v>IR+HC</v>
      </c>
      <c r="Y114" s="194">
        <f t="shared" si="89"/>
        <v>9</v>
      </c>
      <c r="Z114" s="196" t="str">
        <f t="shared" ref="Z114:Z122" si="94">CHOOSE(ROUNDUP((Y114/2),0),$B$185,$D$185,$F$185,$H$185,$J$185,$L$185,$N$185,$P$185,$R$185)</f>
        <v>Discharge</v>
      </c>
      <c r="AA114" s="1391"/>
      <c r="AB114" t="str">
        <f t="shared" si="51"/>
        <v>PEFNE</v>
      </c>
    </row>
    <row r="115" spans="1:28">
      <c r="A115" s="95" t="str">
        <f>'Plant loading'!A111</f>
        <v>Newcastle</v>
      </c>
      <c r="B115" s="95" t="str">
        <f>'Plant loading'!B111</f>
        <v>PEGNE</v>
      </c>
      <c r="C115" s="96">
        <f>('Plant loading'!E111*54.5)/1000</f>
        <v>8.1750000000000007</v>
      </c>
      <c r="D115" s="97" t="str">
        <f t="shared" si="91"/>
        <v>8 hours</v>
      </c>
      <c r="E115" s="342">
        <v>44440</v>
      </c>
      <c r="F115" s="342">
        <v>44440</v>
      </c>
      <c r="G115" s="342">
        <v>44440</v>
      </c>
      <c r="H115" s="342">
        <v>44440</v>
      </c>
      <c r="I115" s="342">
        <v>44440</v>
      </c>
      <c r="J115" s="342">
        <v>44440</v>
      </c>
      <c r="K115" s="342">
        <v>44440</v>
      </c>
      <c r="L115" s="342"/>
      <c r="M115" s="342"/>
      <c r="N115" s="342"/>
      <c r="O115" s="342"/>
      <c r="P115" s="342" t="s">
        <v>619</v>
      </c>
      <c r="Q115"/>
      <c r="R115" s="5">
        <f t="shared" si="85"/>
        <v>7</v>
      </c>
      <c r="S115" s="5">
        <f t="shared" si="90"/>
        <v>1.1678571428571429</v>
      </c>
      <c r="T115" s="5">
        <f t="shared" si="92"/>
        <v>16</v>
      </c>
      <c r="U115" s="5">
        <f t="shared" si="86"/>
        <v>0</v>
      </c>
      <c r="V115" s="5">
        <f t="shared" si="87"/>
        <v>0</v>
      </c>
      <c r="W115" s="194">
        <f t="shared" si="88"/>
        <v>9</v>
      </c>
      <c r="X115" s="196" t="str">
        <f t="shared" si="93"/>
        <v>IR+HC</v>
      </c>
      <c r="Y115" s="194">
        <f t="shared" si="89"/>
        <v>9</v>
      </c>
      <c r="Z115" s="196" t="str">
        <f t="shared" si="94"/>
        <v>Discharge</v>
      </c>
      <c r="AA115" s="1391"/>
      <c r="AB115" t="str">
        <f t="shared" si="51"/>
        <v>PEGNE</v>
      </c>
    </row>
    <row r="116" spans="1:28">
      <c r="A116" s="748" t="str">
        <f>'Plant loading'!A112</f>
        <v>Oxford</v>
      </c>
      <c r="B116" s="748" t="str">
        <f>'Plant loading'!B112</f>
        <v>PECOD</v>
      </c>
      <c r="C116" s="749">
        <f>('Plant loading'!E112*54.5)/1000</f>
        <v>11.608499999999999</v>
      </c>
      <c r="D116" s="750" t="str">
        <f t="shared" si="91"/>
        <v>8 hours</v>
      </c>
      <c r="E116" s="743">
        <v>44075</v>
      </c>
      <c r="F116" s="743">
        <v>44075</v>
      </c>
      <c r="G116" s="743">
        <v>44075</v>
      </c>
      <c r="H116" s="743">
        <v>44075</v>
      </c>
      <c r="I116" s="743">
        <v>44075</v>
      </c>
      <c r="J116" s="743">
        <v>44075</v>
      </c>
      <c r="K116" s="743"/>
      <c r="L116" s="743"/>
      <c r="M116" s="743"/>
      <c r="N116" s="743"/>
      <c r="O116" s="743"/>
      <c r="P116" s="743" t="s">
        <v>619</v>
      </c>
      <c r="Q116">
        <v>1500700866</v>
      </c>
      <c r="R116" s="5">
        <f t="shared" si="85"/>
        <v>6</v>
      </c>
      <c r="S116" s="5">
        <f t="shared" si="90"/>
        <v>1.93475</v>
      </c>
      <c r="T116" s="5">
        <f t="shared" si="92"/>
        <v>16</v>
      </c>
      <c r="U116" s="5">
        <f t="shared" si="86"/>
        <v>0</v>
      </c>
      <c r="V116" s="5">
        <f t="shared" si="87"/>
        <v>0</v>
      </c>
      <c r="W116" s="194">
        <f t="shared" si="88"/>
        <v>7</v>
      </c>
      <c r="X116" s="195" t="str">
        <f t="shared" si="93"/>
        <v>Discharge</v>
      </c>
      <c r="Y116" s="194">
        <f t="shared" si="89"/>
        <v>7</v>
      </c>
      <c r="Z116" s="195" t="str">
        <f t="shared" si="94"/>
        <v>IR+HC</v>
      </c>
      <c r="AA116" s="1390" t="str">
        <f>A116</f>
        <v>Oxford</v>
      </c>
      <c r="AB116" t="str">
        <f t="shared" si="51"/>
        <v>PECOD</v>
      </c>
    </row>
    <row r="117" spans="1:28">
      <c r="A117" s="92" t="str">
        <f>'Plant loading'!A113</f>
        <v>Oxford</v>
      </c>
      <c r="B117" s="92" t="str">
        <f>'Plant loading'!B113</f>
        <v>PEFOD</v>
      </c>
      <c r="C117" s="93">
        <f>('Plant loading'!E113*54.5)/1000</f>
        <v>7.5209999999999999</v>
      </c>
      <c r="D117" s="94" t="str">
        <f t="shared" si="91"/>
        <v>8 hours</v>
      </c>
      <c r="E117" s="342">
        <v>44075</v>
      </c>
      <c r="F117" s="342">
        <v>44075</v>
      </c>
      <c r="G117" s="342">
        <v>44075</v>
      </c>
      <c r="H117" s="342">
        <v>44075</v>
      </c>
      <c r="I117" s="342">
        <v>44075</v>
      </c>
      <c r="J117" s="342">
        <v>44075</v>
      </c>
      <c r="K117" s="342"/>
      <c r="L117" s="342"/>
      <c r="M117" s="342"/>
      <c r="N117" s="342"/>
      <c r="O117" s="342"/>
      <c r="P117" s="342" t="s">
        <v>619</v>
      </c>
      <c r="Q117">
        <v>1500700866</v>
      </c>
      <c r="R117" s="5">
        <f t="shared" si="85"/>
        <v>6</v>
      </c>
      <c r="S117" s="5">
        <f t="shared" si="90"/>
        <v>1.2535000000000001</v>
      </c>
      <c r="T117" s="5">
        <f t="shared" si="92"/>
        <v>16</v>
      </c>
      <c r="U117" s="5">
        <f t="shared" si="86"/>
        <v>0</v>
      </c>
      <c r="V117" s="5">
        <f t="shared" si="87"/>
        <v>0</v>
      </c>
      <c r="W117" s="194">
        <f t="shared" si="88"/>
        <v>7</v>
      </c>
      <c r="X117" s="195" t="str">
        <f t="shared" si="93"/>
        <v>Discharge</v>
      </c>
      <c r="Y117" s="194">
        <f t="shared" si="89"/>
        <v>7</v>
      </c>
      <c r="Z117" s="195" t="str">
        <f t="shared" si="94"/>
        <v>IR+HC</v>
      </c>
      <c r="AA117" s="1390"/>
      <c r="AB117" t="str">
        <f t="shared" si="51"/>
        <v>PEFOD</v>
      </c>
    </row>
    <row r="118" spans="1:28">
      <c r="A118" s="740" t="str">
        <f>'Plant loading'!A114</f>
        <v>Stafford</v>
      </c>
      <c r="B118" s="740" t="str">
        <f>'Plant loading'!B114</f>
        <v>PEESD</v>
      </c>
      <c r="C118" s="741">
        <f>('Plant loading'!E114*54.5)/1000</f>
        <v>21.254999999999999</v>
      </c>
      <c r="D118" s="742" t="str">
        <f t="shared" si="91"/>
        <v>6 hours</v>
      </c>
      <c r="E118" s="743">
        <v>42887</v>
      </c>
      <c r="F118" s="743">
        <v>42887</v>
      </c>
      <c r="G118" s="743">
        <v>42887</v>
      </c>
      <c r="H118" s="743">
        <v>42887</v>
      </c>
      <c r="I118" s="743">
        <v>42887</v>
      </c>
      <c r="J118" s="743">
        <v>42887</v>
      </c>
      <c r="K118" s="743">
        <v>42887</v>
      </c>
      <c r="L118" s="743">
        <v>42887</v>
      </c>
      <c r="M118" s="743">
        <v>42887</v>
      </c>
      <c r="N118" s="743"/>
      <c r="O118" s="743"/>
      <c r="P118" s="743" t="s">
        <v>620</v>
      </c>
      <c r="Q118">
        <v>1500700866</v>
      </c>
      <c r="R118" s="5">
        <f t="shared" si="85"/>
        <v>9</v>
      </c>
      <c r="S118" s="5">
        <f t="shared" si="90"/>
        <v>2.3616666666666664</v>
      </c>
      <c r="T118" s="5">
        <f t="shared" si="92"/>
        <v>14</v>
      </c>
      <c r="U118" s="5">
        <f t="shared" si="86"/>
        <v>0</v>
      </c>
      <c r="V118" s="5">
        <f t="shared" si="87"/>
        <v>9</v>
      </c>
      <c r="W118" s="194">
        <f t="shared" si="88"/>
        <v>1</v>
      </c>
      <c r="X118" s="196" t="str">
        <f t="shared" si="93"/>
        <v>Replacement Due</v>
      </c>
      <c r="Y118" s="194">
        <f t="shared" si="89"/>
        <v>1</v>
      </c>
      <c r="Z118" s="196" t="str">
        <f t="shared" si="94"/>
        <v>IR+HC</v>
      </c>
      <c r="AA118" s="1391" t="str">
        <f>A118</f>
        <v>Stafford</v>
      </c>
      <c r="AB118" t="str">
        <f t="shared" si="51"/>
        <v>PEESD</v>
      </c>
    </row>
    <row r="119" spans="1:28">
      <c r="A119" s="95" t="str">
        <f>'Plant loading'!A115</f>
        <v>Stafford</v>
      </c>
      <c r="B119" s="95" t="str">
        <f>'Plant loading'!B115</f>
        <v>PEGSD</v>
      </c>
      <c r="C119" s="96">
        <f>('Plant loading'!E115*54.5)/1000</f>
        <v>22.998999999999999</v>
      </c>
      <c r="D119" s="97" t="str">
        <f t="shared" si="91"/>
        <v>5 hours</v>
      </c>
      <c r="E119" s="342">
        <v>42887</v>
      </c>
      <c r="F119" s="342">
        <v>42887</v>
      </c>
      <c r="G119" s="342">
        <v>42887</v>
      </c>
      <c r="H119" s="342">
        <v>42887</v>
      </c>
      <c r="I119" s="342">
        <v>42887</v>
      </c>
      <c r="J119" s="342">
        <v>42887</v>
      </c>
      <c r="K119" s="342">
        <v>42887</v>
      </c>
      <c r="L119" s="342">
        <v>42887</v>
      </c>
      <c r="M119" s="342">
        <v>42887</v>
      </c>
      <c r="N119" s="342"/>
      <c r="O119" s="342"/>
      <c r="P119" s="342" t="s">
        <v>620</v>
      </c>
      <c r="Q119">
        <v>1500700866</v>
      </c>
      <c r="R119" s="5">
        <f t="shared" si="85"/>
        <v>9</v>
      </c>
      <c r="S119" s="5">
        <f t="shared" si="90"/>
        <v>2.5554444444444444</v>
      </c>
      <c r="T119" s="5">
        <f t="shared" si="92"/>
        <v>13</v>
      </c>
      <c r="U119" s="5">
        <f t="shared" si="86"/>
        <v>0</v>
      </c>
      <c r="V119" s="5">
        <f t="shared" si="87"/>
        <v>9</v>
      </c>
      <c r="W119" s="194">
        <f t="shared" si="88"/>
        <v>1</v>
      </c>
      <c r="X119" s="196" t="str">
        <f t="shared" si="93"/>
        <v>Replacement Due</v>
      </c>
      <c r="Y119" s="194">
        <f t="shared" si="89"/>
        <v>1</v>
      </c>
      <c r="Z119" s="196" t="str">
        <f t="shared" si="94"/>
        <v>IR+HC</v>
      </c>
      <c r="AA119" s="1391"/>
      <c r="AB119" t="str">
        <f t="shared" si="51"/>
        <v>PEGSD</v>
      </c>
    </row>
    <row r="120" spans="1:28">
      <c r="A120" s="748" t="str">
        <f>'Plant loading'!A116</f>
        <v>Warrington TXO</v>
      </c>
      <c r="B120" s="748" t="str">
        <f>'Plant loading'!B116</f>
        <v>PELWN</v>
      </c>
      <c r="C120" s="749">
        <f>('Plant loading'!E116*54.5)/1000</f>
        <v>11.336</v>
      </c>
      <c r="D120" s="750" t="str">
        <f t="shared" si="91"/>
        <v>6 hours</v>
      </c>
      <c r="E120" s="743">
        <v>42887</v>
      </c>
      <c r="F120" s="743">
        <v>42887</v>
      </c>
      <c r="G120" s="743">
        <v>42887</v>
      </c>
      <c r="H120" s="743">
        <v>42887</v>
      </c>
      <c r="I120" s="743">
        <v>42887</v>
      </c>
      <c r="J120" s="743"/>
      <c r="K120" s="743"/>
      <c r="L120" s="743"/>
      <c r="M120" s="743"/>
      <c r="N120" s="743"/>
      <c r="O120" s="743"/>
      <c r="P120" s="743" t="s">
        <v>620</v>
      </c>
      <c r="Q120"/>
      <c r="R120" s="5">
        <f t="shared" si="85"/>
        <v>5</v>
      </c>
      <c r="S120" s="5">
        <f t="shared" si="90"/>
        <v>2.2671999999999999</v>
      </c>
      <c r="T120" s="5">
        <f t="shared" si="92"/>
        <v>14</v>
      </c>
      <c r="U120" s="5">
        <f t="shared" si="86"/>
        <v>0</v>
      </c>
      <c r="V120" s="5">
        <f t="shared" si="87"/>
        <v>5</v>
      </c>
      <c r="W120" s="194">
        <f t="shared" si="88"/>
        <v>1</v>
      </c>
      <c r="X120" s="195" t="str">
        <f t="shared" si="93"/>
        <v>Replacement Due</v>
      </c>
      <c r="Y120" s="194">
        <f t="shared" si="89"/>
        <v>1</v>
      </c>
      <c r="Z120" s="195" t="str">
        <f t="shared" si="94"/>
        <v>IR+HC</v>
      </c>
      <c r="AA120" s="1390" t="str">
        <f>A120</f>
        <v>Warrington TXO</v>
      </c>
      <c r="AB120" t="str">
        <f t="shared" si="51"/>
        <v>PELWN</v>
      </c>
    </row>
    <row r="121" spans="1:28">
      <c r="A121" s="92" t="str">
        <f>'Plant loading'!A117</f>
        <v>Warrington TXO</v>
      </c>
      <c r="B121" s="92" t="str">
        <f>'Plant loading'!B117</f>
        <v>PEMWN</v>
      </c>
      <c r="C121" s="93">
        <f>('Plant loading'!E117*54.5)/1000</f>
        <v>8.5020000000000007</v>
      </c>
      <c r="D121" s="94" t="str">
        <f t="shared" si="91"/>
        <v>8 hours</v>
      </c>
      <c r="E121" s="342">
        <v>42887</v>
      </c>
      <c r="F121" s="342">
        <v>42887</v>
      </c>
      <c r="G121" s="342">
        <v>42887</v>
      </c>
      <c r="H121" s="342">
        <v>42887</v>
      </c>
      <c r="I121" s="342">
        <v>42887</v>
      </c>
      <c r="J121" s="342"/>
      <c r="K121" s="342"/>
      <c r="L121" s="342"/>
      <c r="M121" s="342"/>
      <c r="N121" s="342"/>
      <c r="O121" s="342"/>
      <c r="P121" s="342" t="s">
        <v>620</v>
      </c>
      <c r="Q121"/>
      <c r="R121" s="5">
        <f t="shared" si="85"/>
        <v>5</v>
      </c>
      <c r="S121" s="5">
        <f t="shared" si="90"/>
        <v>1.7004000000000001</v>
      </c>
      <c r="T121" s="5">
        <f t="shared" si="92"/>
        <v>16</v>
      </c>
      <c r="U121" s="5">
        <f t="shared" si="86"/>
        <v>0</v>
      </c>
      <c r="V121" s="5">
        <f t="shared" si="87"/>
        <v>5</v>
      </c>
      <c r="W121" s="194">
        <f t="shared" si="88"/>
        <v>1</v>
      </c>
      <c r="X121" s="195" t="str">
        <f t="shared" si="93"/>
        <v>Replacement Due</v>
      </c>
      <c r="Y121" s="194">
        <f t="shared" si="89"/>
        <v>1</v>
      </c>
      <c r="Z121" s="195" t="str">
        <f t="shared" si="94"/>
        <v>IR+HC</v>
      </c>
      <c r="AA121" s="1390"/>
      <c r="AB121" t="str">
        <f t="shared" si="51"/>
        <v>PEMWN</v>
      </c>
    </row>
    <row r="122" spans="1:28">
      <c r="A122" s="753" t="str">
        <f>'Plant loading'!A118</f>
        <v>Warrington TXO</v>
      </c>
      <c r="B122" s="753" t="str">
        <f>'Plant loading'!B118</f>
        <v>PENWN</v>
      </c>
      <c r="C122" s="754">
        <f>('Plant loading'!E118*54.5)/1000</f>
        <v>19.728999999999999</v>
      </c>
      <c r="D122" s="755" t="str">
        <f t="shared" si="91"/>
        <v>3 hours</v>
      </c>
      <c r="E122" s="747">
        <v>42917</v>
      </c>
      <c r="F122" s="747">
        <v>42917</v>
      </c>
      <c r="G122" s="747">
        <v>42917</v>
      </c>
      <c r="H122" s="747">
        <v>42917</v>
      </c>
      <c r="I122" s="747">
        <v>42917</v>
      </c>
      <c r="J122" s="747"/>
      <c r="K122" s="747"/>
      <c r="L122" s="747"/>
      <c r="M122" s="747"/>
      <c r="N122" s="747"/>
      <c r="O122" s="747"/>
      <c r="P122" s="747" t="s">
        <v>620</v>
      </c>
      <c r="Q122">
        <v>1500547536</v>
      </c>
      <c r="R122" s="5">
        <f t="shared" si="85"/>
        <v>5</v>
      </c>
      <c r="S122" s="5">
        <f t="shared" si="90"/>
        <v>3.9457999999999998</v>
      </c>
      <c r="T122" s="5">
        <f t="shared" si="92"/>
        <v>11</v>
      </c>
      <c r="U122" s="5">
        <f t="shared" si="86"/>
        <v>0</v>
      </c>
      <c r="V122" s="5">
        <f t="shared" si="87"/>
        <v>5</v>
      </c>
      <c r="W122" s="194">
        <f t="shared" si="88"/>
        <v>1</v>
      </c>
      <c r="X122" s="195" t="str">
        <f t="shared" si="93"/>
        <v>Replacement Due</v>
      </c>
      <c r="Y122" s="194">
        <f t="shared" si="89"/>
        <v>1</v>
      </c>
      <c r="Z122" s="195" t="str">
        <f t="shared" si="94"/>
        <v>IR+HC</v>
      </c>
      <c r="AA122" s="1390"/>
      <c r="AB122" t="str">
        <f t="shared" si="51"/>
        <v>PENWN</v>
      </c>
    </row>
    <row r="123" spans="1:28">
      <c r="R123" s="795">
        <f>SUM(R8:R122)</f>
        <v>939</v>
      </c>
      <c r="S123" s="795">
        <f>SUM(S8:S122)</f>
        <v>415.82950674603183</v>
      </c>
      <c r="T123" s="795">
        <f>SUM(T8:T122)</f>
        <v>1374</v>
      </c>
      <c r="U123" s="795">
        <f>SUM(U8:U122)</f>
        <v>3</v>
      </c>
      <c r="V123" s="795">
        <f>SUM(V8:V122)</f>
        <v>80</v>
      </c>
    </row>
    <row r="125" spans="1:28">
      <c r="AA125" s="338" t="s">
        <v>621</v>
      </c>
    </row>
    <row r="126" spans="1:28">
      <c r="AA126" s="338" t="s">
        <v>622</v>
      </c>
    </row>
    <row r="128" spans="1:28">
      <c r="A128" s="1386" t="s">
        <v>623</v>
      </c>
      <c r="B128" s="1386"/>
    </row>
    <row r="130" spans="1:18" ht="14.45">
      <c r="A130" s="1419" t="s">
        <v>624</v>
      </c>
      <c r="B130" s="1420"/>
      <c r="C130" s="798" t="s">
        <v>625</v>
      </c>
      <c r="D130" s="798" t="s">
        <v>626</v>
      </c>
      <c r="E130" s="798" t="s">
        <v>627</v>
      </c>
      <c r="F130" s="798" t="s">
        <v>628</v>
      </c>
      <c r="G130" s="798" t="s">
        <v>629</v>
      </c>
      <c r="H130" s="798" t="s">
        <v>630</v>
      </c>
      <c r="I130" s="798" t="s">
        <v>631</v>
      </c>
      <c r="J130" s="798" t="s">
        <v>632</v>
      </c>
      <c r="K130" s="798" t="s">
        <v>633</v>
      </c>
      <c r="L130" s="798" t="s">
        <v>634</v>
      </c>
      <c r="M130" s="798" t="s">
        <v>635</v>
      </c>
      <c r="N130" s="798" t="s">
        <v>636</v>
      </c>
      <c r="O130" s="798" t="s">
        <v>637</v>
      </c>
      <c r="P130" s="798" t="s">
        <v>638</v>
      </c>
      <c r="Q130" s="798" t="s">
        <v>639</v>
      </c>
      <c r="R130" s="31" t="s">
        <v>640</v>
      </c>
    </row>
    <row r="131" spans="1:18" ht="26.25" customHeight="1">
      <c r="A131" s="1404" t="s">
        <v>641</v>
      </c>
      <c r="B131" s="1421"/>
      <c r="C131" s="5">
        <v>327</v>
      </c>
      <c r="D131" s="5">
        <v>298</v>
      </c>
      <c r="E131" s="5">
        <v>275</v>
      </c>
      <c r="F131" s="5">
        <v>253</v>
      </c>
      <c r="G131" s="5">
        <v>238.7</v>
      </c>
      <c r="H131" s="5">
        <v>224.3</v>
      </c>
      <c r="I131" s="5">
        <v>210</v>
      </c>
      <c r="J131" s="5">
        <v>150</v>
      </c>
      <c r="K131" s="5">
        <v>120</v>
      </c>
      <c r="L131" s="5">
        <v>102</v>
      </c>
      <c r="M131" s="5">
        <v>89.6</v>
      </c>
      <c r="N131" s="5">
        <v>71.3</v>
      </c>
      <c r="O131" s="5">
        <v>59.4</v>
      </c>
      <c r="P131" s="5">
        <v>50</v>
      </c>
      <c r="Q131" s="5">
        <v>43.8</v>
      </c>
      <c r="R131" s="29">
        <v>40.299999999999997</v>
      </c>
    </row>
    <row r="132" spans="1:18" ht="30.75" customHeight="1">
      <c r="A132" s="1404" t="s">
        <v>642</v>
      </c>
      <c r="B132" s="1421"/>
      <c r="C132" s="5">
        <v>336.2</v>
      </c>
      <c r="D132" s="5">
        <v>306.3</v>
      </c>
      <c r="E132" s="5">
        <v>282.7</v>
      </c>
      <c r="F132" s="5">
        <v>260.10000000000002</v>
      </c>
      <c r="G132" s="5">
        <v>245.4</v>
      </c>
      <c r="H132" s="5">
        <v>230.6</v>
      </c>
      <c r="I132" s="5">
        <v>215.9</v>
      </c>
      <c r="J132" s="5">
        <v>154.19999999999999</v>
      </c>
      <c r="K132" s="5">
        <v>123.4</v>
      </c>
      <c r="L132" s="5">
        <v>104.9</v>
      </c>
      <c r="M132" s="5">
        <v>92.1</v>
      </c>
      <c r="N132" s="5">
        <v>73.3</v>
      </c>
      <c r="O132" s="5">
        <v>61.1</v>
      </c>
      <c r="P132" s="5">
        <v>51.4</v>
      </c>
      <c r="Q132" s="5">
        <v>45</v>
      </c>
      <c r="R132" s="29">
        <v>41.4</v>
      </c>
    </row>
    <row r="133" spans="1:18" ht="33.75" customHeight="1">
      <c r="A133" s="1404" t="s">
        <v>643</v>
      </c>
      <c r="B133" s="1405"/>
      <c r="C133" s="5">
        <f t="shared" ref="C133:I134" si="95">((16*3)*C131)/1000</f>
        <v>15.696</v>
      </c>
      <c r="D133" s="5">
        <f t="shared" si="95"/>
        <v>14.304</v>
      </c>
      <c r="E133" s="5">
        <f t="shared" si="95"/>
        <v>13.2</v>
      </c>
      <c r="F133" s="5">
        <f t="shared" si="95"/>
        <v>12.144</v>
      </c>
      <c r="G133" s="5">
        <f t="shared" si="95"/>
        <v>11.457599999999999</v>
      </c>
      <c r="H133" s="5">
        <f t="shared" si="95"/>
        <v>10.766400000000001</v>
      </c>
      <c r="I133" s="5">
        <f t="shared" si="95"/>
        <v>10.08</v>
      </c>
      <c r="J133" s="5">
        <f t="shared" ref="J133:R134" si="96">((16*3)*J131)/1000</f>
        <v>7.2</v>
      </c>
      <c r="K133" s="5">
        <f t="shared" si="96"/>
        <v>5.76</v>
      </c>
      <c r="L133" s="5">
        <f t="shared" si="96"/>
        <v>4.8959999999999999</v>
      </c>
      <c r="M133" s="5">
        <f t="shared" si="96"/>
        <v>4.3007999999999988</v>
      </c>
      <c r="N133" s="5">
        <f t="shared" si="96"/>
        <v>3.4223999999999997</v>
      </c>
      <c r="O133" s="5">
        <f t="shared" si="96"/>
        <v>2.8512</v>
      </c>
      <c r="P133" s="5">
        <f t="shared" si="96"/>
        <v>2.4</v>
      </c>
      <c r="Q133" s="5">
        <f t="shared" si="96"/>
        <v>2.1023999999999998</v>
      </c>
      <c r="R133" s="29">
        <f t="shared" si="96"/>
        <v>1.9343999999999999</v>
      </c>
    </row>
    <row r="134" spans="1:18" ht="33.75" customHeight="1">
      <c r="A134" s="1404" t="s">
        <v>644</v>
      </c>
      <c r="B134" s="1405"/>
      <c r="C134" s="5">
        <f t="shared" si="95"/>
        <v>16.137599999999999</v>
      </c>
      <c r="D134" s="5">
        <f t="shared" si="95"/>
        <v>14.702400000000001</v>
      </c>
      <c r="E134" s="5">
        <f t="shared" si="95"/>
        <v>13.569599999999998</v>
      </c>
      <c r="F134" s="5">
        <f t="shared" si="95"/>
        <v>12.484800000000002</v>
      </c>
      <c r="G134" s="5">
        <f t="shared" si="95"/>
        <v>11.779200000000001</v>
      </c>
      <c r="H134" s="5">
        <f t="shared" si="95"/>
        <v>11.0688</v>
      </c>
      <c r="I134" s="5">
        <f t="shared" si="95"/>
        <v>10.363200000000001</v>
      </c>
      <c r="J134" s="5">
        <f t="shared" si="96"/>
        <v>7.4015999999999993</v>
      </c>
      <c r="K134" s="5">
        <f t="shared" si="96"/>
        <v>5.9232000000000005</v>
      </c>
      <c r="L134" s="5">
        <f t="shared" si="96"/>
        <v>5.0352000000000006</v>
      </c>
      <c r="M134" s="5">
        <f t="shared" si="96"/>
        <v>4.420799999999999</v>
      </c>
      <c r="N134" s="5">
        <f t="shared" si="96"/>
        <v>3.5183999999999997</v>
      </c>
      <c r="O134" s="5">
        <f t="shared" si="96"/>
        <v>2.9328000000000003</v>
      </c>
      <c r="P134" s="5">
        <f t="shared" si="96"/>
        <v>2.4671999999999996</v>
      </c>
      <c r="Q134" s="5">
        <f t="shared" si="96"/>
        <v>2.16</v>
      </c>
      <c r="R134" s="29">
        <f t="shared" si="96"/>
        <v>1.9871999999999999</v>
      </c>
    </row>
    <row r="135" spans="1:18" ht="33.75" customHeight="1">
      <c r="A135" s="1406" t="s">
        <v>645</v>
      </c>
      <c r="B135" s="1407"/>
      <c r="C135" s="30">
        <f t="shared" ref="C135:R135" si="97">C134*9</f>
        <v>145.23839999999998</v>
      </c>
      <c r="D135" s="30">
        <f t="shared" si="97"/>
        <v>132.32160000000002</v>
      </c>
      <c r="E135" s="30">
        <f t="shared" si="97"/>
        <v>122.12639999999998</v>
      </c>
      <c r="F135" s="30">
        <f t="shared" si="97"/>
        <v>112.36320000000002</v>
      </c>
      <c r="G135" s="30">
        <f t="shared" si="97"/>
        <v>106.01280000000001</v>
      </c>
      <c r="H135" s="30">
        <f t="shared" si="97"/>
        <v>99.619199999999992</v>
      </c>
      <c r="I135" s="30">
        <f t="shared" si="97"/>
        <v>93.268800000000013</v>
      </c>
      <c r="J135" s="30">
        <f t="shared" si="97"/>
        <v>66.614399999999989</v>
      </c>
      <c r="K135" s="30">
        <f t="shared" si="97"/>
        <v>53.308800000000005</v>
      </c>
      <c r="L135" s="30">
        <f t="shared" si="97"/>
        <v>45.316800000000008</v>
      </c>
      <c r="M135" s="30">
        <f t="shared" si="97"/>
        <v>39.787199999999991</v>
      </c>
      <c r="N135" s="30">
        <f t="shared" si="97"/>
        <v>31.665599999999998</v>
      </c>
      <c r="O135" s="30">
        <f t="shared" si="97"/>
        <v>26.395200000000003</v>
      </c>
      <c r="P135" s="30">
        <f t="shared" si="97"/>
        <v>22.204799999999995</v>
      </c>
      <c r="Q135" s="30">
        <f t="shared" si="97"/>
        <v>19.440000000000001</v>
      </c>
      <c r="R135" s="32">
        <f t="shared" si="97"/>
        <v>17.884799999999998</v>
      </c>
    </row>
    <row r="139" spans="1:18">
      <c r="A139" s="13" t="s">
        <v>646</v>
      </c>
    </row>
    <row r="140" spans="1:18">
      <c r="A140" s="39" t="s">
        <v>647</v>
      </c>
      <c r="B140" s="38">
        <v>333</v>
      </c>
    </row>
    <row r="141" spans="1:18">
      <c r="A141" s="39" t="s">
        <v>648</v>
      </c>
      <c r="B141" s="45">
        <f>(8*B140)+450</f>
        <v>3114</v>
      </c>
    </row>
    <row r="143" spans="1:18">
      <c r="B143" s="1397" t="s">
        <v>590</v>
      </c>
      <c r="C143" s="1398"/>
      <c r="D143" s="1415" t="s">
        <v>649</v>
      </c>
      <c r="E143" s="1416"/>
      <c r="F143" s="1397" t="s">
        <v>650</v>
      </c>
      <c r="G143" s="1398"/>
      <c r="H143" s="1415" t="s">
        <v>651</v>
      </c>
      <c r="I143" s="1416"/>
      <c r="J143" s="1397" t="s">
        <v>652</v>
      </c>
      <c r="K143" s="1398"/>
      <c r="L143" s="1415" t="s">
        <v>653</v>
      </c>
      <c r="M143" s="1416"/>
      <c r="N143" s="1397" t="s">
        <v>654</v>
      </c>
      <c r="O143" s="1398"/>
      <c r="P143" s="1415" t="s">
        <v>655</v>
      </c>
      <c r="Q143" s="1416"/>
      <c r="R143"/>
    </row>
    <row r="144" spans="1:18">
      <c r="A144" s="34" t="s">
        <v>656</v>
      </c>
      <c r="B144" s="1393">
        <f>COUNTIFS($E$8:$P$122,"&gt;="&amp;$D$2+(0*365),$E$8:$P$122,"&lt;="&amp;$E$2+(0*365))</f>
        <v>78</v>
      </c>
      <c r="C144" s="1394"/>
      <c r="D144" s="1395">
        <f>COUNTIFS($E$8:$P$122,"&gt;="&amp;$D$2+(1*365),$E$8:$P$122,"&lt;="&amp;$E$2+(1*365))</f>
        <v>3</v>
      </c>
      <c r="E144" s="1396"/>
      <c r="F144" s="1393">
        <f>COUNTIFS($E$8:$P$122,"&gt;="&amp;$D$2+(2*365),$E$8:$P$122,"&lt;="&amp;$E$2+(2*365))</f>
        <v>109</v>
      </c>
      <c r="G144" s="1394"/>
      <c r="H144" s="1395">
        <f>COUNTIFS($E$8:$P$122,"&gt;="&amp;$D$2+(3*365),$E$8:$P$122,"&lt;="&amp;$E$2+(3*365))</f>
        <v>170</v>
      </c>
      <c r="I144" s="1396"/>
      <c r="J144" s="1393">
        <f>COUNTIFS($E$8:$P$122,"&gt;="&amp;$D$2+(4*365),$E$8:$P$122,"&lt;="&amp;$E$2+(4*365))</f>
        <v>229</v>
      </c>
      <c r="K144" s="1394"/>
      <c r="L144" s="1395">
        <f>COUNTIFS($E$8:$P$122,"&gt;="&amp;$D$2+(5*365),$E$8:$P$122,"&lt;="&amp;$E$2+(5*365))</f>
        <v>163</v>
      </c>
      <c r="M144" s="1396"/>
      <c r="N144" s="1393">
        <f>COUNTIFS($E$8:$P$122,"&gt;="&amp;$D$2+(6*365),$E$8:$P$122,"&lt;="&amp;$E$2+(6*365))</f>
        <v>185</v>
      </c>
      <c r="O144" s="1394"/>
      <c r="P144" s="1395">
        <f>COUNTIFS($E$8:$P$122,"&gt;="&amp;$D$2+(7*365),$E$8:$P$122,"&lt;="&amp;$E$2+(7*365))</f>
        <v>0</v>
      </c>
      <c r="Q144" s="1396"/>
      <c r="R144"/>
    </row>
    <row r="145" spans="1:17">
      <c r="A145" s="35" t="s">
        <v>657</v>
      </c>
      <c r="B145" s="1413">
        <f>B144*$B$141</f>
        <v>242892</v>
      </c>
      <c r="C145" s="1414"/>
      <c r="D145" s="1417">
        <f>(D144*$B$141)*(1+0.2)^1</f>
        <v>11210.4</v>
      </c>
      <c r="E145" s="1418"/>
      <c r="F145" s="1413">
        <f>(F144*$B$141)*(1+0.15)^2</f>
        <v>448890.88499999995</v>
      </c>
      <c r="G145" s="1414"/>
      <c r="H145" s="1417">
        <f>(H144*$B$141)*(1+0.15)^3</f>
        <v>805120.80749999976</v>
      </c>
      <c r="I145" s="1418"/>
      <c r="J145" s="1413">
        <f>(J144*$B$141)*(1+0.15)^4</f>
        <v>1247226.8509124997</v>
      </c>
      <c r="K145" s="1414"/>
      <c r="L145" s="1417">
        <f>(L144*$B$141)*(1+0.15)^5</f>
        <v>1020928.7039456246</v>
      </c>
      <c r="M145" s="1418"/>
      <c r="N145" s="1413">
        <f>(N144*$B$141)*(1+0.15)^6</f>
        <v>1332531.1764689058</v>
      </c>
      <c r="O145" s="1414"/>
      <c r="P145" s="1417">
        <f>(P144*$B$141)*(1+0.15)^7</f>
        <v>0</v>
      </c>
      <c r="Q145" s="1418"/>
    </row>
    <row r="146" spans="1:17">
      <c r="A146" s="35" t="s">
        <v>658</v>
      </c>
      <c r="B146" s="1408">
        <f>B145*0.075</f>
        <v>18216.899999999998</v>
      </c>
      <c r="C146" s="1409"/>
      <c r="D146" s="1410">
        <f>(D145*0.075)*(1+0.025)^1</f>
        <v>861.79949999999985</v>
      </c>
      <c r="E146" s="1396"/>
      <c r="F146" s="1408">
        <f>(F145*0.075)*(1+0.025)^2</f>
        <v>35371.198953984363</v>
      </c>
      <c r="G146" s="1409"/>
      <c r="H146" s="1410">
        <f>(H145*0.075)*(1+0.025)^3</f>
        <v>65027.028719188449</v>
      </c>
      <c r="I146" s="1396"/>
      <c r="J146" s="1408">
        <f>(J145*0.075)*(1+0.025)^4</f>
        <v>103252.88066781315</v>
      </c>
      <c r="K146" s="1409"/>
      <c r="L146" s="1410">
        <f>(L145*0.075)*(1+0.025)^5</f>
        <v>86631.534031489558</v>
      </c>
      <c r="M146" s="1396"/>
      <c r="N146" s="1408">
        <f>(N145*0.075)*(1+0.025)^6</f>
        <v>115899.5726185852</v>
      </c>
      <c r="O146" s="1409"/>
      <c r="P146" s="1410">
        <f>(P145*0.25)*(1+0.025)^7</f>
        <v>0</v>
      </c>
      <c r="Q146" s="1396"/>
    </row>
    <row r="147" spans="1:17">
      <c r="A147" s="36" t="s">
        <v>659</v>
      </c>
      <c r="B147" s="1400">
        <f>B145+B146</f>
        <v>261108.9</v>
      </c>
      <c r="C147" s="1401"/>
      <c r="D147" s="1402">
        <f>ROUNDUP(D145+D146,0)</f>
        <v>12073</v>
      </c>
      <c r="E147" s="1403"/>
      <c r="F147" s="1400">
        <f t="shared" ref="F147" si="98">ROUNDUP(F145+F146,0)</f>
        <v>484263</v>
      </c>
      <c r="G147" s="1401"/>
      <c r="H147" s="1402">
        <f t="shared" ref="H147" si="99">ROUNDUP(H145+H146,0)</f>
        <v>870148</v>
      </c>
      <c r="I147" s="1403"/>
      <c r="J147" s="1400">
        <f t="shared" ref="J147" si="100">ROUNDUP(J145+J146,0)</f>
        <v>1350480</v>
      </c>
      <c r="K147" s="1401"/>
      <c r="L147" s="1402">
        <f t="shared" ref="L147" si="101">ROUNDUP(L145+L146,0)</f>
        <v>1107561</v>
      </c>
      <c r="M147" s="1403"/>
      <c r="N147" s="1400">
        <f t="shared" ref="N147" si="102">ROUNDUP(N145+N146,0)</f>
        <v>1448431</v>
      </c>
      <c r="O147" s="1401"/>
      <c r="P147" s="1402">
        <f t="shared" ref="P147" si="103">ROUNDUP(P145+P146,0)</f>
        <v>0</v>
      </c>
      <c r="Q147" s="1403"/>
    </row>
    <row r="176" spans="1:17">
      <c r="A176" s="13" t="s">
        <v>660</v>
      </c>
      <c r="B176" s="5">
        <v>1</v>
      </c>
      <c r="C176" s="5">
        <v>2</v>
      </c>
      <c r="D176" s="5">
        <v>3</v>
      </c>
      <c r="E176" s="5">
        <v>4</v>
      </c>
      <c r="F176" s="5">
        <v>5</v>
      </c>
      <c r="G176" s="5">
        <v>6</v>
      </c>
      <c r="H176" s="5">
        <v>7</v>
      </c>
      <c r="I176" s="5">
        <v>8</v>
      </c>
      <c r="J176" s="5">
        <v>9</v>
      </c>
      <c r="K176" s="5">
        <v>10</v>
      </c>
      <c r="L176" s="5">
        <v>11</v>
      </c>
      <c r="M176" s="5">
        <v>12</v>
      </c>
      <c r="N176" s="5">
        <v>13</v>
      </c>
      <c r="O176" s="5">
        <v>14</v>
      </c>
      <c r="P176" s="5">
        <v>15</v>
      </c>
      <c r="Q176" s="5">
        <v>16</v>
      </c>
    </row>
    <row r="177" spans="2:19">
      <c r="B177" s="91">
        <f>$B$2-((7*365)+1)</f>
        <v>42827</v>
      </c>
      <c r="C177" s="91">
        <f>$C$2-((7*365)+2)</f>
        <v>43190</v>
      </c>
      <c r="D177" s="90">
        <f>$B$2-((6*365)+1)</f>
        <v>43192</v>
      </c>
      <c r="E177" s="90">
        <f>$C$2-((6*365)+1)</f>
        <v>43556</v>
      </c>
      <c r="F177" s="91">
        <f>$B$2-((5*365)+1)</f>
        <v>43557</v>
      </c>
      <c r="G177" s="91">
        <f>$C$2-((5*365)+1)</f>
        <v>43921</v>
      </c>
      <c r="H177" s="90">
        <f>$B$2-((4*365)+1)</f>
        <v>43922</v>
      </c>
      <c r="I177" s="90">
        <f>$C$2-((4*365)+1)</f>
        <v>44286</v>
      </c>
      <c r="J177" s="91">
        <f>$B$2-((3*365))</f>
        <v>44288</v>
      </c>
      <c r="K177" s="91">
        <f>$C$2-((3*365)+1)</f>
        <v>44651</v>
      </c>
      <c r="L177" s="90">
        <f>$B$2-(2*365)</f>
        <v>44653</v>
      </c>
      <c r="M177" s="90">
        <f>$C$2-(2*365)</f>
        <v>45017</v>
      </c>
      <c r="N177" s="91">
        <f>$B$2-(1*365)</f>
        <v>45018</v>
      </c>
      <c r="O177" s="91">
        <f>$C$2-(1*365)</f>
        <v>45382</v>
      </c>
      <c r="P177" s="90">
        <f>$B$2</f>
        <v>45383</v>
      </c>
      <c r="Q177" s="90">
        <f>$C$2</f>
        <v>45747</v>
      </c>
    </row>
    <row r="178" spans="2:19">
      <c r="B178" s="1392" t="s">
        <v>661</v>
      </c>
      <c r="C178" s="1392"/>
      <c r="D178" s="1389" t="s">
        <v>662</v>
      </c>
      <c r="E178" s="1389"/>
      <c r="F178" s="1392" t="s">
        <v>663</v>
      </c>
      <c r="G178" s="1392"/>
      <c r="H178" s="1389" t="s">
        <v>664</v>
      </c>
      <c r="I178" s="1389"/>
      <c r="J178" s="1392" t="s">
        <v>665</v>
      </c>
      <c r="K178" s="1392"/>
      <c r="L178" s="1389" t="s">
        <v>666</v>
      </c>
      <c r="M178" s="1389"/>
      <c r="N178" s="1392" t="s">
        <v>667</v>
      </c>
      <c r="O178" s="1392"/>
      <c r="P178" s="1389" t="s">
        <v>668</v>
      </c>
      <c r="Q178" s="1389"/>
    </row>
    <row r="179" spans="2:19">
      <c r="B179" s="1392" t="s">
        <v>669</v>
      </c>
      <c r="C179" s="1392"/>
      <c r="D179" s="1389" t="s">
        <v>670</v>
      </c>
      <c r="E179" s="1389"/>
      <c r="F179" s="1392" t="s">
        <v>671</v>
      </c>
      <c r="G179" s="1392"/>
      <c r="H179" s="1389" t="s">
        <v>670</v>
      </c>
      <c r="I179" s="1389"/>
      <c r="J179" s="1392" t="s">
        <v>671</v>
      </c>
      <c r="K179" s="1392"/>
      <c r="L179" s="1389" t="s">
        <v>670</v>
      </c>
      <c r="M179" s="1389"/>
      <c r="N179" s="1392" t="s">
        <v>671</v>
      </c>
      <c r="O179" s="1392"/>
      <c r="P179" s="1389" t="s">
        <v>672</v>
      </c>
      <c r="Q179" s="1389"/>
    </row>
    <row r="182" spans="2:19">
      <c r="B182" s="5">
        <v>1</v>
      </c>
      <c r="C182" s="5">
        <v>2</v>
      </c>
      <c r="D182" s="5">
        <v>3</v>
      </c>
      <c r="E182" s="5">
        <v>4</v>
      </c>
      <c r="F182" s="5">
        <v>5</v>
      </c>
      <c r="G182" s="5">
        <v>6</v>
      </c>
      <c r="H182" s="5">
        <v>7</v>
      </c>
      <c r="I182" s="5">
        <v>8</v>
      </c>
      <c r="J182" s="5">
        <v>9</v>
      </c>
      <c r="K182" s="5">
        <v>10</v>
      </c>
      <c r="L182" s="5">
        <v>11</v>
      </c>
      <c r="M182" s="5">
        <v>12</v>
      </c>
      <c r="N182" s="5">
        <v>13</v>
      </c>
      <c r="O182" s="5">
        <v>14</v>
      </c>
      <c r="P182" s="5">
        <v>15</v>
      </c>
      <c r="Q182" s="5">
        <v>16</v>
      </c>
      <c r="R182" s="5">
        <v>17</v>
      </c>
      <c r="S182" s="5">
        <v>18</v>
      </c>
    </row>
    <row r="183" spans="2:19">
      <c r="B183" s="343">
        <f>$B$3-((8*365)+2)</f>
        <v>42827</v>
      </c>
      <c r="C183" s="343">
        <f>$C$3-(8*365)-1</f>
        <v>43191</v>
      </c>
      <c r="D183" s="91">
        <f>$B$3-((7*365)+2)</f>
        <v>43192</v>
      </c>
      <c r="E183" s="91">
        <f>$C$3-((7*365)+2)</f>
        <v>43555</v>
      </c>
      <c r="F183" s="90">
        <f>$B$3-((6*365)+2)</f>
        <v>43557</v>
      </c>
      <c r="G183" s="90">
        <f>$C$3-((6*365)+1)</f>
        <v>43921</v>
      </c>
      <c r="H183" s="91">
        <f>$B$3-((5*365)+2)</f>
        <v>43922</v>
      </c>
      <c r="I183" s="91">
        <f>$C$3-((5*365)+1)</f>
        <v>44286</v>
      </c>
      <c r="J183" s="90">
        <f>$B$3-((4*365)+1)</f>
        <v>44288</v>
      </c>
      <c r="K183" s="90">
        <f>$C$3-((4*365)+1)</f>
        <v>44651</v>
      </c>
      <c r="L183" s="91">
        <f>$B$3-((3*365)+1)</f>
        <v>44653</v>
      </c>
      <c r="M183" s="91">
        <f>$C$3-((3*365)+1)</f>
        <v>45016</v>
      </c>
      <c r="N183" s="90">
        <f>$B$3-((2*365)+1)</f>
        <v>45018</v>
      </c>
      <c r="O183" s="90">
        <f>$C$3-(2*365)</f>
        <v>45382</v>
      </c>
      <c r="P183" s="91">
        <f>$B$3-((1*365)+1)</f>
        <v>45383</v>
      </c>
      <c r="Q183" s="91">
        <f>$C$3-(1*365)</f>
        <v>45747</v>
      </c>
      <c r="R183" s="90">
        <f>$B$3</f>
        <v>45749</v>
      </c>
      <c r="S183" s="90">
        <f>$C$3</f>
        <v>46112</v>
      </c>
    </row>
    <row r="184" spans="2:19">
      <c r="B184" s="1388" t="s">
        <v>673</v>
      </c>
      <c r="C184" s="1388"/>
      <c r="D184" s="1392" t="s">
        <v>661</v>
      </c>
      <c r="E184" s="1392"/>
      <c r="F184" s="1389" t="s">
        <v>662</v>
      </c>
      <c r="G184" s="1389"/>
      <c r="H184" s="1392" t="s">
        <v>663</v>
      </c>
      <c r="I184" s="1392"/>
      <c r="J184" s="1389" t="s">
        <v>664</v>
      </c>
      <c r="K184" s="1389"/>
      <c r="L184" s="1392" t="s">
        <v>665</v>
      </c>
      <c r="M184" s="1392"/>
      <c r="N184" s="1389" t="s">
        <v>666</v>
      </c>
      <c r="O184" s="1389"/>
      <c r="P184" s="1392" t="s">
        <v>667</v>
      </c>
      <c r="Q184" s="1392"/>
      <c r="R184" s="1389" t="s">
        <v>668</v>
      </c>
      <c r="S184" s="1389"/>
    </row>
    <row r="185" spans="2:19">
      <c r="B185" s="1388" t="s">
        <v>671</v>
      </c>
      <c r="C185" s="1388"/>
      <c r="D185" s="1392" t="s">
        <v>669</v>
      </c>
      <c r="E185" s="1392"/>
      <c r="F185" s="1389" t="s">
        <v>670</v>
      </c>
      <c r="G185" s="1389"/>
      <c r="H185" s="1392" t="s">
        <v>671</v>
      </c>
      <c r="I185" s="1392"/>
      <c r="J185" s="1389" t="s">
        <v>670</v>
      </c>
      <c r="K185" s="1389"/>
      <c r="L185" s="1392" t="s">
        <v>671</v>
      </c>
      <c r="M185" s="1392"/>
      <c r="N185" s="1389" t="s">
        <v>670</v>
      </c>
      <c r="O185" s="1389"/>
      <c r="P185" s="1392" t="s">
        <v>671</v>
      </c>
      <c r="Q185" s="1392"/>
      <c r="R185" s="1389" t="s">
        <v>672</v>
      </c>
      <c r="S185" s="1389"/>
    </row>
    <row r="188" spans="2:19">
      <c r="B188" s="102" t="s">
        <v>512</v>
      </c>
      <c r="C188" s="104" t="s">
        <v>674</v>
      </c>
      <c r="D188" s="104" t="s">
        <v>670</v>
      </c>
      <c r="E188" s="104" t="s">
        <v>675</v>
      </c>
      <c r="F188" s="104" t="s">
        <v>671</v>
      </c>
    </row>
    <row r="189" spans="2:19">
      <c r="B189" t="s">
        <v>274</v>
      </c>
      <c r="C189" s="103">
        <v>2250</v>
      </c>
      <c r="D189" s="103">
        <v>7425</v>
      </c>
      <c r="E189" s="103">
        <v>2525</v>
      </c>
      <c r="F189" s="103">
        <f>C189+E189</f>
        <v>4775</v>
      </c>
    </row>
    <row r="190" spans="2:19">
      <c r="B190" t="s">
        <v>280</v>
      </c>
      <c r="C190" s="65">
        <v>3600</v>
      </c>
      <c r="D190" s="65">
        <v>15713.28</v>
      </c>
      <c r="E190" s="65">
        <v>4000.34</v>
      </c>
      <c r="F190" s="103">
        <f t="shared" ref="F190:F215" si="104">C190+E190</f>
        <v>7600.34</v>
      </c>
    </row>
    <row r="191" spans="2:19">
      <c r="B191" t="s">
        <v>287</v>
      </c>
      <c r="C191" s="65">
        <v>3149.54</v>
      </c>
      <c r="D191" s="65">
        <v>7856.64</v>
      </c>
      <c r="E191" s="65">
        <v>2525</v>
      </c>
      <c r="F191" s="103">
        <f t="shared" si="104"/>
        <v>5674.54</v>
      </c>
    </row>
    <row r="192" spans="2:19">
      <c r="B192" t="s">
        <v>290</v>
      </c>
      <c r="C192" s="65">
        <v>2250</v>
      </c>
      <c r="D192" s="65">
        <v>9820.7999999999993</v>
      </c>
      <c r="E192" s="65">
        <v>2525</v>
      </c>
      <c r="F192" s="103">
        <f t="shared" si="104"/>
        <v>4775</v>
      </c>
    </row>
    <row r="193" spans="2:6">
      <c r="B193" t="s">
        <v>293</v>
      </c>
      <c r="C193" s="65">
        <v>1800</v>
      </c>
      <c r="D193" s="65">
        <v>7856.64</v>
      </c>
      <c r="E193" s="65">
        <v>2033.22</v>
      </c>
      <c r="F193" s="103">
        <f t="shared" si="104"/>
        <v>3833.2200000000003</v>
      </c>
    </row>
    <row r="194" spans="2:6">
      <c r="B194" t="s">
        <v>305</v>
      </c>
      <c r="C194" s="65">
        <v>2250</v>
      </c>
      <c r="D194" s="65">
        <v>9820.7999999999993</v>
      </c>
      <c r="E194" s="65">
        <v>2525</v>
      </c>
      <c r="F194" s="103">
        <f t="shared" si="104"/>
        <v>4775</v>
      </c>
    </row>
    <row r="195" spans="2:6">
      <c r="B195" t="s">
        <v>297</v>
      </c>
      <c r="C195" s="65">
        <v>4500</v>
      </c>
      <c r="D195" s="65">
        <v>13749.12</v>
      </c>
      <c r="E195" s="65">
        <v>3016.78</v>
      </c>
      <c r="F195" s="103">
        <f t="shared" si="104"/>
        <v>7516.7800000000007</v>
      </c>
    </row>
    <row r="196" spans="2:6">
      <c r="B196" t="s">
        <v>312</v>
      </c>
      <c r="C196" s="65">
        <v>5579.03</v>
      </c>
      <c r="D196" s="65">
        <v>19641.599999999999</v>
      </c>
      <c r="E196" s="65">
        <v>5475.68</v>
      </c>
      <c r="F196" s="103">
        <f t="shared" si="104"/>
        <v>11054.71</v>
      </c>
    </row>
    <row r="197" spans="2:6">
      <c r="B197" t="s">
        <v>315</v>
      </c>
      <c r="C197" s="65">
        <v>5400</v>
      </c>
      <c r="D197" s="65">
        <v>14731.2</v>
      </c>
      <c r="E197" s="65">
        <v>3016.78</v>
      </c>
      <c r="F197" s="103">
        <f t="shared" si="104"/>
        <v>8416.7800000000007</v>
      </c>
    </row>
    <row r="198" spans="2:6">
      <c r="B198" t="s">
        <v>320</v>
      </c>
      <c r="C198" s="65">
        <v>3600</v>
      </c>
      <c r="D198" s="65">
        <v>12767.04</v>
      </c>
      <c r="E198" s="65">
        <v>3016.78</v>
      </c>
      <c r="F198" s="103">
        <f t="shared" si="104"/>
        <v>6616.7800000000007</v>
      </c>
    </row>
    <row r="199" spans="2:6">
      <c r="B199" t="s">
        <v>328</v>
      </c>
      <c r="C199" s="65">
        <v>5400</v>
      </c>
      <c r="D199" s="65">
        <v>14731.2</v>
      </c>
      <c r="E199" s="65">
        <v>3016.78</v>
      </c>
      <c r="F199" s="103">
        <f t="shared" si="104"/>
        <v>8416.7800000000007</v>
      </c>
    </row>
    <row r="200" spans="2:6">
      <c r="B200" t="s">
        <v>333</v>
      </c>
      <c r="C200" s="65">
        <v>3150</v>
      </c>
      <c r="D200" s="65">
        <v>10802.88</v>
      </c>
      <c r="E200" s="65">
        <v>2525</v>
      </c>
      <c r="F200" s="103">
        <f t="shared" si="104"/>
        <v>5675</v>
      </c>
    </row>
    <row r="201" spans="2:6">
      <c r="B201" t="s">
        <v>336</v>
      </c>
      <c r="C201" s="65">
        <v>1800</v>
      </c>
      <c r="D201" s="65">
        <v>7856.64</v>
      </c>
      <c r="E201" s="65">
        <v>2033.22</v>
      </c>
      <c r="F201" s="103">
        <f t="shared" si="104"/>
        <v>3833.2200000000003</v>
      </c>
    </row>
    <row r="202" spans="2:6">
      <c r="B202" t="s">
        <v>339</v>
      </c>
      <c r="C202" s="65">
        <v>2610.48</v>
      </c>
      <c r="D202" s="65">
        <v>9329.76</v>
      </c>
      <c r="E202" s="65">
        <v>2525</v>
      </c>
      <c r="F202" s="103">
        <f t="shared" si="104"/>
        <v>5135.4799999999996</v>
      </c>
    </row>
    <row r="203" spans="2:6">
      <c r="B203" t="s">
        <v>348</v>
      </c>
      <c r="C203" s="65">
        <v>900</v>
      </c>
      <c r="D203" s="65">
        <v>3928.32</v>
      </c>
      <c r="E203" s="65">
        <v>1049.6600000000001</v>
      </c>
      <c r="F203" s="103">
        <f t="shared" si="104"/>
        <v>1949.66</v>
      </c>
    </row>
    <row r="204" spans="2:6">
      <c r="B204" t="s">
        <v>350</v>
      </c>
      <c r="C204" s="65">
        <v>1170.97</v>
      </c>
      <c r="D204" s="65">
        <v>3928.32</v>
      </c>
      <c r="E204" s="65">
        <v>1673.64</v>
      </c>
      <c r="F204" s="103">
        <f t="shared" si="104"/>
        <v>2844.61</v>
      </c>
    </row>
    <row r="205" spans="2:6">
      <c r="B205" t="s">
        <v>353</v>
      </c>
      <c r="C205" s="65">
        <v>4139.5200000000004</v>
      </c>
      <c r="D205" s="65">
        <v>12767.04</v>
      </c>
      <c r="E205" s="65">
        <v>4000.34</v>
      </c>
      <c r="F205" s="103">
        <f t="shared" si="104"/>
        <v>8139.8600000000006</v>
      </c>
    </row>
    <row r="206" spans="2:6">
      <c r="B206" t="s">
        <v>355</v>
      </c>
      <c r="C206" s="65">
        <v>900</v>
      </c>
      <c r="D206" s="65">
        <v>3928.32</v>
      </c>
      <c r="E206" s="65">
        <v>1049.6600000000001</v>
      </c>
      <c r="F206" s="103">
        <f t="shared" si="104"/>
        <v>1949.66</v>
      </c>
    </row>
    <row r="207" spans="2:6">
      <c r="B207" t="s">
        <v>357</v>
      </c>
      <c r="C207" s="65">
        <v>900</v>
      </c>
      <c r="D207" s="65">
        <v>982.08</v>
      </c>
      <c r="E207" s="65">
        <v>557.88</v>
      </c>
      <c r="F207" s="103">
        <f t="shared" si="104"/>
        <v>1457.88</v>
      </c>
    </row>
    <row r="208" spans="2:6">
      <c r="B208" t="s">
        <v>676</v>
      </c>
      <c r="C208" s="65">
        <v>900</v>
      </c>
      <c r="D208" s="65">
        <v>982.08</v>
      </c>
      <c r="E208" s="65">
        <v>557.88</v>
      </c>
      <c r="F208" s="103">
        <f t="shared" si="104"/>
        <v>1457.88</v>
      </c>
    </row>
    <row r="209" spans="2:6">
      <c r="B209" t="s">
        <v>359</v>
      </c>
      <c r="C209" s="65">
        <v>1800</v>
      </c>
      <c r="D209" s="65">
        <v>3928.32</v>
      </c>
      <c r="E209" s="65">
        <v>1049.6600000000001</v>
      </c>
      <c r="F209" s="103">
        <f t="shared" si="104"/>
        <v>2849.66</v>
      </c>
    </row>
    <row r="210" spans="2:6">
      <c r="B210" t="s">
        <v>363</v>
      </c>
      <c r="C210" s="65">
        <v>1800</v>
      </c>
      <c r="D210" s="65">
        <v>3928.32</v>
      </c>
      <c r="E210" s="65">
        <v>1049.6600000000001</v>
      </c>
      <c r="F210" s="103">
        <f t="shared" si="104"/>
        <v>2849.66</v>
      </c>
    </row>
    <row r="211" spans="2:6">
      <c r="B211" t="s">
        <v>361</v>
      </c>
      <c r="C211" s="65">
        <v>1800</v>
      </c>
      <c r="D211" s="65">
        <v>4419.3599999999997</v>
      </c>
      <c r="E211" s="65">
        <v>1541.44</v>
      </c>
      <c r="F211" s="103">
        <f t="shared" si="104"/>
        <v>3341.44</v>
      </c>
    </row>
    <row r="212" spans="2:6">
      <c r="B212" t="s">
        <v>367</v>
      </c>
      <c r="C212" s="65">
        <v>1800</v>
      </c>
      <c r="D212" s="65">
        <v>3928.32</v>
      </c>
      <c r="E212" s="65">
        <v>1541.44</v>
      </c>
      <c r="F212" s="103">
        <f t="shared" si="104"/>
        <v>3341.44</v>
      </c>
    </row>
    <row r="213" spans="2:6">
      <c r="B213" t="s">
        <v>369</v>
      </c>
      <c r="C213" s="65">
        <v>1800</v>
      </c>
      <c r="D213" s="65">
        <v>3928.32</v>
      </c>
      <c r="E213" s="65">
        <v>1049.6600000000001</v>
      </c>
      <c r="F213" s="103">
        <f t="shared" si="104"/>
        <v>2849.66</v>
      </c>
    </row>
    <row r="214" spans="2:6">
      <c r="B214" t="s">
        <v>371</v>
      </c>
      <c r="C214" s="65">
        <v>1800</v>
      </c>
      <c r="D214" s="65">
        <v>2964.24</v>
      </c>
      <c r="E214" s="65">
        <v>1049.6600000000001</v>
      </c>
      <c r="F214" s="103">
        <f t="shared" si="104"/>
        <v>2849.66</v>
      </c>
    </row>
    <row r="215" spans="2:6">
      <c r="B215" t="s">
        <v>677</v>
      </c>
      <c r="C215" s="65">
        <v>900</v>
      </c>
      <c r="D215" s="65">
        <v>491.04</v>
      </c>
      <c r="E215" s="65">
        <v>557.88</v>
      </c>
      <c r="F215" s="103">
        <f t="shared" si="104"/>
        <v>1457.88</v>
      </c>
    </row>
  </sheetData>
  <autoFilter ref="X1:X231" xr:uid="{00000000-0009-0000-0000-000004000000}"/>
  <mergeCells count="111">
    <mergeCell ref="L144:M144"/>
    <mergeCell ref="J146:K146"/>
    <mergeCell ref="J147:K147"/>
    <mergeCell ref="L147:M147"/>
    <mergeCell ref="N147:O147"/>
    <mergeCell ref="P147:Q147"/>
    <mergeCell ref="J145:K145"/>
    <mergeCell ref="L145:M145"/>
    <mergeCell ref="L146:M146"/>
    <mergeCell ref="N146:O146"/>
    <mergeCell ref="P146:Q146"/>
    <mergeCell ref="N145:O145"/>
    <mergeCell ref="P145:Q145"/>
    <mergeCell ref="W6:X6"/>
    <mergeCell ref="Y6:Z6"/>
    <mergeCell ref="B143:C143"/>
    <mergeCell ref="B144:C144"/>
    <mergeCell ref="B145:C145"/>
    <mergeCell ref="D143:E143"/>
    <mergeCell ref="D144:E144"/>
    <mergeCell ref="D145:E145"/>
    <mergeCell ref="D1:E1"/>
    <mergeCell ref="A130:B130"/>
    <mergeCell ref="A131:B131"/>
    <mergeCell ref="A132:B132"/>
    <mergeCell ref="A128:B128"/>
    <mergeCell ref="G3:H3"/>
    <mergeCell ref="G2:H2"/>
    <mergeCell ref="F143:G143"/>
    <mergeCell ref="F144:G144"/>
    <mergeCell ref="F145:G145"/>
    <mergeCell ref="H143:I143"/>
    <mergeCell ref="H144:I144"/>
    <mergeCell ref="H145:I145"/>
    <mergeCell ref="J143:K143"/>
    <mergeCell ref="L143:M143"/>
    <mergeCell ref="P143:Q143"/>
    <mergeCell ref="B178:C178"/>
    <mergeCell ref="B179:C179"/>
    <mergeCell ref="B147:C147"/>
    <mergeCell ref="D147:E147"/>
    <mergeCell ref="A133:B133"/>
    <mergeCell ref="A134:B134"/>
    <mergeCell ref="A135:B135"/>
    <mergeCell ref="F147:G147"/>
    <mergeCell ref="H147:I147"/>
    <mergeCell ref="B146:C146"/>
    <mergeCell ref="D146:E146"/>
    <mergeCell ref="F146:G146"/>
    <mergeCell ref="H146:I146"/>
    <mergeCell ref="F178:G178"/>
    <mergeCell ref="D178:E178"/>
    <mergeCell ref="N179:O179"/>
    <mergeCell ref="L179:M179"/>
    <mergeCell ref="J179:K179"/>
    <mergeCell ref="H179:I179"/>
    <mergeCell ref="F179:G179"/>
    <mergeCell ref="D179:E179"/>
    <mergeCell ref="P184:Q184"/>
    <mergeCell ref="P178:Q178"/>
    <mergeCell ref="P179:Q179"/>
    <mergeCell ref="N178:O178"/>
    <mergeCell ref="L178:M178"/>
    <mergeCell ref="J178:K178"/>
    <mergeCell ref="H178:I178"/>
    <mergeCell ref="AA89:AA92"/>
    <mergeCell ref="AA93:AA97"/>
    <mergeCell ref="AA98:AA99"/>
    <mergeCell ref="AA100:AA102"/>
    <mergeCell ref="AA103:AA104"/>
    <mergeCell ref="AA105:AA106"/>
    <mergeCell ref="AA43:AA48"/>
    <mergeCell ref="AA51:AA59"/>
    <mergeCell ref="AA60:AA65"/>
    <mergeCell ref="AA68:AA73"/>
    <mergeCell ref="AA76:AA81"/>
    <mergeCell ref="AA84:AA88"/>
    <mergeCell ref="AA107:AA108"/>
    <mergeCell ref="AA120:AA122"/>
    <mergeCell ref="AA109:AA110"/>
    <mergeCell ref="P144:Q144"/>
    <mergeCell ref="N144:O144"/>
    <mergeCell ref="N143:O143"/>
    <mergeCell ref="AA111:AA112"/>
    <mergeCell ref="AA113:AA115"/>
    <mergeCell ref="AA116:AA117"/>
    <mergeCell ref="AA118:AA119"/>
    <mergeCell ref="B185:C185"/>
    <mergeCell ref="B184:C184"/>
    <mergeCell ref="R184:S184"/>
    <mergeCell ref="R185:S185"/>
    <mergeCell ref="AA8:AA12"/>
    <mergeCell ref="AA13:AA20"/>
    <mergeCell ref="AA21:AA25"/>
    <mergeCell ref="AA26:AA30"/>
    <mergeCell ref="AA32:AA35"/>
    <mergeCell ref="AA36:AA40"/>
    <mergeCell ref="D185:E185"/>
    <mergeCell ref="F185:G185"/>
    <mergeCell ref="H185:I185"/>
    <mergeCell ref="J185:K185"/>
    <mergeCell ref="L185:M185"/>
    <mergeCell ref="N185:O185"/>
    <mergeCell ref="P185:Q185"/>
    <mergeCell ref="D184:E184"/>
    <mergeCell ref="F184:G184"/>
    <mergeCell ref="H184:I184"/>
    <mergeCell ref="J184:K184"/>
    <mergeCell ref="L184:M184"/>
    <mergeCell ref="N184:O184"/>
    <mergeCell ref="J144:K144"/>
  </mergeCells>
  <conditionalFormatting sqref="E8:P20 E21:E25 N21:P25 E26:P122">
    <cfRule type="cellIs" dxfId="88" priority="10" stopIfTrue="1" operator="greaterThan">
      <formula>$E$3</formula>
    </cfRule>
    <cfRule type="cellIs" dxfId="87" priority="11" stopIfTrue="1" operator="between">
      <formula>$D$3-1</formula>
      <formula>$E$3</formula>
    </cfRule>
    <cfRule type="cellIs" dxfId="86" priority="13" stopIfTrue="1" operator="between">
      <formula>$D$2-1</formula>
      <formula>$E$2</formula>
    </cfRule>
    <cfRule type="cellIs" dxfId="85" priority="14" stopIfTrue="1" operator="lessThanOrEqual">
      <formula>$D$2</formula>
    </cfRule>
  </conditionalFormatting>
  <conditionalFormatting sqref="E8:P20 N21:P25 E26:P122 E21:E25">
    <cfRule type="containsBlanks" dxfId="84" priority="8" stopIfTrue="1">
      <formula>LEN(TRIM(E8))=0</formula>
    </cfRule>
  </conditionalFormatting>
  <conditionalFormatting sqref="P8:P122">
    <cfRule type="beginsWith" dxfId="83" priority="1" operator="beginsWith" text="Planned">
      <formula>LEFT(P8,LEN("Planned"))="Planned"</formula>
    </cfRule>
    <cfRule type="beginsWith" dxfId="82" priority="2" operator="beginsWith" text="6v165/6">
      <formula>LEFT(P8,LEN("6v165/6"))="6v165/6"</formula>
    </cfRule>
  </conditionalFormatting>
  <dataValidations count="1">
    <dataValidation type="list" allowBlank="1" showInputMessage="1" showErrorMessage="1" sqref="P8:P122" xr:uid="{08D14258-5F93-C742-942C-4079C0CCBA65}">
      <formula1>"SBS XL 170F-FT,6V165/6,Planned HT this FY"</formula1>
    </dataValidation>
  </dataValidations>
  <pageMargins left="0.7" right="0.7" top="0.75" bottom="0.75" header="0.3" footer="0.3"/>
  <pageSetup paperSize="9" orientation="portrait" r:id="rId1"/>
  <headerFooter>
    <oddFooter>&amp;L&amp;1#&amp;"Calibri"&amp;7&amp;K000000C2 General</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V250"/>
  <sheetViews>
    <sheetView topLeftCell="C1" zoomScale="60" zoomScaleNormal="60" workbookViewId="0">
      <selection activeCell="D14" sqref="D14"/>
    </sheetView>
  </sheetViews>
  <sheetFormatPr defaultColWidth="8.6640625" defaultRowHeight="10.15"/>
  <cols>
    <col min="1" max="1" width="44.5" customWidth="1"/>
    <col min="2" max="2" width="26.5" bestFit="1" customWidth="1"/>
    <col min="3" max="3" width="37.5" bestFit="1" customWidth="1"/>
    <col min="4" max="4" width="25.6640625" bestFit="1" customWidth="1"/>
    <col min="5" max="5" width="37.5" bestFit="1" customWidth="1"/>
    <col min="6" max="6" width="56.1640625" bestFit="1" customWidth="1"/>
    <col min="7" max="7" width="43.6640625" bestFit="1" customWidth="1"/>
    <col min="8" max="8" width="35.5" bestFit="1" customWidth="1"/>
    <col min="9" max="9" width="46.5" bestFit="1" customWidth="1"/>
    <col min="10" max="10" width="31" bestFit="1" customWidth="1"/>
    <col min="11" max="11" width="33" bestFit="1" customWidth="1"/>
    <col min="12" max="12" width="35.6640625" bestFit="1" customWidth="1"/>
    <col min="19" max="19" width="8.6640625" bestFit="1" customWidth="1"/>
    <col min="20" max="20" width="3.6640625" bestFit="1" customWidth="1"/>
    <col min="22" max="22" width="3.6640625" bestFit="1" customWidth="1"/>
  </cols>
  <sheetData>
    <row r="1" spans="1:22" ht="13.15">
      <c r="A1" s="584" t="s">
        <v>678</v>
      </c>
      <c r="B1" s="585" t="s">
        <v>679</v>
      </c>
      <c r="C1" s="585" t="s">
        <v>377</v>
      </c>
      <c r="D1" s="585" t="s">
        <v>376</v>
      </c>
      <c r="E1" s="585" t="s">
        <v>680</v>
      </c>
      <c r="F1" s="585" t="s">
        <v>569</v>
      </c>
      <c r="G1" s="585" t="s">
        <v>681</v>
      </c>
      <c r="H1" s="586" t="s">
        <v>423</v>
      </c>
      <c r="I1" s="586" t="s">
        <v>682</v>
      </c>
      <c r="J1" s="585" t="s">
        <v>683</v>
      </c>
      <c r="K1" s="585" t="s">
        <v>684</v>
      </c>
      <c r="L1" s="587" t="s">
        <v>685</v>
      </c>
    </row>
    <row r="2" spans="1:22" ht="13.15">
      <c r="A2" s="588" t="s">
        <v>274</v>
      </c>
      <c r="B2" s="580">
        <f>'Plant loading'!G4</f>
        <v>170.91200000000001</v>
      </c>
      <c r="C2" s="580">
        <f>'Plant loading'!R4</f>
        <v>1.0900000000000001</v>
      </c>
      <c r="D2" s="580">
        <f>SUM('Plant loading'!AC4:AC8)*54.5/1000</f>
        <v>13.897500000000001</v>
      </c>
      <c r="E2" s="580">
        <f>SUM(C2+D2)</f>
        <v>14.987500000000001</v>
      </c>
      <c r="F2" s="581">
        <f>SUM('Plant loading'!J4:J8)</f>
        <v>630</v>
      </c>
      <c r="G2" s="581">
        <f>SUM(F2/2)</f>
        <v>315</v>
      </c>
      <c r="H2" s="581">
        <f>'Building Capability'!E3</f>
        <v>630</v>
      </c>
      <c r="I2" s="581">
        <f>SUM(H2/2)</f>
        <v>315</v>
      </c>
      <c r="J2" s="582"/>
      <c r="K2" s="582"/>
      <c r="L2" s="589"/>
      <c r="S2" s="7">
        <f>B2+C2</f>
        <v>172.00200000000001</v>
      </c>
      <c r="T2" s="345">
        <f>SUM(S2/G2)*100</f>
        <v>54.603809523809531</v>
      </c>
      <c r="V2" s="345">
        <f>SUM(100-T2)</f>
        <v>45.396190476190469</v>
      </c>
    </row>
    <row r="3" spans="1:22" ht="13.15">
      <c r="A3" s="588" t="s">
        <v>686</v>
      </c>
      <c r="B3" s="580">
        <f>'Plant loading'!G9</f>
        <v>386.95</v>
      </c>
      <c r="C3" s="580">
        <f>'Plant loading'!R9</f>
        <v>38.040999999999997</v>
      </c>
      <c r="D3" s="580">
        <f>SUM('Plant loading'!AC9:AC16)*54.5/1000</f>
        <v>39.021999999999998</v>
      </c>
      <c r="E3" s="580">
        <f t="shared" ref="E3:E15" si="0">SUM(C3+D3)</f>
        <v>77.062999999999988</v>
      </c>
      <c r="F3" s="581">
        <f>SUM('Plant loading'!J9:J16)</f>
        <v>1008</v>
      </c>
      <c r="G3" s="581">
        <f t="shared" ref="G3:G15" si="1">SUM(F3/2)</f>
        <v>504</v>
      </c>
      <c r="H3" s="581">
        <f>'Building Capability'!E4</f>
        <v>1008</v>
      </c>
      <c r="I3" s="581">
        <f t="shared" ref="I3:I15" si="2">SUM(H3/2)</f>
        <v>504</v>
      </c>
      <c r="J3" s="582"/>
      <c r="K3" s="582"/>
      <c r="L3" s="589"/>
      <c r="S3" s="7">
        <f t="shared" ref="S3:S15" si="3">B3+C3</f>
        <v>424.99099999999999</v>
      </c>
      <c r="T3" s="345">
        <f t="shared" ref="T3:T15" si="4">SUM(S3/G3)*100</f>
        <v>84.323611111111106</v>
      </c>
      <c r="V3" s="345">
        <f t="shared" ref="V3:V15" si="5">SUM(100-T3)</f>
        <v>15.676388888888894</v>
      </c>
    </row>
    <row r="4" spans="1:22" ht="13.15">
      <c r="A4" s="588" t="s">
        <v>287</v>
      </c>
      <c r="B4" s="580">
        <f>'Plant loading'!G17</f>
        <v>123.4425</v>
      </c>
      <c r="C4" s="580">
        <f>'Plant loading'!R17</f>
        <v>5.7770000000000001</v>
      </c>
      <c r="D4" s="580">
        <f>SUM('Plant loading'!AC17:AC21)*54.5/1000</f>
        <v>0</v>
      </c>
      <c r="E4" s="580">
        <f t="shared" si="0"/>
        <v>5.7770000000000001</v>
      </c>
      <c r="F4" s="580">
        <f>SUM('Plant loading'!J17:J21)</f>
        <v>630</v>
      </c>
      <c r="G4" s="581">
        <f t="shared" si="1"/>
        <v>315</v>
      </c>
      <c r="H4" s="581">
        <f>'Building Capability'!E5</f>
        <v>630</v>
      </c>
      <c r="I4" s="581">
        <f t="shared" si="2"/>
        <v>315</v>
      </c>
      <c r="J4" s="582"/>
      <c r="K4" s="582"/>
      <c r="L4" s="589"/>
      <c r="S4" s="7">
        <f t="shared" si="3"/>
        <v>129.21949999999998</v>
      </c>
      <c r="T4" s="345">
        <f t="shared" si="4"/>
        <v>41.022063492063488</v>
      </c>
      <c r="V4" s="345">
        <f t="shared" si="5"/>
        <v>58.977936507936512</v>
      </c>
    </row>
    <row r="5" spans="1:22" ht="13.15">
      <c r="A5" s="588" t="s">
        <v>290</v>
      </c>
      <c r="B5" s="580">
        <f>'Plant loading'!G22</f>
        <v>288.14150000000001</v>
      </c>
      <c r="C5" s="580">
        <f>'Plant loading'!R22</f>
        <v>3.488</v>
      </c>
      <c r="D5" s="580">
        <f>SUM('Plant loading'!AC22:AC26)*54.5/1000</f>
        <v>53.082999999999998</v>
      </c>
      <c r="E5" s="580">
        <f t="shared" si="0"/>
        <v>56.570999999999998</v>
      </c>
      <c r="F5" s="581">
        <f>SUM('Plant loading'!J22:J27)</f>
        <v>756</v>
      </c>
      <c r="G5" s="581">
        <f>SUM(F5/2)</f>
        <v>378</v>
      </c>
      <c r="H5" s="581">
        <f>'Building Capability'!E6</f>
        <v>756</v>
      </c>
      <c r="I5" s="581">
        <f t="shared" si="2"/>
        <v>378</v>
      </c>
      <c r="J5" s="582"/>
      <c r="K5" s="582"/>
      <c r="L5" s="589"/>
      <c r="S5" s="7">
        <f t="shared" si="3"/>
        <v>291.62950000000001</v>
      </c>
      <c r="T5" s="345">
        <f t="shared" si="4"/>
        <v>77.150661375661372</v>
      </c>
      <c r="V5" s="345">
        <f t="shared" si="5"/>
        <v>22.849338624338628</v>
      </c>
    </row>
    <row r="6" spans="1:22" ht="13.15">
      <c r="A6" s="588" t="s">
        <v>293</v>
      </c>
      <c r="B6" s="580">
        <f>'Plant loading'!G28</f>
        <v>82.622</v>
      </c>
      <c r="C6" s="580">
        <f>'Plant loading'!R28</f>
        <v>0</v>
      </c>
      <c r="D6" s="580">
        <f>SUM('Plant loading'!AC28:AC31)*54.5/1000</f>
        <v>0</v>
      </c>
      <c r="E6" s="580">
        <f t="shared" si="0"/>
        <v>0</v>
      </c>
      <c r="F6" s="581">
        <f>SUM('Plant loading'!J28:J31)</f>
        <v>504</v>
      </c>
      <c r="G6" s="581">
        <f t="shared" si="1"/>
        <v>252</v>
      </c>
      <c r="H6" s="581">
        <f>'Building Capability'!E7</f>
        <v>600</v>
      </c>
      <c r="I6" s="581">
        <f t="shared" si="2"/>
        <v>300</v>
      </c>
      <c r="J6" s="582"/>
      <c r="K6" s="582"/>
      <c r="L6" s="589"/>
      <c r="S6" s="7">
        <f t="shared" si="3"/>
        <v>82.622</v>
      </c>
      <c r="T6" s="345">
        <f t="shared" si="4"/>
        <v>32.786507936507938</v>
      </c>
      <c r="V6" s="345">
        <f t="shared" si="5"/>
        <v>67.213492063492055</v>
      </c>
    </row>
    <row r="7" spans="1:22" ht="13.15">
      <c r="A7" s="588" t="s">
        <v>305</v>
      </c>
      <c r="B7" s="580">
        <f>'Plant loading'!G32</f>
        <v>274.84350000000001</v>
      </c>
      <c r="C7" s="580">
        <f>'Plant loading'!R32</f>
        <v>16.393600000000003</v>
      </c>
      <c r="D7" s="580">
        <f>SUM('Plant loading'!AC32:AC38)*54.5/1000</f>
        <v>103.877</v>
      </c>
      <c r="E7" s="580">
        <f t="shared" si="0"/>
        <v>120.2706</v>
      </c>
      <c r="F7" s="580">
        <f>SUM('Plant loading'!J32:J38)</f>
        <v>936</v>
      </c>
      <c r="G7" s="581">
        <f t="shared" si="1"/>
        <v>468</v>
      </c>
      <c r="H7" s="581">
        <f>'Building Capability'!E8</f>
        <v>930</v>
      </c>
      <c r="I7" s="581">
        <f t="shared" si="2"/>
        <v>465</v>
      </c>
      <c r="J7" s="582"/>
      <c r="K7" s="582"/>
      <c r="L7" s="589"/>
      <c r="S7" s="7">
        <f t="shared" si="3"/>
        <v>291.2371</v>
      </c>
      <c r="T7" s="345">
        <f t="shared" si="4"/>
        <v>62.230149572649573</v>
      </c>
      <c r="V7" s="345">
        <f t="shared" si="5"/>
        <v>37.769850427350427</v>
      </c>
    </row>
    <row r="8" spans="1:22" ht="13.15">
      <c r="A8" s="590" t="s">
        <v>687</v>
      </c>
      <c r="B8" s="580">
        <f>'Plant loading'!G39</f>
        <v>285.08949999999999</v>
      </c>
      <c r="C8" s="580">
        <f>'Plant loading'!R39</f>
        <v>20.388449999999999</v>
      </c>
      <c r="D8" s="580">
        <f>SUM('Plant loading'!AC39:AC46)*54.5/1000</f>
        <v>67.307500000000005</v>
      </c>
      <c r="E8" s="580">
        <f t="shared" si="0"/>
        <v>87.695950000000011</v>
      </c>
      <c r="F8" s="581">
        <f>SUM('Plant loading'!J39:J46)</f>
        <v>966</v>
      </c>
      <c r="G8" s="581">
        <f t="shared" si="1"/>
        <v>483</v>
      </c>
      <c r="H8" s="581">
        <f>'Building Capability'!E9</f>
        <v>960</v>
      </c>
      <c r="I8" s="581">
        <f t="shared" si="2"/>
        <v>480</v>
      </c>
      <c r="J8" s="581"/>
      <c r="K8" s="581"/>
      <c r="L8" s="591"/>
      <c r="S8" s="7">
        <f t="shared" si="3"/>
        <v>305.47794999999996</v>
      </c>
      <c r="T8" s="345">
        <f t="shared" si="4"/>
        <v>63.245952380952374</v>
      </c>
      <c r="V8" s="345">
        <f t="shared" si="5"/>
        <v>36.754047619047626</v>
      </c>
    </row>
    <row r="9" spans="1:22" ht="13.15">
      <c r="A9" s="588" t="s">
        <v>312</v>
      </c>
      <c r="B9" s="580">
        <f>'Plant loading'!G47</f>
        <v>122.7885</v>
      </c>
      <c r="C9" s="580">
        <f>'Plant loading'!R47</f>
        <v>0</v>
      </c>
      <c r="D9" s="580">
        <f>SUM('Plant loading'!AC47:AC55)*54.5/1000</f>
        <v>0</v>
      </c>
      <c r="E9" s="580">
        <f t="shared" si="0"/>
        <v>0</v>
      </c>
      <c r="F9" s="581">
        <f>SUM('Plant loading'!J47:J55)</f>
        <v>798</v>
      </c>
      <c r="G9" s="581">
        <f t="shared" si="1"/>
        <v>399</v>
      </c>
      <c r="H9" s="581">
        <f>'Building Capability'!E10</f>
        <v>966</v>
      </c>
      <c r="I9" s="581">
        <f t="shared" si="2"/>
        <v>483</v>
      </c>
      <c r="J9" s="581"/>
      <c r="K9" s="581"/>
      <c r="L9" s="591"/>
      <c r="S9" s="7">
        <f t="shared" si="3"/>
        <v>122.7885</v>
      </c>
      <c r="T9" s="345">
        <f t="shared" si="4"/>
        <v>30.774060150375938</v>
      </c>
      <c r="V9" s="345">
        <f t="shared" si="5"/>
        <v>69.225939849624069</v>
      </c>
    </row>
    <row r="10" spans="1:22" ht="13.15">
      <c r="A10" s="588" t="s">
        <v>688</v>
      </c>
      <c r="B10" s="580">
        <f>'Plant loading'!G56</f>
        <v>333.976</v>
      </c>
      <c r="C10" s="580">
        <f>'Plant loading'!R56</f>
        <v>6.1040000000000001</v>
      </c>
      <c r="D10" s="580">
        <f>SUM('Plant loading'!AC56:AC63)*54.5/1000</f>
        <v>55.917000000000002</v>
      </c>
      <c r="E10" s="580">
        <f t="shared" si="0"/>
        <v>62.021000000000001</v>
      </c>
      <c r="F10" s="581">
        <f>SUM('Plant loading'!J56:J63)</f>
        <v>1002</v>
      </c>
      <c r="G10" s="581">
        <f t="shared" si="1"/>
        <v>501</v>
      </c>
      <c r="H10" s="581">
        <f>'Building Capability'!E11</f>
        <v>956</v>
      </c>
      <c r="I10" s="581">
        <f t="shared" si="2"/>
        <v>478</v>
      </c>
      <c r="J10" s="583"/>
      <c r="K10" s="583"/>
      <c r="L10" s="591"/>
      <c r="S10" s="7">
        <f t="shared" si="3"/>
        <v>340.08</v>
      </c>
      <c r="T10" s="345">
        <f t="shared" si="4"/>
        <v>67.880239520958085</v>
      </c>
      <c r="V10" s="345">
        <f t="shared" si="5"/>
        <v>32.119760479041915</v>
      </c>
    </row>
    <row r="11" spans="1:22" ht="13.15">
      <c r="A11" s="588" t="s">
        <v>689</v>
      </c>
      <c r="B11" s="580">
        <f>'Plant loading'!G64</f>
        <v>389.18450000000001</v>
      </c>
      <c r="C11" s="580">
        <f>'Plant loading'!R64</f>
        <v>23.326000000000001</v>
      </c>
      <c r="D11" s="580">
        <f>SUM('Plant loading'!AC64:AC71)*54.5/1000</f>
        <v>40.439</v>
      </c>
      <c r="E11" s="580">
        <f t="shared" si="0"/>
        <v>63.765000000000001</v>
      </c>
      <c r="F11" s="581">
        <f>SUM('Plant loading'!J64:J71)</f>
        <v>978</v>
      </c>
      <c r="G11" s="581">
        <f>SUM(F11/2)-6</f>
        <v>483</v>
      </c>
      <c r="H11" s="581">
        <f>'Building Capability'!E12</f>
        <v>960</v>
      </c>
      <c r="I11" s="581">
        <f t="shared" si="2"/>
        <v>480</v>
      </c>
      <c r="J11" s="583">
        <f>SUM('Inverter Loading'!M28:M29)</f>
        <v>12</v>
      </c>
      <c r="K11" s="583">
        <f>SUM('Inverter Loading'!S28:S29)</f>
        <v>0</v>
      </c>
      <c r="L11" s="591">
        <f>SUM('Inverter Loading'!G28:G29)</f>
        <v>60</v>
      </c>
      <c r="S11" s="7">
        <f t="shared" si="3"/>
        <v>412.51050000000004</v>
      </c>
      <c r="T11" s="345">
        <f t="shared" si="4"/>
        <v>85.405900621118022</v>
      </c>
      <c r="V11" s="345">
        <f t="shared" si="5"/>
        <v>14.594099378881978</v>
      </c>
    </row>
    <row r="12" spans="1:22" ht="13.15">
      <c r="A12" s="588" t="s">
        <v>328</v>
      </c>
      <c r="B12" s="580">
        <f>'Plant loading'!G72</f>
        <v>278.22250000000003</v>
      </c>
      <c r="C12" s="580">
        <f>'Plant loading'!R72</f>
        <v>7.194</v>
      </c>
      <c r="D12" s="580">
        <f>SUM('Plant loading'!AC72:AC79)*54.5/1000</f>
        <v>105.5665</v>
      </c>
      <c r="E12" s="580">
        <f t="shared" si="0"/>
        <v>112.76050000000001</v>
      </c>
      <c r="F12" s="581">
        <f>SUM('Plant loading'!J72:J79)</f>
        <v>978</v>
      </c>
      <c r="G12" s="581">
        <f t="shared" si="1"/>
        <v>489</v>
      </c>
      <c r="H12" s="581">
        <f>'Building Capability'!E13</f>
        <v>946</v>
      </c>
      <c r="I12" s="581">
        <f t="shared" si="2"/>
        <v>473</v>
      </c>
      <c r="J12" s="582"/>
      <c r="K12" s="582"/>
      <c r="L12" s="589"/>
      <c r="S12" s="7">
        <f t="shared" si="3"/>
        <v>285.41650000000004</v>
      </c>
      <c r="T12" s="345">
        <f t="shared" si="4"/>
        <v>58.367382413087945</v>
      </c>
      <c r="V12" s="345">
        <f t="shared" si="5"/>
        <v>41.632617586912055</v>
      </c>
    </row>
    <row r="13" spans="1:22" ht="13.15">
      <c r="A13" s="588" t="s">
        <v>333</v>
      </c>
      <c r="B13" s="580">
        <f>'Plant loading'!G80</f>
        <v>106.384</v>
      </c>
      <c r="C13" s="580">
        <f>'Plant loading'!R80</f>
        <v>12.06085</v>
      </c>
      <c r="D13" s="580">
        <f>SUM('Plant loading'!AC80:AC84)*54.5/1000</f>
        <v>0</v>
      </c>
      <c r="E13" s="580">
        <f t="shared" si="0"/>
        <v>12.06085</v>
      </c>
      <c r="F13" s="581">
        <f>SUM('Plant loading'!J80:J84)</f>
        <v>630</v>
      </c>
      <c r="G13" s="581">
        <f t="shared" si="1"/>
        <v>315</v>
      </c>
      <c r="H13" s="581">
        <f>'Building Capability'!E14</f>
        <v>630</v>
      </c>
      <c r="I13" s="581">
        <f t="shared" si="2"/>
        <v>315</v>
      </c>
      <c r="J13" s="582"/>
      <c r="K13" s="582"/>
      <c r="L13" s="589"/>
      <c r="S13" s="7">
        <f t="shared" si="3"/>
        <v>118.44485</v>
      </c>
      <c r="T13" s="345">
        <f t="shared" si="4"/>
        <v>37.601539682539681</v>
      </c>
      <c r="V13" s="345">
        <f t="shared" si="5"/>
        <v>62.398460317460319</v>
      </c>
    </row>
    <row r="14" spans="1:22" ht="13.15">
      <c r="A14" s="588" t="s">
        <v>336</v>
      </c>
      <c r="B14" s="580">
        <f>'Plant loading'!G85</f>
        <v>92.867999999999995</v>
      </c>
      <c r="C14" s="580">
        <f>'Plant loading'!R85</f>
        <v>19.292999999999999</v>
      </c>
      <c r="D14" s="580">
        <f>SUM('Plant loading'!AC85:AC88)*54.5/1000</f>
        <v>0</v>
      </c>
      <c r="E14" s="580">
        <f t="shared" si="0"/>
        <v>19.292999999999999</v>
      </c>
      <c r="F14" s="581">
        <f>SUM('Plant loading'!J85:J88)</f>
        <v>504</v>
      </c>
      <c r="G14" s="581">
        <f t="shared" si="1"/>
        <v>252</v>
      </c>
      <c r="H14" s="581">
        <f>'Building Capability'!E15</f>
        <v>600</v>
      </c>
      <c r="I14" s="581">
        <f t="shared" si="2"/>
        <v>300</v>
      </c>
      <c r="J14" s="582"/>
      <c r="K14" s="582"/>
      <c r="L14" s="589"/>
      <c r="S14" s="7">
        <f t="shared" si="3"/>
        <v>112.161</v>
      </c>
      <c r="T14" s="345">
        <f t="shared" si="4"/>
        <v>44.508333333333333</v>
      </c>
      <c r="V14" s="345">
        <f t="shared" si="5"/>
        <v>55.491666666666667</v>
      </c>
    </row>
    <row r="15" spans="1:22" ht="13.15">
      <c r="A15" s="588" t="s">
        <v>339</v>
      </c>
      <c r="B15" s="580">
        <f>'Plant loading'!G89</f>
        <v>109.8175</v>
      </c>
      <c r="C15" s="580">
        <f>'Plant loading'!R89</f>
        <v>0</v>
      </c>
      <c r="D15" s="580">
        <f>SUM('Plant loading'!AC89:AC93)*54.5/1000</f>
        <v>0</v>
      </c>
      <c r="E15" s="580">
        <f t="shared" si="0"/>
        <v>0</v>
      </c>
      <c r="F15" s="581">
        <f>SUM('Plant loading'!J89:J93)</f>
        <v>609</v>
      </c>
      <c r="G15" s="581">
        <f t="shared" si="1"/>
        <v>304.5</v>
      </c>
      <c r="H15" s="581">
        <f>'Building Capability'!E16</f>
        <v>609</v>
      </c>
      <c r="I15" s="581">
        <f t="shared" si="2"/>
        <v>304.5</v>
      </c>
      <c r="J15" s="582"/>
      <c r="K15" s="582"/>
      <c r="L15" s="589"/>
      <c r="S15" s="7">
        <f t="shared" si="3"/>
        <v>109.8175</v>
      </c>
      <c r="T15" s="345">
        <f t="shared" si="4"/>
        <v>36.064860426929393</v>
      </c>
      <c r="V15" s="345">
        <f t="shared" si="5"/>
        <v>63.935139573070607</v>
      </c>
    </row>
    <row r="16" spans="1:22" ht="13.9" thickBot="1">
      <c r="A16" s="592" t="s">
        <v>566</v>
      </c>
      <c r="B16" s="593">
        <f t="shared" ref="B16:I16" si="6">SUM(B2:B15)</f>
        <v>3045.2419999999997</v>
      </c>
      <c r="C16" s="593">
        <f t="shared" si="6"/>
        <v>153.15590000000003</v>
      </c>
      <c r="D16" s="593">
        <f t="shared" si="6"/>
        <v>479.10950000000008</v>
      </c>
      <c r="E16" s="593">
        <f t="shared" si="6"/>
        <v>632.2654</v>
      </c>
      <c r="F16" s="594">
        <f t="shared" si="6"/>
        <v>10929</v>
      </c>
      <c r="G16" s="594">
        <f t="shared" si="6"/>
        <v>5458.5</v>
      </c>
      <c r="H16" s="594">
        <f t="shared" si="6"/>
        <v>11181</v>
      </c>
      <c r="I16" s="594">
        <f t="shared" si="6"/>
        <v>5590.5</v>
      </c>
      <c r="J16" s="595"/>
      <c r="K16" s="595"/>
      <c r="L16" s="596"/>
    </row>
    <row r="18" spans="1:7" ht="13.15">
      <c r="A18" s="121" t="s">
        <v>690</v>
      </c>
      <c r="B18" s="122"/>
      <c r="C18" s="122"/>
      <c r="D18" s="122"/>
      <c r="E18" s="122"/>
      <c r="F18" s="122"/>
      <c r="G18" s="123"/>
    </row>
    <row r="19" spans="1:7" ht="13.15">
      <c r="A19" s="573" t="s">
        <v>512</v>
      </c>
      <c r="B19" s="574" t="s">
        <v>691</v>
      </c>
      <c r="C19" s="574" t="s">
        <v>692</v>
      </c>
      <c r="D19" s="574" t="s">
        <v>376</v>
      </c>
      <c r="E19" s="574" t="s">
        <v>377</v>
      </c>
      <c r="F19" s="574" t="s">
        <v>693</v>
      </c>
      <c r="G19" s="574" t="s">
        <v>694</v>
      </c>
    </row>
    <row r="20" spans="1:7" ht="13.15">
      <c r="A20" s="574" t="str">
        <f>A3</f>
        <v xml:space="preserve"> XBE</v>
      </c>
      <c r="B20" s="575">
        <f>SUM('Inverter Loading'!O4:O9)</f>
        <v>81.750000000000014</v>
      </c>
      <c r="C20" s="575">
        <f>B3-B20</f>
        <v>305.2</v>
      </c>
      <c r="D20" s="575">
        <f>D3</f>
        <v>39.021999999999998</v>
      </c>
      <c r="E20" s="575">
        <f>C3</f>
        <v>38.040999999999997</v>
      </c>
      <c r="F20" s="575">
        <f>G3-B20-C20-D20-E20</f>
        <v>39.987000000000023</v>
      </c>
      <c r="G20" s="575">
        <f>I3-B20-C20-D20-E20-F20</f>
        <v>0</v>
      </c>
    </row>
    <row r="21" spans="1:7" ht="13.15">
      <c r="A21" s="574" t="str">
        <f>A11</f>
        <v xml:space="preserve"> XMS</v>
      </c>
      <c r="B21" s="575">
        <f ca="1">SUM('Inverter Loading'!O28:'Inverter Loading'!O33)</f>
        <v>71.94</v>
      </c>
      <c r="C21" s="575">
        <f ca="1">B11-B21</f>
        <v>317.24450000000002</v>
      </c>
      <c r="D21" s="575">
        <f>D11</f>
        <v>40.439</v>
      </c>
      <c r="E21" s="575">
        <f>C11</f>
        <v>23.326000000000001</v>
      </c>
      <c r="F21" s="575">
        <f ca="1">G11-B21-C21-D21-E21</f>
        <v>30.050499999999985</v>
      </c>
      <c r="G21" s="575">
        <v>0</v>
      </c>
    </row>
    <row r="22" spans="1:7" ht="13.15">
      <c r="A22" s="574" t="str">
        <f>A10</f>
        <v xml:space="preserve"> XLD</v>
      </c>
      <c r="B22" s="575">
        <f ca="1">SUM('Inverter Loading'!O26:'Inverter Loading'!O27)</f>
        <v>50.14</v>
      </c>
      <c r="C22" s="575">
        <f ca="1">(B10-B22)</f>
        <v>283.83600000000001</v>
      </c>
      <c r="D22" s="575">
        <f>D10</f>
        <v>55.917000000000002</v>
      </c>
      <c r="E22" s="575">
        <f>C10</f>
        <v>6.1040000000000001</v>
      </c>
      <c r="F22" s="575">
        <f ca="1">G10-B22-C22-D22-E22</f>
        <v>105.003</v>
      </c>
      <c r="G22" s="575">
        <v>0</v>
      </c>
    </row>
    <row r="23" spans="1:7" ht="13.15">
      <c r="A23" s="574" t="str">
        <f>A5</f>
        <v>XEH</v>
      </c>
      <c r="B23" s="575">
        <f>SUM('Inverter Loading'!M12:M13)</f>
        <v>33</v>
      </c>
      <c r="C23" s="575">
        <f>B5-B23</f>
        <v>255.14150000000001</v>
      </c>
      <c r="D23" s="575">
        <f>D5</f>
        <v>53.082999999999998</v>
      </c>
      <c r="E23" s="575">
        <f>C5</f>
        <v>3.488</v>
      </c>
      <c r="F23" s="575">
        <f>G5-B23-C23-D23-E23</f>
        <v>33.287499999999994</v>
      </c>
      <c r="G23" s="575">
        <v>0</v>
      </c>
    </row>
    <row r="24" spans="1:7" ht="13.15">
      <c r="A24" s="574" t="str">
        <f>A8</f>
        <v xml:space="preserve"> XGL</v>
      </c>
      <c r="B24" s="575">
        <f ca="1">SUM('Inverter Loading'!O16:'Inverter Loading'!O19)+J8</f>
        <v>47.960000000000008</v>
      </c>
      <c r="C24" s="575">
        <f ca="1">(B8-B24)</f>
        <v>237.12949999999998</v>
      </c>
      <c r="D24" s="575">
        <f>D8</f>
        <v>67.307500000000005</v>
      </c>
      <c r="E24" s="575">
        <f>C8</f>
        <v>20.388449999999999</v>
      </c>
      <c r="F24" s="575">
        <f ca="1">G8-B24-C24-D24-E24</f>
        <v>110.21454999999997</v>
      </c>
      <c r="G24" s="575">
        <v>0</v>
      </c>
    </row>
    <row r="25" spans="1:7" ht="13.15">
      <c r="A25" s="574" t="str">
        <f>A7</f>
        <v>XGR</v>
      </c>
      <c r="B25" s="575">
        <f>SUM('Inverter Loading'!O20:O23)</f>
        <v>30.660610000000002</v>
      </c>
      <c r="C25" s="575">
        <f>B7-B25</f>
        <v>244.18289000000001</v>
      </c>
      <c r="D25" s="575">
        <f>D7</f>
        <v>103.877</v>
      </c>
      <c r="E25" s="575">
        <f>C7</f>
        <v>16.393600000000003</v>
      </c>
      <c r="F25" s="575">
        <f>G7-B25-C25-D25-E25</f>
        <v>72.885899999999964</v>
      </c>
      <c r="G25" s="575">
        <v>0</v>
      </c>
    </row>
    <row r="26" spans="1:7" ht="13.15">
      <c r="A26" s="574" t="str">
        <f>A12</f>
        <v>XOM</v>
      </c>
      <c r="B26" s="575">
        <f ca="1">SUM('Inverter Loading'!O34:'Inverter Loading'!O35)</f>
        <v>50.14</v>
      </c>
      <c r="C26" s="575">
        <f ca="1">B12-B26</f>
        <v>228.08250000000004</v>
      </c>
      <c r="D26" s="575">
        <f>D12</f>
        <v>105.5665</v>
      </c>
      <c r="E26" s="575">
        <f>C12</f>
        <v>7.194</v>
      </c>
      <c r="F26" s="575">
        <f ca="1">G12-B26-C26-D26-E26</f>
        <v>98.016999999999967</v>
      </c>
      <c r="G26" s="575">
        <v>0</v>
      </c>
    </row>
    <row r="27" spans="1:7" ht="13.15">
      <c r="A27" s="574" t="str">
        <f>A2</f>
        <v>XAN</v>
      </c>
      <c r="B27" s="575">
        <f ca="1">SUM('Inverter Loading'!O2:'Inverter Loading'!O3)</f>
        <v>30.520000000000003</v>
      </c>
      <c r="C27" s="575">
        <f ca="1">B2-B27</f>
        <v>140.392</v>
      </c>
      <c r="D27" s="575">
        <f>D2</f>
        <v>13.897500000000001</v>
      </c>
      <c r="E27" s="575">
        <f>C2</f>
        <v>1.0900000000000001</v>
      </c>
      <c r="F27" s="575">
        <f ca="1">G2-B27-C27-D27-E27</f>
        <v>129.10050000000001</v>
      </c>
      <c r="G27" s="575">
        <f ca="1">I2-B27-C27-D27-E27-F27</f>
        <v>0</v>
      </c>
    </row>
    <row r="28" spans="1:7" ht="13.15">
      <c r="A28" s="574" t="str">
        <f>A4</f>
        <v>XCY</v>
      </c>
      <c r="B28" s="575">
        <f>SUM('Inverter Loading'!O10:O11)</f>
        <v>17.440000000000001</v>
      </c>
      <c r="C28" s="575">
        <f>B4-B28</f>
        <v>106.0025</v>
      </c>
      <c r="D28" s="575">
        <f>D4</f>
        <v>0</v>
      </c>
      <c r="E28" s="575">
        <f>C4</f>
        <v>5.7770000000000001</v>
      </c>
      <c r="F28" s="575">
        <f>G4-B28-C28-D28-E28</f>
        <v>185.78050000000002</v>
      </c>
      <c r="G28" s="575">
        <f>I4-B28-C28-D28-E28-F28</f>
        <v>0</v>
      </c>
    </row>
    <row r="29" spans="1:7" ht="13.15">
      <c r="A29" s="574" t="str">
        <f>A6</f>
        <v>XER</v>
      </c>
      <c r="B29" s="575">
        <f>SUM('Inverter Loading'!O14:O15)</f>
        <v>7.6300000000000008</v>
      </c>
      <c r="C29" s="575">
        <f>B6-B29</f>
        <v>74.992000000000004</v>
      </c>
      <c r="D29" s="575">
        <f>D6</f>
        <v>0</v>
      </c>
      <c r="E29" s="575">
        <f>C6</f>
        <v>0</v>
      </c>
      <c r="F29" s="575">
        <f>G6-B29-C29-D29-E29</f>
        <v>169.37799999999999</v>
      </c>
      <c r="G29" s="575">
        <f>I6-B29-C29-D29-E29-F29</f>
        <v>48</v>
      </c>
    </row>
    <row r="30" spans="1:7" s="442" customFormat="1" ht="26.45">
      <c r="A30" s="576" t="s">
        <v>695</v>
      </c>
      <c r="B30" s="577">
        <v>0</v>
      </c>
      <c r="C30" s="577">
        <f>C77-B81</f>
        <v>36.624000000000002</v>
      </c>
      <c r="D30" s="577">
        <f t="shared" ref="D30:E32" si="7">D77</f>
        <v>0</v>
      </c>
      <c r="E30" s="577">
        <f t="shared" si="7"/>
        <v>0</v>
      </c>
      <c r="F30" s="575">
        <f>(G9/3)-B30-C30-D30-E30</f>
        <v>96.376000000000005</v>
      </c>
      <c r="G30" s="577">
        <f>(I9/3)-B30-C30-D30-E30-F30</f>
        <v>28</v>
      </c>
    </row>
    <row r="31" spans="1:7" s="442" customFormat="1" ht="26.45">
      <c r="A31" s="576" t="s">
        <v>696</v>
      </c>
      <c r="B31" s="577">
        <f>SUM('Inverter Loading'!O24:O25)</f>
        <v>39.24</v>
      </c>
      <c r="C31" s="577">
        <f>C78-B31</f>
        <v>25.342499999999994</v>
      </c>
      <c r="D31" s="577">
        <f t="shared" si="7"/>
        <v>0</v>
      </c>
      <c r="E31" s="577">
        <f t="shared" si="7"/>
        <v>0</v>
      </c>
      <c r="F31" s="575">
        <f>(G9/3)-B31-C31-D31-E31</f>
        <v>68.41749999999999</v>
      </c>
      <c r="G31" s="577">
        <f>(I9/3)-B31-C31-D31-E31-F31</f>
        <v>28</v>
      </c>
    </row>
    <row r="32" spans="1:7" s="442" customFormat="1" ht="26.45">
      <c r="A32" s="576" t="s">
        <v>697</v>
      </c>
      <c r="B32" s="577">
        <v>0</v>
      </c>
      <c r="C32" s="577">
        <f>C79-B40</f>
        <v>21.582000000000001</v>
      </c>
      <c r="D32" s="577">
        <f t="shared" si="7"/>
        <v>0</v>
      </c>
      <c r="E32" s="577">
        <f t="shared" si="7"/>
        <v>0</v>
      </c>
      <c r="F32" s="575">
        <f>(G9/3)-B32-C32-D32-E32</f>
        <v>111.41800000000001</v>
      </c>
      <c r="G32" s="577">
        <f>(I9/3)-B32-C32-D32-E32-F32</f>
        <v>28</v>
      </c>
    </row>
    <row r="33" spans="1:9" ht="13.15">
      <c r="A33" s="574" t="str">
        <f>A13</f>
        <v>XRM</v>
      </c>
      <c r="B33" s="575">
        <f>SUM('Inverter Loading'!O36:O37)</f>
        <v>8.7200000000000006</v>
      </c>
      <c r="C33" s="575">
        <f>B13-B33</f>
        <v>97.664000000000001</v>
      </c>
      <c r="D33" s="575">
        <f>D13</f>
        <v>0</v>
      </c>
      <c r="E33" s="575">
        <f>C13</f>
        <v>12.06085</v>
      </c>
      <c r="F33" s="575">
        <f>G13-B33-C33-D33-E33</f>
        <v>196.55515</v>
      </c>
      <c r="G33" s="575">
        <f>I13-B33-C33-D33-E33-F33</f>
        <v>0</v>
      </c>
      <c r="H33" s="6"/>
      <c r="I33" s="6"/>
    </row>
    <row r="34" spans="1:9" ht="13.15">
      <c r="A34" s="574" t="str">
        <f>A14</f>
        <v>XSN</v>
      </c>
      <c r="B34" s="575">
        <f>SUM('Inverter Loading'!O38:O39)</f>
        <v>7.6300000000000008</v>
      </c>
      <c r="C34" s="575">
        <f>B14-B34</f>
        <v>85.238</v>
      </c>
      <c r="D34" s="575">
        <f>D14</f>
        <v>0</v>
      </c>
      <c r="E34" s="575">
        <f>C14</f>
        <v>19.292999999999999</v>
      </c>
      <c r="F34" s="575">
        <f t="shared" ref="F34:F35" si="8">G14-B34-C34-D34-E34</f>
        <v>139.839</v>
      </c>
      <c r="G34" s="575">
        <f>I14-B34-C34-D34-E34-F34</f>
        <v>48</v>
      </c>
      <c r="H34" s="6"/>
      <c r="I34" s="6"/>
    </row>
    <row r="35" spans="1:9" ht="13.15">
      <c r="A35" s="574" t="str">
        <f>A15</f>
        <v>XSY</v>
      </c>
      <c r="B35" s="575">
        <f>SUM('Inverter Loading'!O40:O41)</f>
        <v>7.6300000000000008</v>
      </c>
      <c r="C35" s="575">
        <f>B15-B35</f>
        <v>102.1875</v>
      </c>
      <c r="D35" s="575">
        <f>D15</f>
        <v>0</v>
      </c>
      <c r="E35" s="575">
        <f>C15</f>
        <v>0</v>
      </c>
      <c r="F35" s="575">
        <f t="shared" si="8"/>
        <v>194.6825</v>
      </c>
      <c r="G35" s="575">
        <f>I15-B35-C35-D35-E35-F35</f>
        <v>0</v>
      </c>
      <c r="H35" s="6"/>
      <c r="I35" s="6"/>
    </row>
    <row r="36" spans="1:9" ht="13.15">
      <c r="G36" s="6"/>
    </row>
    <row r="37" spans="1:9" ht="13.15">
      <c r="A37" s="3"/>
      <c r="B37" s="4"/>
      <c r="C37" s="6"/>
      <c r="D37" s="6"/>
      <c r="E37" s="6"/>
      <c r="F37" s="6"/>
      <c r="G37" s="6"/>
      <c r="H37" s="6"/>
      <c r="I37" s="6"/>
    </row>
    <row r="38" spans="1:9" ht="13.15">
      <c r="A38" s="3"/>
      <c r="B38" s="4"/>
      <c r="C38" s="6"/>
      <c r="D38" s="6"/>
      <c r="E38" s="6" t="s">
        <v>698</v>
      </c>
      <c r="F38" s="6"/>
      <c r="G38" s="6"/>
      <c r="H38" s="6" t="s">
        <v>698</v>
      </c>
      <c r="I38" s="6"/>
    </row>
    <row r="39" spans="1:9" ht="13.15">
      <c r="G39" s="6"/>
      <c r="H39" s="6"/>
      <c r="I39" s="6"/>
    </row>
    <row r="40" spans="1:9" ht="13.15">
      <c r="G40" s="6"/>
      <c r="H40" s="6"/>
      <c r="I40" s="6"/>
    </row>
    <row r="41" spans="1:9" ht="13.15">
      <c r="G41" s="6"/>
      <c r="H41" s="6"/>
      <c r="I41" s="6"/>
    </row>
    <row r="42" spans="1:9" ht="13.15">
      <c r="A42" s="3"/>
      <c r="B42" s="5"/>
      <c r="C42" s="5"/>
      <c r="D42" s="5"/>
      <c r="E42" s="5"/>
      <c r="F42" s="5"/>
    </row>
    <row r="43" spans="1:9" ht="13.15">
      <c r="A43" s="3"/>
      <c r="B43" s="5"/>
      <c r="C43" s="5"/>
      <c r="D43" s="5"/>
      <c r="E43" s="5"/>
      <c r="F43" s="5"/>
    </row>
    <row r="44" spans="1:9" ht="13.9" thickBot="1">
      <c r="A44" s="3"/>
      <c r="B44" s="6"/>
      <c r="C44" s="6"/>
      <c r="D44" s="6"/>
      <c r="E44" s="6"/>
      <c r="F44" s="6"/>
      <c r="G44" s="6"/>
      <c r="H44" s="6"/>
      <c r="I44" s="345"/>
    </row>
    <row r="45" spans="1:9" ht="13.15">
      <c r="A45" s="138" t="s">
        <v>512</v>
      </c>
      <c r="B45" s="139" t="s">
        <v>679</v>
      </c>
      <c r="C45" s="140" t="s">
        <v>377</v>
      </c>
      <c r="D45" s="140" t="s">
        <v>376</v>
      </c>
      <c r="E45" s="140" t="s">
        <v>680</v>
      </c>
      <c r="F45" s="140" t="s">
        <v>569</v>
      </c>
      <c r="G45" s="140" t="s">
        <v>681</v>
      </c>
      <c r="H45" s="139" t="s">
        <v>423</v>
      </c>
      <c r="I45" s="141" t="s">
        <v>682</v>
      </c>
    </row>
    <row r="46" spans="1:9" ht="13.15">
      <c r="A46" s="142" t="s">
        <v>348</v>
      </c>
      <c r="B46" s="143">
        <f>'Plant loading'!G94</f>
        <v>40.548000000000002</v>
      </c>
      <c r="C46" s="143">
        <f>'Plant loading'!P94</f>
        <v>0</v>
      </c>
      <c r="D46" s="143">
        <f>SUM('Plant loading'!AC94:AC95)*54.5/1000</f>
        <v>0</v>
      </c>
      <c r="E46" s="143">
        <f>SUM(C46+D46)</f>
        <v>0</v>
      </c>
      <c r="F46" s="143">
        <f>SUM('Plant loading'!J94+'Plant loading'!J95)</f>
        <v>230</v>
      </c>
      <c r="G46" s="144">
        <f t="shared" ref="G46:G56" si="9">SUM(F46/2)</f>
        <v>115</v>
      </c>
      <c r="H46" s="144">
        <v>600</v>
      </c>
      <c r="I46" s="145">
        <f>H46/2</f>
        <v>300</v>
      </c>
    </row>
    <row r="47" spans="1:9" ht="13.15">
      <c r="A47" s="142" t="s">
        <v>350</v>
      </c>
      <c r="B47" s="143">
        <f>'Plant loading'!G96</f>
        <v>39.185499999999998</v>
      </c>
      <c r="C47" s="143">
        <f>'Plant loading'!P96</f>
        <v>0</v>
      </c>
      <c r="D47" s="143">
        <f>SUM('Plant loading'!AC96:AC98)*54.5/1000</f>
        <v>0</v>
      </c>
      <c r="E47" s="143">
        <f>SUM(C47+D47)</f>
        <v>0</v>
      </c>
      <c r="F47" s="143">
        <f ca="1">SUM('Plant loading'!J96:'Plant loading'!J98)</f>
        <v>229</v>
      </c>
      <c r="G47" s="144">
        <f ca="1">SUM(F47/2)</f>
        <v>114.5</v>
      </c>
      <c r="H47" s="144">
        <v>600</v>
      </c>
      <c r="I47" s="145">
        <f>H47/2</f>
        <v>300</v>
      </c>
    </row>
    <row r="48" spans="1:9" ht="13.15">
      <c r="A48" s="142" t="s">
        <v>353</v>
      </c>
      <c r="B48" s="143">
        <f>'Plant loading'!G99</f>
        <v>45.9435</v>
      </c>
      <c r="C48" s="143">
        <f>'Plant loading'!P99</f>
        <v>0</v>
      </c>
      <c r="D48" s="143">
        <f>SUM('Plant loading'!AC99:AC100)*54.5/1000</f>
        <v>0</v>
      </c>
      <c r="E48" s="143">
        <f t="shared" ref="E48:E56" si="10">SUM(C48+D48)</f>
        <v>0</v>
      </c>
      <c r="F48" s="143">
        <f>SUM('Plant loading'!J99+'Plant loading'!J100)</f>
        <v>230</v>
      </c>
      <c r="G48" s="144">
        <f t="shared" si="9"/>
        <v>115</v>
      </c>
      <c r="H48" s="144">
        <v>600</v>
      </c>
      <c r="I48" s="145">
        <f t="shared" ref="I48:I56" si="11">H48/2</f>
        <v>300</v>
      </c>
    </row>
    <row r="49" spans="1:9" ht="13.15">
      <c r="A49" s="142" t="s">
        <v>355</v>
      </c>
      <c r="B49" s="143">
        <f>'Plant loading'!G101</f>
        <v>32.917999999999999</v>
      </c>
      <c r="C49" s="143">
        <f>'Plant loading'!P101</f>
        <v>0</v>
      </c>
      <c r="D49" s="143">
        <f>SUM('Plant loading'!AC101:AC102)*54.5/1000</f>
        <v>0</v>
      </c>
      <c r="E49" s="143">
        <f t="shared" si="10"/>
        <v>0</v>
      </c>
      <c r="F49" s="143">
        <f>SUM('Plant loading'!J101+'Plant loading'!J102)</f>
        <v>230</v>
      </c>
      <c r="G49" s="144">
        <f t="shared" si="9"/>
        <v>115</v>
      </c>
      <c r="H49" s="144">
        <v>600</v>
      </c>
      <c r="I49" s="145">
        <f t="shared" si="11"/>
        <v>300</v>
      </c>
    </row>
    <row r="50" spans="1:9" ht="13.15">
      <c r="A50" s="142" t="s">
        <v>357</v>
      </c>
      <c r="B50" s="143">
        <f>'Plant loading'!G103</f>
        <v>9.5374999999999996</v>
      </c>
      <c r="C50" s="143">
        <f>'Plant loading'!P103</f>
        <v>0</v>
      </c>
      <c r="D50" s="143">
        <f>SUM('Plant loading'!AC103:AC104)*54.5/1000</f>
        <v>0</v>
      </c>
      <c r="E50" s="143">
        <f t="shared" si="10"/>
        <v>0</v>
      </c>
      <c r="F50" s="143">
        <f>SUM('Plant loading'!J103+'Plant loading'!J104)</f>
        <v>62</v>
      </c>
      <c r="G50" s="144">
        <f t="shared" si="9"/>
        <v>31</v>
      </c>
      <c r="H50" s="144">
        <f>G50*2</f>
        <v>62</v>
      </c>
      <c r="I50" s="145">
        <f t="shared" si="11"/>
        <v>31</v>
      </c>
    </row>
    <row r="51" spans="1:9" ht="13.15">
      <c r="A51" s="146" t="s">
        <v>359</v>
      </c>
      <c r="B51" s="143">
        <f>'Plant loading'!G105</f>
        <v>61.094499999999996</v>
      </c>
      <c r="C51" s="143">
        <f>'Plant loading'!P105</f>
        <v>0</v>
      </c>
      <c r="D51" s="143">
        <f>SUM('Plant loading'!AC105:AC106)*54.5/1000</f>
        <v>0</v>
      </c>
      <c r="E51" s="143">
        <f t="shared" si="10"/>
        <v>0</v>
      </c>
      <c r="F51" s="143">
        <f>SUM('Plant loading'!J105+'Plant loading'!J106)</f>
        <v>230</v>
      </c>
      <c r="G51" s="144">
        <f t="shared" si="9"/>
        <v>115</v>
      </c>
      <c r="H51" s="144">
        <v>600</v>
      </c>
      <c r="I51" s="145">
        <f t="shared" si="11"/>
        <v>300</v>
      </c>
    </row>
    <row r="52" spans="1:9" ht="13.15">
      <c r="A52" s="142" t="s">
        <v>361</v>
      </c>
      <c r="B52" s="143">
        <f>'Plant loading'!G109</f>
        <v>43.927</v>
      </c>
      <c r="C52" s="143">
        <f>'Plant loading'!P109</f>
        <v>0</v>
      </c>
      <c r="D52" s="143">
        <f>SUM('Plant loading'!AC109:AC111)*54.5/1000</f>
        <v>0</v>
      </c>
      <c r="E52" s="143">
        <f t="shared" si="10"/>
        <v>0</v>
      </c>
      <c r="F52" s="143">
        <f>SUM('Plant loading'!J109:J111)</f>
        <v>287</v>
      </c>
      <c r="G52" s="144">
        <f t="shared" si="9"/>
        <v>143.5</v>
      </c>
      <c r="H52" s="144">
        <v>600</v>
      </c>
      <c r="I52" s="145">
        <f t="shared" si="11"/>
        <v>300</v>
      </c>
    </row>
    <row r="53" spans="1:9" ht="13.15">
      <c r="A53" s="142" t="s">
        <v>363</v>
      </c>
      <c r="B53" s="143">
        <f>'Plant loading'!G107</f>
        <v>33.244999999999997</v>
      </c>
      <c r="C53" s="143">
        <f>'Plant loading'!P107</f>
        <v>0</v>
      </c>
      <c r="D53" s="143">
        <f>SUM('Plant loading'!AC107:AC108)*54.5/1000</f>
        <v>0</v>
      </c>
      <c r="E53" s="143">
        <f t="shared" si="10"/>
        <v>0</v>
      </c>
      <c r="F53" s="143">
        <f>SUM('Plant loading'!J107+'Plant loading'!J108)</f>
        <v>230</v>
      </c>
      <c r="G53" s="144">
        <f t="shared" si="9"/>
        <v>115</v>
      </c>
      <c r="H53" s="144">
        <v>600</v>
      </c>
      <c r="I53" s="145">
        <f t="shared" si="11"/>
        <v>300</v>
      </c>
    </row>
    <row r="54" spans="1:9" ht="13.15">
      <c r="A54" s="142" t="s">
        <v>367</v>
      </c>
      <c r="B54" s="143">
        <f>'Plant loading'!G112</f>
        <v>19.1295</v>
      </c>
      <c r="C54" s="143">
        <f>'Plant loading'!P112</f>
        <v>0</v>
      </c>
      <c r="D54" s="143">
        <f>SUM('Plant loading'!AC112:AC113)*54.5/1000</f>
        <v>0</v>
      </c>
      <c r="E54" s="143">
        <f t="shared" si="10"/>
        <v>0</v>
      </c>
      <c r="F54" s="143">
        <f>SUM('Plant loading'!J112+'Plant loading'!J113)</f>
        <v>211</v>
      </c>
      <c r="G54" s="144">
        <f t="shared" si="9"/>
        <v>105.5</v>
      </c>
      <c r="H54" s="144">
        <v>600</v>
      </c>
      <c r="I54" s="145">
        <f t="shared" si="11"/>
        <v>300</v>
      </c>
    </row>
    <row r="55" spans="1:9" ht="13.15">
      <c r="A55" s="142" t="s">
        <v>369</v>
      </c>
      <c r="B55" s="143">
        <f>'Plant loading'!G114</f>
        <v>44.253999999999998</v>
      </c>
      <c r="C55" s="143">
        <f>'Plant loading'!P114</f>
        <v>0</v>
      </c>
      <c r="D55" s="143">
        <f>SUM('Plant loading'!AC114:AC115)*54.5/1000</f>
        <v>0</v>
      </c>
      <c r="E55" s="143">
        <f t="shared" si="10"/>
        <v>0</v>
      </c>
      <c r="F55" s="143">
        <f>SUM('Plant loading'!J114+'Plant loading'!J115)</f>
        <v>230</v>
      </c>
      <c r="G55" s="144">
        <f t="shared" si="9"/>
        <v>115</v>
      </c>
      <c r="H55" s="144">
        <v>600</v>
      </c>
      <c r="I55" s="145">
        <f t="shared" si="11"/>
        <v>300</v>
      </c>
    </row>
    <row r="56" spans="1:9" ht="13.9" thickBot="1">
      <c r="A56" s="142" t="s">
        <v>371</v>
      </c>
      <c r="B56" s="143">
        <f>'Plant loading'!G116</f>
        <v>39.567</v>
      </c>
      <c r="C56" s="143">
        <f>'Plant loading'!P116</f>
        <v>0</v>
      </c>
      <c r="D56" s="143">
        <f>SUM('Plant loading'!AC116:AC118)*54.5/1000</f>
        <v>0</v>
      </c>
      <c r="E56" s="143">
        <f t="shared" si="10"/>
        <v>0</v>
      </c>
      <c r="F56" s="143">
        <f>SUM('Plant loading'!J116:J118)</f>
        <v>171</v>
      </c>
      <c r="G56" s="144">
        <f t="shared" si="9"/>
        <v>85.5</v>
      </c>
      <c r="H56" s="144">
        <f>G56*2</f>
        <v>171</v>
      </c>
      <c r="I56" s="145">
        <f t="shared" si="11"/>
        <v>85.5</v>
      </c>
    </row>
    <row r="57" spans="1:9" ht="10.9" thickBot="1">
      <c r="F57" s="428"/>
    </row>
    <row r="58" spans="1:9" ht="13.15">
      <c r="A58" s="147" t="s">
        <v>699</v>
      </c>
      <c r="B58" s="148"/>
      <c r="C58" s="148"/>
      <c r="D58" s="148"/>
      <c r="E58" s="148"/>
      <c r="F58" s="149"/>
    </row>
    <row r="59" spans="1:9" ht="13.15">
      <c r="A59" s="150" t="s">
        <v>512</v>
      </c>
      <c r="B59" s="151" t="s">
        <v>691</v>
      </c>
      <c r="C59" s="152" t="s">
        <v>692</v>
      </c>
      <c r="D59" s="152" t="s">
        <v>376</v>
      </c>
      <c r="E59" s="152" t="s">
        <v>377</v>
      </c>
      <c r="F59" s="153" t="s">
        <v>700</v>
      </c>
      <c r="G59" s="3"/>
      <c r="H59" s="3"/>
      <c r="I59" s="3"/>
    </row>
    <row r="60" spans="1:9" ht="13.15">
      <c r="A60" s="154" t="s">
        <v>348</v>
      </c>
      <c r="B60" s="157">
        <f>SUM('Inverter Loading'!O44)</f>
        <v>1.2535000000000001</v>
      </c>
      <c r="C60" s="155">
        <f>B46-B60</f>
        <v>39.294499999999999</v>
      </c>
      <c r="D60" s="155">
        <f>D46</f>
        <v>0</v>
      </c>
      <c r="E60" s="155">
        <f>E46</f>
        <v>0</v>
      </c>
      <c r="F60" s="156">
        <f>SUM(F46-B60-C60-D60-E60)</f>
        <v>189.452</v>
      </c>
      <c r="G60" s="6"/>
      <c r="H60" s="6"/>
      <c r="I60" s="6"/>
    </row>
    <row r="61" spans="1:9" ht="13.15">
      <c r="A61" s="154" t="str">
        <f t="shared" ref="A61:A70" si="12">A47</f>
        <v>XCF</v>
      </c>
      <c r="B61" s="157">
        <f>SUM('Inverter Loading'!O45)</f>
        <v>0.25070000000000003</v>
      </c>
      <c r="C61" s="155">
        <f>B47</f>
        <v>39.185499999999998</v>
      </c>
      <c r="D61" s="155">
        <f>D48</f>
        <v>0</v>
      </c>
      <c r="E61" s="155">
        <f t="shared" ref="E61:E69" si="13">E47</f>
        <v>0</v>
      </c>
      <c r="F61" s="156">
        <f>SUM(F48-B61-C61-D61-E61)</f>
        <v>190.56380000000001</v>
      </c>
      <c r="G61" s="6"/>
      <c r="H61" s="6"/>
      <c r="I61" s="6"/>
    </row>
    <row r="62" spans="1:9" ht="13.15">
      <c r="A62" s="154" t="str">
        <f t="shared" si="12"/>
        <v>XCE</v>
      </c>
      <c r="B62" s="157">
        <f>SUM('Inverter Loading'!O46)</f>
        <v>1.2535000000000001</v>
      </c>
      <c r="C62" s="155">
        <f t="shared" ref="C62:C67" si="14">B48-B62</f>
        <v>44.69</v>
      </c>
      <c r="D62" s="155">
        <f>D47</f>
        <v>0</v>
      </c>
      <c r="E62" s="155">
        <f t="shared" si="13"/>
        <v>0</v>
      </c>
      <c r="F62" s="156">
        <f ca="1">SUM(F47-B62-C62-D62-E62)</f>
        <v>183.0565</v>
      </c>
      <c r="G62" s="6"/>
      <c r="H62" s="6"/>
      <c r="I62" s="6"/>
    </row>
    <row r="63" spans="1:9" ht="13.15">
      <c r="A63" s="154" t="str">
        <f t="shared" si="12"/>
        <v>XCN</v>
      </c>
      <c r="B63" s="157">
        <f>SUM('Inverter Loading'!O47)</f>
        <v>1.7549000000000001</v>
      </c>
      <c r="C63" s="155">
        <f t="shared" si="14"/>
        <v>31.1631</v>
      </c>
      <c r="D63" s="155">
        <f t="shared" ref="D63:D70" si="15">D49</f>
        <v>0</v>
      </c>
      <c r="E63" s="155">
        <f t="shared" si="13"/>
        <v>0</v>
      </c>
      <c r="F63" s="156">
        <f t="shared" ref="F63:F70" si="16">SUM(F49-B63-C63-D63-E63)</f>
        <v>197.08199999999999</v>
      </c>
      <c r="G63" s="6"/>
      <c r="H63" s="6"/>
      <c r="I63" s="6"/>
    </row>
    <row r="64" spans="1:9" ht="13.15">
      <c r="A64" s="154" t="str">
        <f t="shared" si="12"/>
        <v>TGW</v>
      </c>
      <c r="B64" s="157">
        <f>SUM('Inverter Loading'!O48)</f>
        <v>0.50140000000000007</v>
      </c>
      <c r="C64" s="155">
        <f t="shared" si="14"/>
        <v>9.0360999999999994</v>
      </c>
      <c r="D64" s="155">
        <f t="shared" si="15"/>
        <v>0</v>
      </c>
      <c r="E64" s="155">
        <f t="shared" si="13"/>
        <v>0</v>
      </c>
      <c r="F64" s="156">
        <f t="shared" si="16"/>
        <v>52.462500000000006</v>
      </c>
      <c r="G64" s="6"/>
      <c r="H64" s="6"/>
      <c r="I64" s="6"/>
    </row>
    <row r="65" spans="1:8" ht="13.15">
      <c r="A65" s="154" t="str">
        <f t="shared" si="12"/>
        <v>XLR</v>
      </c>
      <c r="B65" s="157">
        <f>SUM('Inverter Loading'!O49)</f>
        <v>1.7549000000000001</v>
      </c>
      <c r="C65" s="155">
        <f t="shared" si="14"/>
        <v>59.339599999999997</v>
      </c>
      <c r="D65" s="155">
        <f t="shared" si="15"/>
        <v>0</v>
      </c>
      <c r="E65" s="155">
        <f t="shared" si="13"/>
        <v>0</v>
      </c>
      <c r="F65" s="156">
        <f t="shared" si="16"/>
        <v>168.90550000000002</v>
      </c>
      <c r="G65" s="6"/>
      <c r="H65" s="6"/>
    </row>
    <row r="66" spans="1:8" ht="13.15">
      <c r="A66" s="154" t="str">
        <f t="shared" si="12"/>
        <v>XNE</v>
      </c>
      <c r="B66" s="157">
        <f>SUM('Inverter Loading'!O50)</f>
        <v>1.5042</v>
      </c>
      <c r="C66" s="155">
        <f t="shared" si="14"/>
        <v>42.422800000000002</v>
      </c>
      <c r="D66" s="155">
        <f t="shared" si="15"/>
        <v>0</v>
      </c>
      <c r="E66" s="155">
        <f t="shared" si="13"/>
        <v>0</v>
      </c>
      <c r="F66" s="156">
        <f t="shared" si="16"/>
        <v>243.07299999999998</v>
      </c>
      <c r="G66" s="6"/>
      <c r="H66" s="6"/>
    </row>
    <row r="67" spans="1:8" ht="13.15">
      <c r="A67" s="154" t="str">
        <f t="shared" si="12"/>
        <v>XNY</v>
      </c>
      <c r="B67" s="157">
        <f>SUM('Inverter Loading'!O51)</f>
        <v>10.278700000000001</v>
      </c>
      <c r="C67" s="155">
        <f t="shared" si="14"/>
        <v>22.966299999999997</v>
      </c>
      <c r="D67" s="155">
        <f t="shared" si="15"/>
        <v>0</v>
      </c>
      <c r="E67" s="155">
        <f t="shared" si="13"/>
        <v>0</v>
      </c>
      <c r="F67" s="156">
        <f t="shared" si="16"/>
        <v>196.755</v>
      </c>
      <c r="G67" s="6"/>
      <c r="H67" s="6"/>
    </row>
    <row r="68" spans="1:8" ht="13.15">
      <c r="A68" s="154" t="str">
        <f t="shared" si="12"/>
        <v>XOD</v>
      </c>
      <c r="B68" s="157">
        <f>SUM('Inverter Loading'!O53)</f>
        <v>1.0028000000000001</v>
      </c>
      <c r="C68" s="155">
        <f>B54</f>
        <v>19.1295</v>
      </c>
      <c r="D68" s="155">
        <f t="shared" si="15"/>
        <v>0</v>
      </c>
      <c r="E68" s="155">
        <f t="shared" si="13"/>
        <v>0</v>
      </c>
      <c r="F68" s="156">
        <f t="shared" si="16"/>
        <v>190.86769999999999</v>
      </c>
      <c r="G68" s="6"/>
      <c r="H68" s="6"/>
    </row>
    <row r="69" spans="1:8" ht="13.15">
      <c r="A69" s="154" t="str">
        <f t="shared" si="12"/>
        <v>XSD</v>
      </c>
      <c r="B69" s="157">
        <f>SUM('Inverter Loading'!O54)</f>
        <v>1.7549000000000001</v>
      </c>
      <c r="C69" s="155">
        <f>B55-B69</f>
        <v>42.499099999999999</v>
      </c>
      <c r="D69" s="155">
        <f t="shared" si="15"/>
        <v>0</v>
      </c>
      <c r="E69" s="155">
        <f t="shared" si="13"/>
        <v>0</v>
      </c>
      <c r="F69" s="156">
        <f t="shared" si="16"/>
        <v>185.74600000000001</v>
      </c>
      <c r="G69" s="6"/>
      <c r="H69" s="6"/>
    </row>
    <row r="70" spans="1:8" ht="13.15">
      <c r="A70" s="154" t="str">
        <f t="shared" si="12"/>
        <v>TWN</v>
      </c>
      <c r="B70" s="157">
        <f>SUM('Inverter Loading'!O55)</f>
        <v>0</v>
      </c>
      <c r="C70" s="155">
        <f>B56-B70</f>
        <v>39.567</v>
      </c>
      <c r="D70" s="155">
        <f t="shared" si="15"/>
        <v>0</v>
      </c>
      <c r="E70" s="155">
        <f>E56+'Inverter Loading'!S55</f>
        <v>0</v>
      </c>
      <c r="F70" s="156">
        <f t="shared" si="16"/>
        <v>131.43299999999999</v>
      </c>
      <c r="G70" s="6"/>
      <c r="H70" s="6"/>
    </row>
    <row r="71" spans="1:8" ht="13.15">
      <c r="A71" s="3"/>
      <c r="B71" s="4"/>
      <c r="C71" s="6"/>
      <c r="D71" s="6"/>
      <c r="E71" s="6"/>
      <c r="F71" s="6"/>
      <c r="G71" s="6"/>
      <c r="H71" s="6"/>
    </row>
    <row r="74" spans="1:8" ht="13.15">
      <c r="A74" s="3"/>
      <c r="B74" s="6"/>
      <c r="C74" s="6"/>
      <c r="D74" s="6"/>
      <c r="E74" s="6"/>
      <c r="F74" s="6"/>
      <c r="G74" s="6"/>
      <c r="H74" s="6"/>
    </row>
    <row r="75" spans="1:8" ht="13.9" thickBot="1">
      <c r="A75" s="3"/>
      <c r="B75" s="578"/>
      <c r="C75" s="6"/>
      <c r="D75" s="6"/>
      <c r="E75" s="6"/>
      <c r="F75" s="6"/>
      <c r="G75" s="6"/>
      <c r="H75" s="6"/>
    </row>
    <row r="76" spans="1:8" ht="13.15">
      <c r="A76" s="158" t="s">
        <v>424</v>
      </c>
      <c r="B76" s="137" t="s">
        <v>691</v>
      </c>
      <c r="C76" s="136" t="s">
        <v>701</v>
      </c>
      <c r="D76" s="137" t="s">
        <v>376</v>
      </c>
      <c r="E76" s="137" t="s">
        <v>702</v>
      </c>
      <c r="F76" s="137" t="s">
        <v>569</v>
      </c>
      <c r="G76" s="137" t="s">
        <v>681</v>
      </c>
      <c r="H76" s="159" t="s">
        <v>423</v>
      </c>
    </row>
    <row r="77" spans="1:8" ht="13.15">
      <c r="A77" s="128" t="s">
        <v>555</v>
      </c>
      <c r="B77" s="711">
        <f ca="1">B84/3</f>
        <v>13.08</v>
      </c>
      <c r="C77" s="711">
        <f>(('Plant loading'!E47+'Plant loading'!E48+'Plant loading'!E49)*54.5)/1000</f>
        <v>36.624000000000002</v>
      </c>
      <c r="D77" s="711">
        <f>(('Plant loading'!N47+'Plant loading'!N48+'Plant loading'!N49)*54.5)/1000</f>
        <v>0</v>
      </c>
      <c r="E77" s="711">
        <f>(('Plant loading'!Q47+'Plant loading'!Q48+'Plant loading'!Q49)*54.5)/1000</f>
        <v>0</v>
      </c>
      <c r="F77" s="711">
        <f>('Plant loading'!J47+'Plant loading'!J48+'Plant loading'!J49)</f>
        <v>231</v>
      </c>
      <c r="G77" s="711">
        <f>F77/2</f>
        <v>115.5</v>
      </c>
      <c r="H77" s="132">
        <v>120</v>
      </c>
    </row>
    <row r="78" spans="1:8" ht="13.15">
      <c r="A78" s="128" t="s">
        <v>556</v>
      </c>
      <c r="B78" s="711">
        <f ca="1">B84/3</f>
        <v>13.08</v>
      </c>
      <c r="C78" s="711">
        <f>(('Plant loading'!E50+'Plant loading'!E51+'Plant loading'!E52)*54.5)/1000</f>
        <v>64.582499999999996</v>
      </c>
      <c r="D78" s="711">
        <f>(('Plant loading'!N50+'Plant loading'!N51+'Plant loading'!N52)*54.5)/1000</f>
        <v>0</v>
      </c>
      <c r="E78" s="711">
        <f>(('Plant loading'!Q50+'Plant loading'!Q51+'Plant loading'!Q52)*54.5)/1000</f>
        <v>0</v>
      </c>
      <c r="F78" s="711">
        <f>('Plant loading'!J50+'Plant loading'!J51+'Plant loading'!J52)</f>
        <v>357</v>
      </c>
      <c r="G78" s="711">
        <f>F78/2</f>
        <v>178.5</v>
      </c>
      <c r="H78" s="132">
        <v>120</v>
      </c>
    </row>
    <row r="79" spans="1:8" ht="13.9" thickBot="1">
      <c r="A79" s="712" t="s">
        <v>557</v>
      </c>
      <c r="B79" s="134">
        <f ca="1">B84/3</f>
        <v>13.08</v>
      </c>
      <c r="C79" s="713">
        <f>(('Plant loading'!E53+'Plant loading'!E54+'Plant loading'!E55)*54.5)/1000</f>
        <v>21.582000000000001</v>
      </c>
      <c r="D79" s="713">
        <f>(('Plant loading'!N53+'Plant loading'!N54+'Plant loading'!N55)*54.5)/1000</f>
        <v>0</v>
      </c>
      <c r="E79" s="713">
        <f>(('Plant loading'!Q53+'Plant loading'!Q54+'Plant loading'!Q55)*54.5)/1000</f>
        <v>0</v>
      </c>
      <c r="F79" s="713">
        <f>('Plant loading'!J53+'Plant loading'!J54+'Plant loading'!J55)</f>
        <v>210</v>
      </c>
      <c r="G79" s="713">
        <f>F79/2</f>
        <v>105</v>
      </c>
      <c r="H79" s="714">
        <v>120</v>
      </c>
    </row>
    <row r="82" spans="1:6" ht="26.45">
      <c r="A82" s="124" t="s">
        <v>703</v>
      </c>
      <c r="B82" s="125"/>
      <c r="C82" s="126"/>
      <c r="D82" s="126"/>
      <c r="E82" s="126"/>
      <c r="F82" s="127"/>
    </row>
    <row r="83" spans="1:6" ht="13.15">
      <c r="A83" s="128" t="s">
        <v>512</v>
      </c>
      <c r="B83" s="129" t="s">
        <v>691</v>
      </c>
      <c r="C83" s="130" t="s">
        <v>692</v>
      </c>
      <c r="D83" s="130" t="s">
        <v>376</v>
      </c>
      <c r="E83" s="130" t="s">
        <v>377</v>
      </c>
      <c r="F83" s="131" t="s">
        <v>378</v>
      </c>
    </row>
    <row r="84" spans="1:6" ht="13.9" thickBot="1">
      <c r="A84" s="133" t="str">
        <f>A9</f>
        <v>XKS</v>
      </c>
      <c r="B84" s="134">
        <f ca="1">SUM('Inverter Loading'!O24:'Inverter Loading'!O25)</f>
        <v>39.24</v>
      </c>
      <c r="C84" s="134">
        <f>B9-B41</f>
        <v>122.7885</v>
      </c>
      <c r="D84" s="134">
        <f>D9</f>
        <v>0</v>
      </c>
      <c r="E84" s="134">
        <f>C9</f>
        <v>0</v>
      </c>
      <c r="F84" s="135">
        <f>I9-B41-C41-D41-E41</f>
        <v>483</v>
      </c>
    </row>
    <row r="85" spans="1:6" ht="13.15">
      <c r="A85" s="3"/>
      <c r="B85" s="6"/>
      <c r="C85" s="6"/>
      <c r="D85" s="6"/>
      <c r="E85" s="6"/>
      <c r="F85" s="6"/>
    </row>
    <row r="88" spans="1:6" ht="13.15">
      <c r="A88" s="8"/>
      <c r="B88" s="57"/>
      <c r="C88" s="56"/>
      <c r="D88" s="57"/>
      <c r="E88" s="57"/>
      <c r="F88" s="57"/>
    </row>
    <row r="89" spans="1:6">
      <c r="A89" s="55"/>
      <c r="B89" s="58"/>
      <c r="C89" s="58"/>
      <c r="D89" s="58"/>
      <c r="E89" s="58"/>
      <c r="F89" s="58"/>
    </row>
    <row r="90" spans="1:6">
      <c r="A90" s="68" t="s">
        <v>704</v>
      </c>
      <c r="B90" s="100"/>
      <c r="C90" s="9" t="s">
        <v>705</v>
      </c>
      <c r="D90" s="100"/>
      <c r="E90" s="9" t="s">
        <v>706</v>
      </c>
      <c r="F90" s="100"/>
    </row>
    <row r="91" spans="1:6">
      <c r="A91" s="160" t="s">
        <v>707</v>
      </c>
      <c r="B91" s="10">
        <f>SUM(B3+B8+B10+B11)+(J8+J10)</f>
        <v>1395.2</v>
      </c>
      <c r="C91" s="799" t="s">
        <v>708</v>
      </c>
      <c r="D91" s="10">
        <f>B91</f>
        <v>1395.2</v>
      </c>
      <c r="E91" s="799" t="s">
        <v>708</v>
      </c>
      <c r="F91" s="10">
        <f>B92</f>
        <v>953.80450000000019</v>
      </c>
    </row>
    <row r="92" spans="1:6">
      <c r="A92" s="160" t="s">
        <v>709</v>
      </c>
      <c r="B92" s="10">
        <f>SUM(B2+B4+B7+B12+B13)</f>
        <v>953.80450000000019</v>
      </c>
      <c r="C92" s="340" t="s">
        <v>710</v>
      </c>
      <c r="D92" s="10">
        <f>B93</f>
        <v>343.62795</v>
      </c>
      <c r="E92" s="340" t="s">
        <v>710</v>
      </c>
      <c r="F92" s="10">
        <f>B94</f>
        <v>56.412950000000002</v>
      </c>
    </row>
    <row r="93" spans="1:6">
      <c r="A93" s="430" t="s">
        <v>711</v>
      </c>
      <c r="B93" s="429">
        <f>SUM(D20:D24)+(E20+E24+E22+E21)+(K8+K10)</f>
        <v>343.62795</v>
      </c>
      <c r="C93" s="340" t="s">
        <v>712</v>
      </c>
      <c r="D93" s="10">
        <f>B95</f>
        <v>0</v>
      </c>
      <c r="E93" s="340" t="s">
        <v>712</v>
      </c>
      <c r="F93" s="10">
        <f ca="1">B96</f>
        <v>0</v>
      </c>
    </row>
    <row r="94" spans="1:6">
      <c r="A94" s="430" t="s">
        <v>713</v>
      </c>
      <c r="B94" s="429">
        <f>SUM(D27:D33)+(E27+E28+E25+E26+E33)</f>
        <v>56.412950000000002</v>
      </c>
      <c r="C94" s="340" t="s">
        <v>714</v>
      </c>
      <c r="D94" s="10">
        <f>B97</f>
        <v>87.85945000000001</v>
      </c>
      <c r="E94" s="340" t="s">
        <v>714</v>
      </c>
      <c r="F94" s="10">
        <f>B98</f>
        <v>42.515450000000001</v>
      </c>
    </row>
    <row r="95" spans="1:6">
      <c r="A95" s="160" t="s">
        <v>715</v>
      </c>
      <c r="B95" s="10">
        <f>G20+G24+G22+G21</f>
        <v>0</v>
      </c>
      <c r="E95" s="10"/>
      <c r="F95" s="10"/>
    </row>
    <row r="96" spans="1:6">
      <c r="A96" s="160" t="s">
        <v>716</v>
      </c>
      <c r="B96" s="10">
        <f ca="1">G27+G28+G25+G26+G33</f>
        <v>0</v>
      </c>
    </row>
    <row r="97" spans="1:6">
      <c r="A97" s="160" t="s">
        <v>717</v>
      </c>
      <c r="B97" s="10">
        <f>SUM(E20+E24+E22+E21)+(K8+K10)</f>
        <v>87.85945000000001</v>
      </c>
      <c r="E97" s="10"/>
      <c r="F97" s="10"/>
    </row>
    <row r="98" spans="1:6">
      <c r="A98" s="160" t="s">
        <v>718</v>
      </c>
      <c r="B98" s="10">
        <f>SUM(E27+E28+E25+E26+E33)</f>
        <v>42.515450000000001</v>
      </c>
      <c r="E98" s="10"/>
      <c r="F98" s="10"/>
    </row>
    <row r="102" spans="1:6">
      <c r="C102" s="98"/>
      <c r="D102" s="98"/>
      <c r="E102" s="98"/>
    </row>
    <row r="103" spans="1:6">
      <c r="A103" s="99" t="s">
        <v>719</v>
      </c>
      <c r="B103" s="98"/>
      <c r="C103" s="10"/>
      <c r="D103" s="10"/>
      <c r="E103" s="10"/>
    </row>
    <row r="104" spans="1:6">
      <c r="A104" s="13" t="s">
        <v>708</v>
      </c>
      <c r="B104" s="10">
        <f>SUM(B5+B6+B9+B14+B15)</f>
        <v>696.23750000000007</v>
      </c>
      <c r="C104" s="10"/>
      <c r="D104" s="10"/>
      <c r="E104" s="10"/>
    </row>
    <row r="105" spans="1:6">
      <c r="A105" s="28" t="s">
        <v>710</v>
      </c>
      <c r="B105" s="429">
        <f>SUM(D23:D41)+SUM(E23:E41)</f>
        <v>429.41639999999995</v>
      </c>
      <c r="C105" s="10"/>
      <c r="D105" s="10"/>
      <c r="E105" s="10"/>
    </row>
    <row r="106" spans="1:6">
      <c r="A106" s="13" t="s">
        <v>712</v>
      </c>
      <c r="B106" s="10">
        <f ca="1">SUM(F23:F41)</f>
        <v>1605.9521</v>
      </c>
      <c r="C106" s="10"/>
      <c r="D106" s="10"/>
      <c r="E106" s="10"/>
    </row>
    <row r="107" spans="1:6">
      <c r="A107" s="13" t="s">
        <v>714</v>
      </c>
      <c r="B107" s="10">
        <f>SUM(E23:E41)</f>
        <v>85.684899999999999</v>
      </c>
      <c r="C107" s="10"/>
      <c r="D107" s="10"/>
      <c r="E107" s="10"/>
    </row>
    <row r="109" spans="1:6">
      <c r="A109" s="68" t="s">
        <v>720</v>
      </c>
      <c r="B109" s="10"/>
      <c r="C109" s="10"/>
      <c r="D109" s="10"/>
      <c r="E109" s="10"/>
    </row>
    <row r="110" spans="1:6">
      <c r="A110" s="13" t="s">
        <v>708</v>
      </c>
      <c r="B110" s="10">
        <f>SUM(C60:C70)-SUM(B60:B70)</f>
        <v>367.98399999999998</v>
      </c>
      <c r="C110" s="10"/>
      <c r="D110" s="10"/>
      <c r="E110" s="10"/>
    </row>
    <row r="111" spans="1:6">
      <c r="A111" s="28" t="s">
        <v>710</v>
      </c>
      <c r="B111" s="429">
        <f>SUM(D60:D70)+SUM(E60:E70)</f>
        <v>0</v>
      </c>
      <c r="C111" s="10"/>
      <c r="D111" s="10"/>
      <c r="E111" s="10"/>
    </row>
    <row r="112" spans="1:6">
      <c r="A112" s="13" t="s">
        <v>712</v>
      </c>
      <c r="B112" s="10">
        <f ca="1">SUM(F60:F70)</f>
        <v>1929.3970000000002</v>
      </c>
      <c r="C112" s="10"/>
      <c r="D112" s="10"/>
      <c r="E112" s="10"/>
    </row>
    <row r="113" spans="1:6">
      <c r="A113" s="13" t="s">
        <v>714</v>
      </c>
      <c r="B113" s="10">
        <f>SUM(E60:E70)</f>
        <v>0</v>
      </c>
      <c r="C113" s="10"/>
      <c r="D113" s="10"/>
      <c r="E113" s="10"/>
    </row>
    <row r="114" spans="1:6" ht="10.9" thickBot="1">
      <c r="A114" s="13"/>
      <c r="B114" s="10"/>
      <c r="C114" s="10"/>
      <c r="D114" s="10"/>
      <c r="E114" s="10"/>
    </row>
    <row r="115" spans="1:6" ht="13.15">
      <c r="A115" s="165" t="s">
        <v>721</v>
      </c>
      <c r="B115" s="148"/>
      <c r="C115" s="148"/>
      <c r="D115" s="148"/>
      <c r="E115" s="148"/>
      <c r="F115" s="149"/>
    </row>
    <row r="116" spans="1:6">
      <c r="A116" s="166"/>
      <c r="B116" s="167" t="s">
        <v>597</v>
      </c>
      <c r="C116" s="167" t="s">
        <v>377</v>
      </c>
      <c r="D116" s="167" t="s">
        <v>722</v>
      </c>
      <c r="E116" s="167" t="s">
        <v>581</v>
      </c>
      <c r="F116" s="168" t="s">
        <v>700</v>
      </c>
    </row>
    <row r="117" spans="1:6">
      <c r="A117" s="169" t="str">
        <f>'Plant loading'!B94</f>
        <v>PEFBL</v>
      </c>
      <c r="B117" s="170">
        <f>('Plant loading'!E94)*54.5/1000</f>
        <v>23.326000000000001</v>
      </c>
      <c r="C117" s="170">
        <f>('Plant loading'!N94)*54.5/1000</f>
        <v>0</v>
      </c>
      <c r="D117" s="171">
        <f>'Plant loading'!J94/2</f>
        <v>57.5</v>
      </c>
      <c r="E117" s="171" t="str">
        <f>'Plant loading'!C94</f>
        <v>NetSure</v>
      </c>
      <c r="F117" s="172">
        <f t="shared" ref="F117:F148" si="17">D117-C117-B117</f>
        <v>34.173999999999999</v>
      </c>
    </row>
    <row r="118" spans="1:6">
      <c r="A118" s="169" t="str">
        <f>'Plant loading'!B95</f>
        <v>PEHBL</v>
      </c>
      <c r="B118" s="170">
        <f>('Plant loading'!E95)*54.5/1000</f>
        <v>17.222000000000001</v>
      </c>
      <c r="C118" s="170">
        <f>('Plant loading'!N95)*54.5/1000</f>
        <v>0</v>
      </c>
      <c r="D118" s="171">
        <f>'Plant loading'!J95/2</f>
        <v>57.5</v>
      </c>
      <c r="E118" s="171" t="str">
        <f>'Plant loading'!C95</f>
        <v>NetSure</v>
      </c>
      <c r="F118" s="172">
        <f t="shared" si="17"/>
        <v>40.277999999999999</v>
      </c>
    </row>
    <row r="119" spans="1:6">
      <c r="A119" s="169" t="str">
        <f>'Plant loading'!B99</f>
        <v>PEACE</v>
      </c>
      <c r="B119" s="170">
        <f>('Plant loading'!E99)*54.5/1000</f>
        <v>21.582000000000001</v>
      </c>
      <c r="C119" s="170">
        <f>('Plant loading'!N99)*54.5/1000</f>
        <v>0</v>
      </c>
      <c r="D119" s="171">
        <f>'Plant loading'!J99/2</f>
        <v>57.5</v>
      </c>
      <c r="E119" s="171" t="str">
        <f>'Plant loading'!C99</f>
        <v>NetSure</v>
      </c>
      <c r="F119" s="172">
        <f t="shared" si="17"/>
        <v>35.917999999999999</v>
      </c>
    </row>
    <row r="120" spans="1:6">
      <c r="A120" s="169" t="str">
        <f>'Plant loading'!B100</f>
        <v>PEBCE</v>
      </c>
      <c r="B120" s="170">
        <f>('Plant loading'!E100)*54.5/1000</f>
        <v>24.361499999999999</v>
      </c>
      <c r="C120" s="170">
        <f>('Plant loading'!N100)*54.5/1000</f>
        <v>0</v>
      </c>
      <c r="D120" s="171">
        <f>'Plant loading'!J100/2</f>
        <v>57.5</v>
      </c>
      <c r="E120" s="171" t="str">
        <f>'Plant loading'!C100</f>
        <v>NetSure</v>
      </c>
      <c r="F120" s="172">
        <f t="shared" si="17"/>
        <v>33.138500000000001</v>
      </c>
    </row>
    <row r="121" spans="1:6">
      <c r="A121" s="169" t="s">
        <v>193</v>
      </c>
      <c r="B121" s="170">
        <f>('Plant loading'!E96)*54.5/1000</f>
        <v>19.184000000000001</v>
      </c>
      <c r="C121" s="170">
        <f>('Plant loading'!N96)*54.5/1000</f>
        <v>0</v>
      </c>
      <c r="D121" s="171">
        <f>'Plant loading'!J96/2</f>
        <v>57.5</v>
      </c>
      <c r="E121" s="171" t="str">
        <f>'Plant loading'!C96</f>
        <v>NetSure</v>
      </c>
      <c r="F121" s="172">
        <f t="shared" si="17"/>
        <v>38.316000000000003</v>
      </c>
    </row>
    <row r="122" spans="1:6">
      <c r="A122" s="169" t="s">
        <v>194</v>
      </c>
      <c r="B122" s="170">
        <f>('Plant loading'!E97)*54.5/1000</f>
        <v>9.1014999999999997</v>
      </c>
      <c r="C122" s="170">
        <f>('Plant loading'!N97)*54.5/1000</f>
        <v>0</v>
      </c>
      <c r="D122" s="171">
        <f>'Plant loading'!J97/2</f>
        <v>28.5</v>
      </c>
      <c r="E122" s="171" t="str">
        <f>'Plant loading'!C97</f>
        <v>NetSure</v>
      </c>
      <c r="F122" s="172">
        <f t="shared" si="17"/>
        <v>19.398499999999999</v>
      </c>
    </row>
    <row r="123" spans="1:6">
      <c r="A123" s="169" t="s">
        <v>195</v>
      </c>
      <c r="B123" s="170">
        <f>('Plant loading'!E98)*54.5/1000</f>
        <v>10.9</v>
      </c>
      <c r="C123" s="170">
        <f>('Plant loading'!N98)*54.5/1000</f>
        <v>0</v>
      </c>
      <c r="D123" s="171">
        <f>'Plant loading'!J98/2</f>
        <v>28.5</v>
      </c>
      <c r="E123" s="171" t="str">
        <f>'Plant loading'!C98</f>
        <v>NetSure</v>
      </c>
      <c r="F123" s="172">
        <f t="shared" si="17"/>
        <v>17.600000000000001</v>
      </c>
    </row>
    <row r="124" spans="1:6">
      <c r="A124" s="169" t="str">
        <f>'Plant loading'!B101</f>
        <v>PEFCN</v>
      </c>
      <c r="B124" s="170">
        <f>('Plant loading'!E101)*54.5/1000</f>
        <v>13.952</v>
      </c>
      <c r="C124" s="170">
        <f>('Plant loading'!N101)*54.5/1000</f>
        <v>0</v>
      </c>
      <c r="D124" s="171">
        <f>'Plant loading'!J101/2</f>
        <v>57.5</v>
      </c>
      <c r="E124" s="171" t="str">
        <f>'Plant loading'!C101</f>
        <v>NetSure</v>
      </c>
      <c r="F124" s="172">
        <f t="shared" si="17"/>
        <v>43.548000000000002</v>
      </c>
    </row>
    <row r="125" spans="1:6">
      <c r="A125" s="169" t="str">
        <f>'Plant loading'!B102</f>
        <v>PEGCN</v>
      </c>
      <c r="B125" s="170">
        <f>('Plant loading'!E102)*54.5/1000</f>
        <v>18.966000000000001</v>
      </c>
      <c r="C125" s="170">
        <f>('Plant loading'!N102)*54.5/1000</f>
        <v>0</v>
      </c>
      <c r="D125" s="171">
        <f>'Plant loading'!J102/2</f>
        <v>57.5</v>
      </c>
      <c r="E125" s="171" t="str">
        <f>'Plant loading'!C102</f>
        <v>NetSure</v>
      </c>
      <c r="F125" s="172">
        <f t="shared" si="17"/>
        <v>38.533999999999999</v>
      </c>
    </row>
    <row r="126" spans="1:6">
      <c r="A126" s="169" t="s">
        <v>206</v>
      </c>
      <c r="B126" s="170">
        <f>('Plant loading'!E103)*54.5/1000</f>
        <v>4.8505000000000003</v>
      </c>
      <c r="C126" s="170">
        <f>('Plant loading'!N103)*54.5/1000</f>
        <v>0</v>
      </c>
      <c r="D126" s="171">
        <f>'Plant loading'!J103/2</f>
        <v>15.5</v>
      </c>
      <c r="E126" s="171" t="str">
        <f>'Plant loading'!C103</f>
        <v>eSure</v>
      </c>
      <c r="F126" s="172">
        <f t="shared" si="17"/>
        <v>10.6495</v>
      </c>
    </row>
    <row r="127" spans="1:6">
      <c r="A127" s="169" t="s">
        <v>207</v>
      </c>
      <c r="B127" s="170">
        <f>('Plant loading'!E104)*54.5/1000</f>
        <v>4.6870000000000003</v>
      </c>
      <c r="C127" s="170">
        <f>('Plant loading'!N104)*54.5/1000</f>
        <v>0</v>
      </c>
      <c r="D127" s="171">
        <f>'Plant loading'!J104/2</f>
        <v>15.5</v>
      </c>
      <c r="E127" s="171" t="str">
        <f>'Plant loading'!C104</f>
        <v>eSure</v>
      </c>
      <c r="F127" s="172">
        <f t="shared" si="17"/>
        <v>10.812999999999999</v>
      </c>
    </row>
    <row r="128" spans="1:6">
      <c r="A128" s="169" t="e">
        <f>'Plant loading'!#REF!</f>
        <v>#REF!</v>
      </c>
      <c r="B128" s="170" t="e">
        <f>('Plant loading'!#REF!)*54.5/1000</f>
        <v>#REF!</v>
      </c>
      <c r="C128" s="170" t="e">
        <f>('Plant loading'!#REF!)*54.5/1000</f>
        <v>#REF!</v>
      </c>
      <c r="D128" s="171" t="e">
        <f>'Plant loading'!#REF!/2</f>
        <v>#REF!</v>
      </c>
      <c r="E128" s="171" t="e">
        <f>'Plant loading'!#REF!</f>
        <v>#REF!</v>
      </c>
      <c r="F128" s="172" t="e">
        <f t="shared" si="17"/>
        <v>#REF!</v>
      </c>
    </row>
    <row r="129" spans="1:6">
      <c r="A129" s="169" t="e">
        <f>'Plant loading'!#REF!</f>
        <v>#REF!</v>
      </c>
      <c r="B129" s="170" t="e">
        <f>('Plant loading'!#REF!)*54.5/1000</f>
        <v>#REF!</v>
      </c>
      <c r="C129" s="170" t="e">
        <f>('Plant loading'!#REF!)*54.5/1000</f>
        <v>#REF!</v>
      </c>
      <c r="D129" s="171" t="e">
        <f>'Plant loading'!#REF!/2</f>
        <v>#REF!</v>
      </c>
      <c r="E129" s="171" t="e">
        <f>'Plant loading'!#REF!</f>
        <v>#REF!</v>
      </c>
      <c r="F129" s="172" t="e">
        <f t="shared" si="17"/>
        <v>#REF!</v>
      </c>
    </row>
    <row r="130" spans="1:6">
      <c r="A130" s="169" t="e">
        <f>'Plant loading'!#REF!</f>
        <v>#REF!</v>
      </c>
      <c r="B130" s="170" t="e">
        <f>('Plant loading'!#REF!)*54.5/1000</f>
        <v>#REF!</v>
      </c>
      <c r="C130" s="170" t="e">
        <f>('Plant loading'!#REF!)*54.5/1000</f>
        <v>#REF!</v>
      </c>
      <c r="D130" s="171" t="e">
        <f>'Plant loading'!#REF!/2</f>
        <v>#REF!</v>
      </c>
      <c r="E130" s="171" t="e">
        <f>'Plant loading'!#REF!</f>
        <v>#REF!</v>
      </c>
      <c r="F130" s="172" t="e">
        <f t="shared" si="17"/>
        <v>#REF!</v>
      </c>
    </row>
    <row r="131" spans="1:6">
      <c r="A131" s="169" t="e">
        <f>'Plant loading'!#REF!</f>
        <v>#REF!</v>
      </c>
      <c r="B131" s="170" t="e">
        <f>('Plant loading'!#REF!)*54.5/1000</f>
        <v>#REF!</v>
      </c>
      <c r="C131" s="170" t="e">
        <f>('Plant loading'!#REF!)*54.5/1000</f>
        <v>#REF!</v>
      </c>
      <c r="D131" s="171" t="e">
        <f>'Plant loading'!#REF!/2</f>
        <v>#REF!</v>
      </c>
      <c r="E131" s="171" t="e">
        <f>'Plant loading'!#REF!</f>
        <v>#REF!</v>
      </c>
      <c r="F131" s="172" t="e">
        <f t="shared" si="17"/>
        <v>#REF!</v>
      </c>
    </row>
    <row r="132" spans="1:6">
      <c r="A132" s="169" t="str">
        <f>'Plant loading'!B105</f>
        <v>PEFLR</v>
      </c>
      <c r="B132" s="170">
        <f>('Plant loading'!E105)*54.5/1000</f>
        <v>33.027000000000001</v>
      </c>
      <c r="C132" s="170">
        <f>('Plant loading'!N105)*54.5/1000</f>
        <v>0</v>
      </c>
      <c r="D132" s="171">
        <f>'Plant loading'!J105/2</f>
        <v>57.5</v>
      </c>
      <c r="E132" s="171" t="str">
        <f>'Plant loading'!C105</f>
        <v>NetSure</v>
      </c>
      <c r="F132" s="172">
        <f t="shared" si="17"/>
        <v>24.472999999999999</v>
      </c>
    </row>
    <row r="133" spans="1:6">
      <c r="A133" s="169" t="str">
        <f>'Plant loading'!B106</f>
        <v>PEGLR</v>
      </c>
      <c r="B133" s="170">
        <f>('Plant loading'!E106)*54.5/1000</f>
        <v>28.067499999999999</v>
      </c>
      <c r="C133" s="170">
        <f>('Plant loading'!N106)*54.5/1000</f>
        <v>0</v>
      </c>
      <c r="D133" s="171">
        <f>'Plant loading'!J106/2</f>
        <v>57.5</v>
      </c>
      <c r="E133" s="171" t="str">
        <f>'Plant loading'!C106</f>
        <v>NetSure</v>
      </c>
      <c r="F133" s="172">
        <f t="shared" si="17"/>
        <v>29.432500000000001</v>
      </c>
    </row>
    <row r="134" spans="1:6">
      <c r="A134" s="169" t="str">
        <f>'Plant loading'!B107</f>
        <v>PEGNY</v>
      </c>
      <c r="B134" s="170">
        <f>('Plant loading'!E107)*54.5/1000</f>
        <v>17.276499999999999</v>
      </c>
      <c r="C134" s="170">
        <f>('Plant loading'!N107)*54.5/1000</f>
        <v>0</v>
      </c>
      <c r="D134" s="171">
        <f>'Plant loading'!J107/2</f>
        <v>57.5</v>
      </c>
      <c r="E134" s="171" t="str">
        <f>'Plant loading'!C107</f>
        <v>NetSure</v>
      </c>
      <c r="F134" s="172">
        <f t="shared" si="17"/>
        <v>40.223500000000001</v>
      </c>
    </row>
    <row r="135" spans="1:6">
      <c r="A135" s="169" t="str">
        <f>'Plant loading'!B108</f>
        <v>PEHNY</v>
      </c>
      <c r="B135" s="170">
        <f>('Plant loading'!E108)*54.5/1000</f>
        <v>15.968500000000001</v>
      </c>
      <c r="C135" s="170">
        <f>('Plant loading'!N108)*54.5/1000</f>
        <v>0</v>
      </c>
      <c r="D135" s="171">
        <f>'Plant loading'!J108/2</f>
        <v>57.5</v>
      </c>
      <c r="E135" s="171" t="str">
        <f>'Plant loading'!C108</f>
        <v>NetSure</v>
      </c>
      <c r="F135" s="172">
        <f t="shared" si="17"/>
        <v>41.531500000000001</v>
      </c>
    </row>
    <row r="136" spans="1:6">
      <c r="A136" s="169" t="e">
        <f>'Plant loading'!#REF!</f>
        <v>#REF!</v>
      </c>
      <c r="B136" s="170" t="e">
        <f>('Plant loading'!#REF!)*54.5/1000</f>
        <v>#REF!</v>
      </c>
      <c r="C136" s="170" t="e">
        <f>('Plant loading'!#REF!)*54.5/1000</f>
        <v>#REF!</v>
      </c>
      <c r="D136" s="171" t="e">
        <f>'Plant loading'!#REF!/2</f>
        <v>#REF!</v>
      </c>
      <c r="E136" s="171" t="e">
        <f>'Plant loading'!#REF!</f>
        <v>#REF!</v>
      </c>
      <c r="F136" s="172" t="e">
        <f t="shared" si="17"/>
        <v>#REF!</v>
      </c>
    </row>
    <row r="137" spans="1:6">
      <c r="A137" s="169" t="e">
        <f>'Plant loading'!#REF!</f>
        <v>#REF!</v>
      </c>
      <c r="B137" s="170" t="e">
        <f>('Plant loading'!#REF!)*54.5/1000</f>
        <v>#REF!</v>
      </c>
      <c r="C137" s="170" t="e">
        <f>('Plant loading'!#REF!)*54.5/1000</f>
        <v>#REF!</v>
      </c>
      <c r="D137" s="171" t="e">
        <f>'Plant loading'!#REF!/2</f>
        <v>#REF!</v>
      </c>
      <c r="E137" s="171" t="e">
        <f>'Plant loading'!#REF!</f>
        <v>#REF!</v>
      </c>
      <c r="F137" s="172" t="e">
        <f t="shared" si="17"/>
        <v>#REF!</v>
      </c>
    </row>
    <row r="138" spans="1:6">
      <c r="A138" s="169" t="str">
        <f>'Plant loading'!B109</f>
        <v>PEENE</v>
      </c>
      <c r="B138" s="170">
        <f>('Plant loading'!E109)*54.5/1000</f>
        <v>15.532500000000001</v>
      </c>
      <c r="C138" s="170">
        <f>('Plant loading'!N109)*54.5/1000</f>
        <v>0</v>
      </c>
      <c r="D138" s="171">
        <f>'Plant loading'!J109/2</f>
        <v>57.5</v>
      </c>
      <c r="E138" s="171" t="str">
        <f>'Plant loading'!C109</f>
        <v>NetSure</v>
      </c>
      <c r="F138" s="172">
        <f t="shared" si="17"/>
        <v>41.967500000000001</v>
      </c>
    </row>
    <row r="139" spans="1:6">
      <c r="A139" s="169" t="str">
        <f>'Plant loading'!B110</f>
        <v>PEFNE</v>
      </c>
      <c r="B139" s="170">
        <f>('Plant loading'!E110)*54.5/1000</f>
        <v>20.2195</v>
      </c>
      <c r="C139" s="170">
        <f>('Plant loading'!N110)*54.5/1000</f>
        <v>0</v>
      </c>
      <c r="D139" s="171">
        <f>'Plant loading'!J110/2</f>
        <v>57.5</v>
      </c>
      <c r="E139" s="171" t="str">
        <f>'Plant loading'!C110</f>
        <v>NetSure</v>
      </c>
      <c r="F139" s="172">
        <f t="shared" si="17"/>
        <v>37.280500000000004</v>
      </c>
    </row>
    <row r="140" spans="1:6">
      <c r="A140" s="169" t="str">
        <f>'Plant loading'!B111</f>
        <v>PEGNE</v>
      </c>
      <c r="B140" s="170">
        <f>('Plant loading'!E111)*54.5/1000</f>
        <v>8.1750000000000007</v>
      </c>
      <c r="C140" s="170">
        <f>('Plant loading'!N111)*54.5/1000</f>
        <v>0</v>
      </c>
      <c r="D140" s="171">
        <f>'Plant loading'!J111/2</f>
        <v>28.5</v>
      </c>
      <c r="E140" s="171" t="str">
        <f>'Plant loading'!C111</f>
        <v>NetSure</v>
      </c>
      <c r="F140" s="172">
        <f t="shared" si="17"/>
        <v>20.324999999999999</v>
      </c>
    </row>
    <row r="141" spans="1:6">
      <c r="A141" s="169" t="s">
        <v>220</v>
      </c>
      <c r="B141" s="170">
        <f>('Plant loading'!E112)*54.5/1000</f>
        <v>11.608499999999999</v>
      </c>
      <c r="C141" s="170">
        <f>('Plant loading'!N112)*54.5/1000</f>
        <v>0</v>
      </c>
      <c r="D141" s="171">
        <f>'Plant loading'!J112/2</f>
        <v>57.5</v>
      </c>
      <c r="E141" s="171" t="str">
        <f>'Plant loading'!C112</f>
        <v>NetSure</v>
      </c>
      <c r="F141" s="172">
        <f t="shared" si="17"/>
        <v>45.891500000000001</v>
      </c>
    </row>
    <row r="142" spans="1:6">
      <c r="A142" s="169" t="s">
        <v>222</v>
      </c>
      <c r="B142" s="170">
        <f>('Plant loading'!E113)*54.5/1000</f>
        <v>7.5209999999999999</v>
      </c>
      <c r="C142" s="170">
        <f>('Plant loading'!N113)*54.5/1000</f>
        <v>0</v>
      </c>
      <c r="D142" s="171">
        <f>'Plant loading'!J113/2</f>
        <v>48</v>
      </c>
      <c r="E142" s="171" t="str">
        <f>'Plant loading'!C113</f>
        <v>NetSure</v>
      </c>
      <c r="F142" s="172">
        <f t="shared" si="17"/>
        <v>40.478999999999999</v>
      </c>
    </row>
    <row r="143" spans="1:6">
      <c r="A143" s="169" t="str">
        <f>'Plant loading'!B114</f>
        <v>PEESD</v>
      </c>
      <c r="B143" s="170">
        <f>('Plant loading'!E114)*54.5/1000</f>
        <v>21.254999999999999</v>
      </c>
      <c r="C143" s="170">
        <f>('Plant loading'!N114)*54.5/1000</f>
        <v>0</v>
      </c>
      <c r="D143" s="171">
        <f>'Plant loading'!J114/2</f>
        <v>57.5</v>
      </c>
      <c r="E143" s="171" t="str">
        <f>'Plant loading'!C114</f>
        <v>NetSure</v>
      </c>
      <c r="F143" s="172">
        <f t="shared" si="17"/>
        <v>36.245000000000005</v>
      </c>
    </row>
    <row r="144" spans="1:6">
      <c r="A144" s="169" t="s">
        <v>225</v>
      </c>
      <c r="B144" s="170">
        <f>('Plant loading'!E115)*54.5/1000</f>
        <v>22.998999999999999</v>
      </c>
      <c r="C144" s="170">
        <f>('Plant loading'!N115)*54.5/1000</f>
        <v>0</v>
      </c>
      <c r="D144" s="171">
        <f>'Plant loading'!J115/2</f>
        <v>57.5</v>
      </c>
      <c r="E144" s="171" t="str">
        <f>'Plant loading'!C115</f>
        <v>NetSure</v>
      </c>
      <c r="F144" s="172">
        <f t="shared" si="17"/>
        <v>34.501000000000005</v>
      </c>
    </row>
    <row r="145" spans="1:7">
      <c r="A145" s="169" t="str">
        <f>'Plant loading'!B116</f>
        <v>PELWN</v>
      </c>
      <c r="B145" s="170">
        <f>('Plant loading'!E116)*54.5/1000</f>
        <v>11.336</v>
      </c>
      <c r="C145" s="170">
        <f>('Plant loading'!N116)*54.5/1000</f>
        <v>0</v>
      </c>
      <c r="D145" s="171">
        <f>'Plant loading'!J116/2</f>
        <v>28.5</v>
      </c>
      <c r="E145" s="171" t="str">
        <f>'Plant loading'!C116</f>
        <v>NetSure</v>
      </c>
      <c r="F145" s="172">
        <f t="shared" si="17"/>
        <v>17.164000000000001</v>
      </c>
    </row>
    <row r="146" spans="1:7">
      <c r="A146" s="169" t="str">
        <f>'Plant loading'!B117</f>
        <v>PEMWN</v>
      </c>
      <c r="B146" s="170">
        <f>('Plant loading'!E117)*54.5/1000</f>
        <v>8.5020000000000007</v>
      </c>
      <c r="C146" s="170">
        <f>('Plant loading'!N117)*54.5/1000</f>
        <v>0</v>
      </c>
      <c r="D146" s="171">
        <f>'Plant loading'!J117/2</f>
        <v>28.5</v>
      </c>
      <c r="E146" s="171" t="str">
        <f>'Plant loading'!C117</f>
        <v>NetSure</v>
      </c>
      <c r="F146" s="172">
        <f t="shared" si="17"/>
        <v>19.997999999999998</v>
      </c>
    </row>
    <row r="147" spans="1:7">
      <c r="A147" s="169" t="s">
        <v>229</v>
      </c>
      <c r="B147" s="170">
        <f>('Plant loading'!E118)*54.5/1000</f>
        <v>19.728999999999999</v>
      </c>
      <c r="C147" s="170">
        <f>('Plant loading'!N118)*54.5/1000</f>
        <v>0</v>
      </c>
      <c r="D147" s="171">
        <f>'Plant loading'!J118/2</f>
        <v>28.5</v>
      </c>
      <c r="E147" s="171" t="str">
        <f>'Plant loading'!C118</f>
        <v>NetSure</v>
      </c>
      <c r="F147" s="172">
        <f t="shared" si="17"/>
        <v>8.7710000000000008</v>
      </c>
    </row>
    <row r="148" spans="1:7" ht="10.9" thickBot="1">
      <c r="A148" s="501" t="s">
        <v>723</v>
      </c>
      <c r="B148" s="173" t="e">
        <f>('Plant loading'!#REF!)*54.5/1000</f>
        <v>#REF!</v>
      </c>
      <c r="C148" s="173" t="e">
        <f>('Plant loading'!#REF!)*54.5/1000</f>
        <v>#REF!</v>
      </c>
      <c r="D148" s="174" t="e">
        <f>'Plant loading'!#REF!/2</f>
        <v>#REF!</v>
      </c>
      <c r="E148" s="174" t="e">
        <f>'Plant loading'!#REF!</f>
        <v>#REF!</v>
      </c>
      <c r="F148" s="175" t="e">
        <f t="shared" si="17"/>
        <v>#REF!</v>
      </c>
    </row>
    <row r="150" spans="1:7" ht="13.15">
      <c r="A150" s="8" t="s">
        <v>724</v>
      </c>
      <c r="B150" s="5" t="s">
        <v>725</v>
      </c>
      <c r="C150" s="5">
        <f>COUNTIF('Plant loading'!Y:Y,"=100")</f>
        <v>0</v>
      </c>
    </row>
    <row r="151" spans="1:7">
      <c r="B151" s="5" t="s">
        <v>726</v>
      </c>
      <c r="C151" s="5">
        <f>COUNTIF('Plant loading'!Y:Y,"=3")</f>
        <v>0</v>
      </c>
    </row>
    <row r="152" spans="1:7">
      <c r="B152" s="5" t="s">
        <v>727</v>
      </c>
      <c r="C152" s="5">
        <f>COUNTIF('Plant loading'!Y:Y,"=0.1")</f>
        <v>0</v>
      </c>
    </row>
    <row r="153" spans="1:7" ht="10.9" thickBot="1"/>
    <row r="154" spans="1:7" ht="13.15">
      <c r="A154" s="176" t="s">
        <v>728</v>
      </c>
      <c r="B154" s="177"/>
      <c r="C154" s="177"/>
      <c r="D154" s="177"/>
      <c r="E154" s="177"/>
      <c r="F154" s="178"/>
      <c r="G154" s="179"/>
    </row>
    <row r="155" spans="1:7">
      <c r="A155" s="180"/>
      <c r="B155" s="181" t="s">
        <v>597</v>
      </c>
      <c r="C155" s="181" t="s">
        <v>376</v>
      </c>
      <c r="D155" s="181" t="s">
        <v>377</v>
      </c>
      <c r="E155" s="181" t="s">
        <v>722</v>
      </c>
      <c r="F155" s="181" t="s">
        <v>581</v>
      </c>
      <c r="G155" s="182" t="s">
        <v>700</v>
      </c>
    </row>
    <row r="156" spans="1:7">
      <c r="A156" s="183" t="str">
        <f>'Plant loading'!B9</f>
        <v>PEABE</v>
      </c>
      <c r="B156" s="184">
        <f>('Plant loading'!E9)*54.5/1000</f>
        <v>43.817999999999998</v>
      </c>
      <c r="C156" s="184">
        <f>('Plant loading'!AC9)*54.5/1000</f>
        <v>4.5235000000000003</v>
      </c>
      <c r="D156" s="184">
        <f>('Plant loading'!N9)*54.5/1000-C156</f>
        <v>0</v>
      </c>
      <c r="E156" s="185">
        <f>'Plant loading'!J9/2</f>
        <v>63</v>
      </c>
      <c r="F156" s="185" t="str">
        <f>'Plant loading'!C9</f>
        <v>eSure</v>
      </c>
      <c r="G156" s="186">
        <f t="shared" ref="G156:G181" si="18">E156-D156-B156-C156</f>
        <v>14.658500000000002</v>
      </c>
    </row>
    <row r="157" spans="1:7">
      <c r="A157" s="183" t="str">
        <f>'Plant loading'!B10</f>
        <v>PEBBE</v>
      </c>
      <c r="B157" s="184">
        <f>('Plant loading'!E10)*54.5/1000</f>
        <v>49.704000000000001</v>
      </c>
      <c r="C157" s="184">
        <f>('Plant loading'!AC10)*54.5/1000</f>
        <v>3.8149999999999999</v>
      </c>
      <c r="D157" s="184">
        <f>('Plant loading'!N10)*54.5/1000-C157</f>
        <v>0</v>
      </c>
      <c r="E157" s="185">
        <f>'Plant loading'!J10/2</f>
        <v>63</v>
      </c>
      <c r="F157" s="185" t="str">
        <f>'Plant loading'!C10</f>
        <v>eSure</v>
      </c>
      <c r="G157" s="186">
        <f t="shared" si="18"/>
        <v>9.4809999999999999</v>
      </c>
    </row>
    <row r="158" spans="1:7">
      <c r="A158" s="183" t="str">
        <f>'Plant loading'!B11</f>
        <v>PECBE</v>
      </c>
      <c r="B158" s="184">
        <f>('Plant loading'!E11)*54.5/1000</f>
        <v>46.761000000000003</v>
      </c>
      <c r="C158" s="184">
        <f>('Plant loading'!AC11)*54.5/1000</f>
        <v>2.3980000000000001</v>
      </c>
      <c r="D158" s="184">
        <f>('Plant loading'!N11)*54.5/1000-C158</f>
        <v>0</v>
      </c>
      <c r="E158" s="185">
        <f>'Plant loading'!J11/2</f>
        <v>63</v>
      </c>
      <c r="F158" s="185" t="str">
        <f>'Plant loading'!C11</f>
        <v>eSure</v>
      </c>
      <c r="G158" s="186">
        <f t="shared" si="18"/>
        <v>13.840999999999998</v>
      </c>
    </row>
    <row r="159" spans="1:7">
      <c r="A159" s="183" t="str">
        <f>'Plant loading'!B12</f>
        <v>PEEBE</v>
      </c>
      <c r="B159" s="184">
        <f>('Plant loading'!E12)*54.5/1000</f>
        <v>48.505000000000003</v>
      </c>
      <c r="C159" s="184">
        <f>('Plant loading'!AC12)*54.5/1000</f>
        <v>4.4145000000000003</v>
      </c>
      <c r="D159" s="184">
        <f>('Plant loading'!N12)*54.5/1000-C159</f>
        <v>0</v>
      </c>
      <c r="E159" s="185">
        <f>'Plant loading'!J12/2</f>
        <v>63</v>
      </c>
      <c r="F159" s="185" t="str">
        <f>'Plant loading'!C12</f>
        <v>eSure</v>
      </c>
      <c r="G159" s="186">
        <f t="shared" si="18"/>
        <v>10.080499999999997</v>
      </c>
    </row>
    <row r="160" spans="1:7">
      <c r="A160" s="183" t="str">
        <f>'Plant loading'!B13</f>
        <v>PEFBE</v>
      </c>
      <c r="B160" s="184">
        <f>('Plant loading'!E13)*54.5/1000</f>
        <v>47.6875</v>
      </c>
      <c r="C160" s="184">
        <f>('Plant loading'!AC13)*54.5/1000</f>
        <v>4.9050000000000002</v>
      </c>
      <c r="D160" s="184">
        <f>('Plant loading'!N13)*54.5/1000-C160</f>
        <v>0</v>
      </c>
      <c r="E160" s="185">
        <f>'Plant loading'!J13/2</f>
        <v>63</v>
      </c>
      <c r="F160" s="185" t="str">
        <f>'Plant loading'!C13</f>
        <v>eSure</v>
      </c>
      <c r="G160" s="186">
        <f t="shared" si="18"/>
        <v>10.407499999999999</v>
      </c>
    </row>
    <row r="161" spans="1:7">
      <c r="A161" s="183" t="s">
        <v>66</v>
      </c>
      <c r="B161" s="184">
        <f>('Plant loading'!E14)*54.5/1000</f>
        <v>51.993000000000002</v>
      </c>
      <c r="C161" s="184">
        <f>('Plant loading'!AC14)*54.5/1000</f>
        <v>6.54</v>
      </c>
      <c r="D161" s="184">
        <f>('Plant loading'!N14)*54.5/1000-C161</f>
        <v>0</v>
      </c>
      <c r="E161" s="185">
        <f>'Plant loading'!J14/2</f>
        <v>63</v>
      </c>
      <c r="F161" s="185" t="str">
        <f>'Plant loading'!C14</f>
        <v>eSure</v>
      </c>
      <c r="G161" s="186">
        <f t="shared" si="18"/>
        <v>4.4669999999999979</v>
      </c>
    </row>
    <row r="162" spans="1:7">
      <c r="A162" s="183" t="str">
        <f>'Plant loading'!B15</f>
        <v>PEHBE</v>
      </c>
      <c r="B162" s="184">
        <f>('Plant loading'!E15)*54.5/1000</f>
        <v>47.633000000000003</v>
      </c>
      <c r="C162" s="184">
        <f>('Plant loading'!AC15)*54.5/1000</f>
        <v>6.9215</v>
      </c>
      <c r="D162" s="184">
        <f>('Plant loading'!N15)*54.5/1000-C162</f>
        <v>0</v>
      </c>
      <c r="E162" s="185">
        <f>'Plant loading'!J15/2</f>
        <v>63</v>
      </c>
      <c r="F162" s="185" t="str">
        <f>'Plant loading'!C15</f>
        <v>eSure</v>
      </c>
      <c r="G162" s="186">
        <f t="shared" si="18"/>
        <v>8.4454999999999973</v>
      </c>
    </row>
    <row r="163" spans="1:7">
      <c r="A163" s="183" t="str">
        <f>'Plant loading'!B16</f>
        <v>PEIBE</v>
      </c>
      <c r="B163" s="184">
        <f>('Plant loading'!E16)*54.5/1000</f>
        <v>50.848500000000001</v>
      </c>
      <c r="C163" s="184">
        <f>('Plant loading'!AC16)*54.5/1000</f>
        <v>5.5045000000000002</v>
      </c>
      <c r="D163" s="184">
        <f>('Plant loading'!N16)*54.5/1000-C163</f>
        <v>0</v>
      </c>
      <c r="E163" s="185">
        <f>'Plant loading'!J16/2</f>
        <v>63</v>
      </c>
      <c r="F163" s="185" t="str">
        <f>'Plant loading'!C16</f>
        <v>eSure</v>
      </c>
      <c r="G163" s="186">
        <f t="shared" si="18"/>
        <v>6.6469999999999985</v>
      </c>
    </row>
    <row r="164" spans="1:7">
      <c r="A164" s="183" t="str">
        <f>'Plant loading'!B39</f>
        <v>BMGMTX-DCSYS01</v>
      </c>
      <c r="B164" s="184">
        <f>('Plant loading'!E39)*54.5/1000</f>
        <v>40.112000000000002</v>
      </c>
      <c r="C164" s="184">
        <f>('Plant loading'!AC39)*54.5/1000</f>
        <v>1.0900000000000001</v>
      </c>
      <c r="D164" s="184">
        <f>('Plant loading'!N39)*54.5/1000-C164</f>
        <v>0</v>
      </c>
      <c r="E164" s="185">
        <f>'Plant loading'!J39/2</f>
        <v>66</v>
      </c>
      <c r="F164" s="185" t="str">
        <f>'Plant loading'!C39</f>
        <v>HDR48-ES</v>
      </c>
      <c r="G164" s="186">
        <f t="shared" si="18"/>
        <v>24.797999999999998</v>
      </c>
    </row>
    <row r="165" spans="1:7">
      <c r="A165" s="183" t="str">
        <f>'Plant loading'!B40</f>
        <v>BMGMTX-DCSYS02</v>
      </c>
      <c r="B165" s="184">
        <f>('Plant loading'!E40)*54.5/1000</f>
        <v>41.093000000000004</v>
      </c>
      <c r="C165" s="184">
        <f>('Plant loading'!AC40)*54.5/1000</f>
        <v>3.052</v>
      </c>
      <c r="D165" s="184">
        <f>('Plant loading'!N40)*54.5/1000-C165</f>
        <v>0</v>
      </c>
      <c r="E165" s="185">
        <f>'Plant loading'!J40/2</f>
        <v>66</v>
      </c>
      <c r="F165" s="185" t="str">
        <f>'Plant loading'!C40</f>
        <v>HDR48-ES</v>
      </c>
      <c r="G165" s="186">
        <f t="shared" si="18"/>
        <v>21.854999999999997</v>
      </c>
    </row>
    <row r="166" spans="1:7">
      <c r="A166" s="183" t="str">
        <f>'Plant loading'!B41</f>
        <v>BMGMTX-DCSYS03</v>
      </c>
      <c r="B166" s="184">
        <f>('Plant loading'!E41)*54.5/1000</f>
        <v>42.019500000000001</v>
      </c>
      <c r="C166" s="184">
        <f>('Plant loading'!AC41)*54.5/1000</f>
        <v>8.2294999999999998</v>
      </c>
      <c r="D166" s="184">
        <f>('Plant loading'!N41)*54.5/1000-C166</f>
        <v>0</v>
      </c>
      <c r="E166" s="185">
        <f>'Plant loading'!J41/2</f>
        <v>66</v>
      </c>
      <c r="F166" s="185" t="str">
        <f>'Plant loading'!C41</f>
        <v>HDR48-ES</v>
      </c>
      <c r="G166" s="186">
        <f t="shared" si="18"/>
        <v>15.750999999999999</v>
      </c>
    </row>
    <row r="167" spans="1:7">
      <c r="A167" s="183" t="str">
        <f>'Plant loading'!B42</f>
        <v>BMGMTX-DCSYS04</v>
      </c>
      <c r="B167" s="184">
        <f>('Plant loading'!E42)*54.5/1000</f>
        <v>41.637999999999998</v>
      </c>
      <c r="C167" s="184">
        <f>('Plant loading'!AC42)*54.5/1000</f>
        <v>8.6654999999999998</v>
      </c>
      <c r="D167" s="184">
        <f>('Plant loading'!N42)*54.5/1000-C167</f>
        <v>0</v>
      </c>
      <c r="E167" s="185">
        <f>'Plant loading'!J42/2</f>
        <v>66</v>
      </c>
      <c r="F167" s="185" t="str">
        <f>'Plant loading'!C42</f>
        <v>HDR48-ES</v>
      </c>
      <c r="G167" s="186">
        <f t="shared" si="18"/>
        <v>15.696500000000002</v>
      </c>
    </row>
    <row r="168" spans="1:7">
      <c r="A168" s="183" t="str">
        <f>'Plant loading'!B43</f>
        <v>BMGMTX-DCSYS05</v>
      </c>
      <c r="B168" s="184">
        <f>('Plant loading'!E43)*54.5/1000</f>
        <v>43.273000000000003</v>
      </c>
      <c r="C168" s="184">
        <f>('Plant loading'!AC43)*54.5/1000</f>
        <v>5.6680000000000001</v>
      </c>
      <c r="D168" s="184">
        <f>('Plant loading'!N43)*54.5/1000-C168</f>
        <v>0</v>
      </c>
      <c r="E168" s="185">
        <f>'Plant loading'!J43/2</f>
        <v>66</v>
      </c>
      <c r="F168" s="185" t="str">
        <f>'Plant loading'!C43</f>
        <v>HDR48-ES</v>
      </c>
      <c r="G168" s="186">
        <f t="shared" si="18"/>
        <v>17.058999999999997</v>
      </c>
    </row>
    <row r="169" spans="1:7">
      <c r="A169" s="183" t="str">
        <f>'Plant loading'!B44</f>
        <v>BMGMTX-DCSYS06</v>
      </c>
      <c r="B169" s="184">
        <f>('Plant loading'!E44)*54.5/1000</f>
        <v>45.725499999999997</v>
      </c>
      <c r="C169" s="184">
        <f>('Plant loading'!AC44)*54.5/1000</f>
        <v>10.1915</v>
      </c>
      <c r="D169" s="184">
        <f>('Plant loading'!N44)*54.5/1000-C169</f>
        <v>0</v>
      </c>
      <c r="E169" s="185">
        <f>'Plant loading'!J44/2</f>
        <v>66</v>
      </c>
      <c r="F169" s="185" t="str">
        <f>'Plant loading'!C44</f>
        <v>HDR48-ES</v>
      </c>
      <c r="G169" s="186">
        <f t="shared" si="18"/>
        <v>10.083000000000004</v>
      </c>
    </row>
    <row r="170" spans="1:7">
      <c r="A170" s="183" t="str">
        <f>'Plant loading'!B56</f>
        <v>LLDMTX-DCSYS01</v>
      </c>
      <c r="B170" s="184">
        <f>('Plant loading'!E56)*54.5/1000</f>
        <v>48.832000000000001</v>
      </c>
      <c r="C170" s="184">
        <f>('Plant loading'!AC56)*54.5/1000</f>
        <v>3.597</v>
      </c>
      <c r="D170" s="184">
        <f>('Plant loading'!N56)*54.5/1000-C170</f>
        <v>0</v>
      </c>
      <c r="E170" s="185">
        <f>'Plant loading'!J56/2</f>
        <v>66</v>
      </c>
      <c r="F170" s="185" t="str">
        <f>'Plant loading'!C56</f>
        <v>HDR48-ES</v>
      </c>
      <c r="G170" s="186">
        <f t="shared" si="18"/>
        <v>13.571</v>
      </c>
    </row>
    <row r="171" spans="1:7">
      <c r="A171" s="183" t="str">
        <f>'Plant loading'!B57</f>
        <v>LLDMTX-DCSYS02</v>
      </c>
      <c r="B171" s="184">
        <f>('Plant loading'!E57)*54.5/1000</f>
        <v>44.798999999999999</v>
      </c>
      <c r="C171" s="184">
        <f>('Plant loading'!AC57)*54.5/1000</f>
        <v>5.3410000000000002</v>
      </c>
      <c r="D171" s="184">
        <f>('Plant loading'!N57)*54.5/1000-C171</f>
        <v>0</v>
      </c>
      <c r="E171" s="185">
        <f>'Plant loading'!J57/2</f>
        <v>66</v>
      </c>
      <c r="F171" s="185" t="str">
        <f>'Plant loading'!C57</f>
        <v>HDR48-ES</v>
      </c>
      <c r="G171" s="186">
        <f t="shared" si="18"/>
        <v>15.86</v>
      </c>
    </row>
    <row r="172" spans="1:7">
      <c r="A172" s="183" t="str">
        <f>'Plant loading'!B58</f>
        <v>LLDMTX-DCSYS03</v>
      </c>
      <c r="B172" s="184">
        <f>('Plant loading'!E58)*54.5/1000</f>
        <v>51.502499999999998</v>
      </c>
      <c r="C172" s="184">
        <f>('Plant loading'!AC58)*54.5/1000</f>
        <v>4.6325000000000003</v>
      </c>
      <c r="D172" s="184">
        <f>('Plant loading'!N58)*54.5/1000-C172</f>
        <v>0</v>
      </c>
      <c r="E172" s="185">
        <f>'Plant loading'!J58/2</f>
        <v>66</v>
      </c>
      <c r="F172" s="185" t="str">
        <f>'Plant loading'!C58</f>
        <v>HDR48-ES</v>
      </c>
      <c r="G172" s="186">
        <f t="shared" si="18"/>
        <v>9.865000000000002</v>
      </c>
    </row>
    <row r="173" spans="1:7">
      <c r="A173" s="183" t="str">
        <f>'Plant loading'!B59</f>
        <v>LLDMTX-DCSYS04</v>
      </c>
      <c r="B173" s="184">
        <f>('Plant loading'!E59)*54.5/1000</f>
        <v>46.87</v>
      </c>
      <c r="C173" s="184">
        <f>('Plant loading'!AC59)*54.5/1000</f>
        <v>3.597</v>
      </c>
      <c r="D173" s="184">
        <f>('Plant loading'!N59)*54.5/1000-C173</f>
        <v>0</v>
      </c>
      <c r="E173" s="185">
        <f>'Plant loading'!J59/2</f>
        <v>66</v>
      </c>
      <c r="F173" s="185" t="str">
        <f>'Plant loading'!C59</f>
        <v>HDR48-ES</v>
      </c>
      <c r="G173" s="186">
        <f t="shared" si="18"/>
        <v>15.533000000000003</v>
      </c>
    </row>
    <row r="174" spans="1:7">
      <c r="A174" s="183" t="str">
        <f>'Plant loading'!B60</f>
        <v>LLDMTX-DCSYS05</v>
      </c>
      <c r="B174" s="184">
        <f>('Plant loading'!E60)*54.5/1000</f>
        <v>49.976500000000001</v>
      </c>
      <c r="C174" s="184">
        <f>('Plant loading'!AC60)*54.5/1000</f>
        <v>4.3055000000000003</v>
      </c>
      <c r="D174" s="184">
        <f>('Plant loading'!N60)*54.5/1000-C174</f>
        <v>0</v>
      </c>
      <c r="E174" s="185">
        <f>'Plant loading'!J60/2</f>
        <v>66</v>
      </c>
      <c r="F174" s="185" t="str">
        <f>'Plant loading'!C60</f>
        <v>HDR48-ES</v>
      </c>
      <c r="G174" s="186">
        <f t="shared" si="18"/>
        <v>11.717999999999998</v>
      </c>
    </row>
    <row r="175" spans="1:7">
      <c r="A175" s="183" t="str">
        <f>'Plant loading'!B61</f>
        <v>LLDMTX-DCSYS06</v>
      </c>
      <c r="B175" s="184">
        <f>('Plant loading'!E61)*54.5/1000</f>
        <v>48.613999999999997</v>
      </c>
      <c r="C175" s="184">
        <f>('Plant loading'!AC61)*54.5/1000</f>
        <v>3.7605</v>
      </c>
      <c r="D175" s="184">
        <f>('Plant loading'!N61)*54.5/1000-C175</f>
        <v>0</v>
      </c>
      <c r="E175" s="185">
        <f>'Plant loading'!J61/2</f>
        <v>66</v>
      </c>
      <c r="F175" s="185" t="str">
        <f>'Plant loading'!C61</f>
        <v>HDR48-ES</v>
      </c>
      <c r="G175" s="186">
        <f t="shared" si="18"/>
        <v>13.625500000000002</v>
      </c>
    </row>
    <row r="176" spans="1:7">
      <c r="A176" s="183" t="str">
        <f>'Plant loading'!B64</f>
        <v>PEAMS</v>
      </c>
      <c r="B176" s="184">
        <f>('Plant loading'!E64)*54.5/1000</f>
        <v>60.277000000000001</v>
      </c>
      <c r="C176" s="184">
        <f>('Plant loading'!AC64)*54.5/1000</f>
        <v>4.1965000000000003</v>
      </c>
      <c r="D176" s="184">
        <f>('Plant loading'!N64)*54.5/1000-C176</f>
        <v>0</v>
      </c>
      <c r="E176" s="185">
        <f>'Plant loading'!J64/2</f>
        <v>73.5</v>
      </c>
      <c r="F176" s="185" t="str">
        <f>'Plant loading'!C64</f>
        <v>eSure</v>
      </c>
      <c r="G176" s="186">
        <f t="shared" si="18"/>
        <v>9.0264999999999986</v>
      </c>
    </row>
    <row r="177" spans="1:7">
      <c r="A177" s="183" t="str">
        <f>'Plant loading'!B65</f>
        <v>PEBMS</v>
      </c>
      <c r="B177" s="184">
        <f>('Plant loading'!E65)*54.5/1000</f>
        <v>56.789000000000001</v>
      </c>
      <c r="C177" s="184">
        <f>('Plant loading'!AC65)*54.5/1000</f>
        <v>6.2130000000000001</v>
      </c>
      <c r="D177" s="184">
        <f>('Plant loading'!N65)*54.5/1000-C177</f>
        <v>0</v>
      </c>
      <c r="E177" s="185">
        <f>'Plant loading'!J65/2</f>
        <v>73.5</v>
      </c>
      <c r="F177" s="185" t="str">
        <f>'Plant loading'!C65</f>
        <v>eSure</v>
      </c>
      <c r="G177" s="186">
        <f t="shared" si="18"/>
        <v>10.497999999999998</v>
      </c>
    </row>
    <row r="178" spans="1:7">
      <c r="A178" s="183" t="str">
        <f>'Plant loading'!B66</f>
        <v>PECMS</v>
      </c>
      <c r="B178" s="184">
        <f>('Plant loading'!E66)*54.5/1000</f>
        <v>59.078000000000003</v>
      </c>
      <c r="C178" s="184">
        <f>('Plant loading'!AC66)*54.5/1000</f>
        <v>6.7035</v>
      </c>
      <c r="D178" s="184">
        <f>('Plant loading'!N66)*54.5/1000-C178</f>
        <v>0</v>
      </c>
      <c r="E178" s="185">
        <f>'Plant loading'!J66/2</f>
        <v>73.5</v>
      </c>
      <c r="F178" s="185" t="str">
        <f>'Plant loading'!C66</f>
        <v>eSure</v>
      </c>
      <c r="G178" s="186">
        <f t="shared" si="18"/>
        <v>7.718499999999997</v>
      </c>
    </row>
    <row r="179" spans="1:7">
      <c r="A179" s="183" t="str">
        <f>'Plant loading'!B67</f>
        <v>PEDMS</v>
      </c>
      <c r="B179" s="184">
        <f>('Plant loading'!E67)*54.5/1000</f>
        <v>62.6205</v>
      </c>
      <c r="C179" s="184">
        <f>('Plant loading'!AC67)*54.5/1000</f>
        <v>7.085</v>
      </c>
      <c r="D179" s="184">
        <f>('Plant loading'!N67)*54.5/1000-C179</f>
        <v>0</v>
      </c>
      <c r="E179" s="185">
        <f>'Plant loading'!J67/2</f>
        <v>73.5</v>
      </c>
      <c r="F179" s="185" t="str">
        <f>'Plant loading'!C67</f>
        <v>eSure</v>
      </c>
      <c r="G179" s="186">
        <f t="shared" si="18"/>
        <v>3.7945000000000002</v>
      </c>
    </row>
    <row r="180" spans="1:7">
      <c r="A180" s="183" t="str">
        <f>'Plant loading'!B68</f>
        <v>PEEMS</v>
      </c>
      <c r="B180" s="184">
        <f>('Plant loading'!E68)*54.5/1000</f>
        <v>58.750999999999998</v>
      </c>
      <c r="C180" s="184">
        <f>('Plant loading'!AC68)*54.5/1000</f>
        <v>3.3245</v>
      </c>
      <c r="D180" s="184">
        <f>('Plant loading'!N68)*54.5/1000-C180</f>
        <v>0</v>
      </c>
      <c r="E180" s="185">
        <f>'Plant loading'!J68/2</f>
        <v>73.5</v>
      </c>
      <c r="F180" s="185" t="str">
        <f>'Plant loading'!C68</f>
        <v>eSure</v>
      </c>
      <c r="G180" s="186">
        <f t="shared" si="18"/>
        <v>11.424500000000002</v>
      </c>
    </row>
    <row r="181" spans="1:7" ht="10.9" thickBot="1">
      <c r="A181" s="187" t="str">
        <f>'Plant loading'!B69</f>
        <v>PEFMS</v>
      </c>
      <c r="B181" s="188">
        <f>('Plant loading'!E69)*54.5/1000</f>
        <v>59.295999999999999</v>
      </c>
      <c r="C181" s="188">
        <f>('Plant loading'!AC69)*54.5/1000</f>
        <v>3.3245</v>
      </c>
      <c r="D181" s="188">
        <f>('Plant loading'!N69)*54.5/1000-C181</f>
        <v>0</v>
      </c>
      <c r="E181" s="189">
        <f>'Plant loading'!J69/2</f>
        <v>73.5</v>
      </c>
      <c r="F181" s="189" t="str">
        <f>'Plant loading'!C69</f>
        <v>eSure</v>
      </c>
      <c r="G181" s="186">
        <f t="shared" si="18"/>
        <v>10.8795</v>
      </c>
    </row>
    <row r="183" spans="1:7" ht="10.9" thickBot="1"/>
    <row r="184" spans="1:7" ht="13.15">
      <c r="A184" s="176" t="s">
        <v>729</v>
      </c>
      <c r="B184" s="177"/>
      <c r="C184" s="177"/>
      <c r="D184" s="177"/>
      <c r="E184" s="177"/>
      <c r="F184" s="178"/>
      <c r="G184" s="179"/>
    </row>
    <row r="185" spans="1:7">
      <c r="A185" s="180"/>
      <c r="B185" s="181" t="s">
        <v>597</v>
      </c>
      <c r="C185" s="181" t="s">
        <v>376</v>
      </c>
      <c r="D185" s="181" t="s">
        <v>377</v>
      </c>
      <c r="E185" s="181" t="s">
        <v>722</v>
      </c>
      <c r="F185" s="181" t="s">
        <v>581</v>
      </c>
      <c r="G185" s="182" t="s">
        <v>700</v>
      </c>
    </row>
    <row r="186" spans="1:7">
      <c r="A186" s="185" t="str">
        <f>'Plant loading'!B4</f>
        <v>PEAAN</v>
      </c>
      <c r="B186" s="184">
        <f>('Plant loading'!E4)*54.5/1000</f>
        <v>34.335000000000001</v>
      </c>
      <c r="C186" s="184">
        <f>('Plant loading'!AC4)*54.5/1000</f>
        <v>2.9430000000000001</v>
      </c>
      <c r="D186" s="184">
        <f>('Plant loading'!N4)*54.5/1000-C186</f>
        <v>0</v>
      </c>
      <c r="E186" s="185">
        <f>'Plant loading'!J4/2</f>
        <v>63</v>
      </c>
      <c r="F186" s="185" t="str">
        <f>'Plant loading'!C4</f>
        <v>eSure</v>
      </c>
      <c r="G186" s="184">
        <f t="shared" ref="G186:G211" si="19">E186-D186-B186</f>
        <v>28.664999999999999</v>
      </c>
    </row>
    <row r="187" spans="1:7">
      <c r="A187" s="185" t="str">
        <f>'Plant loading'!B5</f>
        <v>PEBAN</v>
      </c>
      <c r="B187" s="184">
        <f>('Plant loading'!E5)*54.5/1000</f>
        <v>33.081499999999998</v>
      </c>
      <c r="C187" s="184">
        <f>('Plant loading'!AC5)*54.5/1000</f>
        <v>2.9430000000000001</v>
      </c>
      <c r="D187" s="184">
        <f>('Plant loading'!N5)*54.5/1000-C187</f>
        <v>0</v>
      </c>
      <c r="E187" s="185">
        <f>'Plant loading'!J5/2</f>
        <v>63</v>
      </c>
      <c r="F187" s="185" t="str">
        <f>'Plant loading'!C5</f>
        <v>eSure</v>
      </c>
      <c r="G187" s="184">
        <f t="shared" si="19"/>
        <v>29.918500000000002</v>
      </c>
    </row>
    <row r="188" spans="1:7">
      <c r="A188" s="185" t="str">
        <f>'Plant loading'!B6</f>
        <v>PECAN</v>
      </c>
      <c r="B188" s="184">
        <f>('Plant loading'!E6)*54.5/1000</f>
        <v>25.942</v>
      </c>
      <c r="C188" s="184">
        <f>('Plant loading'!AC6)*54.5/1000</f>
        <v>2.6160000000000001</v>
      </c>
      <c r="D188" s="184">
        <f>('Plant loading'!N6)*54.5/1000-C188</f>
        <v>0</v>
      </c>
      <c r="E188" s="185">
        <f>'Plant loading'!J6/2</f>
        <v>63</v>
      </c>
      <c r="F188" s="185" t="str">
        <f>'Plant loading'!C6</f>
        <v>eSure</v>
      </c>
      <c r="G188" s="184">
        <f t="shared" si="19"/>
        <v>37.058</v>
      </c>
    </row>
    <row r="189" spans="1:7">
      <c r="A189" s="185" t="str">
        <f>'Plant loading'!B7</f>
        <v>PEFAN</v>
      </c>
      <c r="B189" s="184">
        <f>('Plant loading'!E7)*54.5/1000</f>
        <v>37.932000000000002</v>
      </c>
      <c r="C189" s="184">
        <f>('Plant loading'!AC7)*54.5/1000</f>
        <v>2.7250000000000001</v>
      </c>
      <c r="D189" s="184">
        <f>('Plant loading'!N7)*54.5/1000-C189</f>
        <v>0</v>
      </c>
      <c r="E189" s="185">
        <f>'Plant loading'!J7/2</f>
        <v>63</v>
      </c>
      <c r="F189" s="185" t="str">
        <f>'Plant loading'!C7</f>
        <v>eSure</v>
      </c>
      <c r="G189" s="184">
        <f t="shared" si="19"/>
        <v>25.067999999999998</v>
      </c>
    </row>
    <row r="190" spans="1:7">
      <c r="A190" s="185" t="str">
        <f>'Plant loading'!B8</f>
        <v>PEGAN</v>
      </c>
      <c r="B190" s="184">
        <f>('Plant loading'!E8)*54.5/1000</f>
        <v>39.621499999999997</v>
      </c>
      <c r="C190" s="184">
        <f>('Plant loading'!AC8)*54.5/1000</f>
        <v>2.6705000000000001</v>
      </c>
      <c r="D190" s="184">
        <f>('Plant loading'!N8)*54.5/1000-C190</f>
        <v>0</v>
      </c>
      <c r="E190" s="185">
        <f>'Plant loading'!J8/2</f>
        <v>63</v>
      </c>
      <c r="F190" s="185" t="str">
        <f>'Plant loading'!C8</f>
        <v>eSure</v>
      </c>
      <c r="G190" s="184">
        <f t="shared" si="19"/>
        <v>23.378500000000003</v>
      </c>
    </row>
    <row r="191" spans="1:7">
      <c r="A191" s="183" t="str">
        <f>'Plant loading'!B17</f>
        <v>PEACY</v>
      </c>
      <c r="B191" s="184">
        <f>('Plant loading'!E17)*54.5/1000</f>
        <v>19.7835</v>
      </c>
      <c r="C191" s="184">
        <f>('Plant loading'!AC17)*54.5/1000</f>
        <v>0</v>
      </c>
      <c r="D191" s="184">
        <f>('Plant loading'!N17)*54.5/1000-C191</f>
        <v>0</v>
      </c>
      <c r="E191" s="185">
        <f>'Plant loading'!J17/2</f>
        <v>63</v>
      </c>
      <c r="F191" s="185" t="str">
        <f>'Plant loading'!C17</f>
        <v>eSure</v>
      </c>
      <c r="G191" s="186">
        <f t="shared" si="19"/>
        <v>43.216499999999996</v>
      </c>
    </row>
    <row r="192" spans="1:7">
      <c r="A192" s="183" t="str">
        <f>'Plant loading'!B18</f>
        <v>PEBCY</v>
      </c>
      <c r="B192" s="184">
        <f>('Plant loading'!E18)*54.5/1000</f>
        <v>26.268999999999998</v>
      </c>
      <c r="C192" s="184">
        <f>('Plant loading'!AC18)*54.5/1000</f>
        <v>0</v>
      </c>
      <c r="D192" s="184">
        <f>('Plant loading'!N18)*54.5/1000-C192</f>
        <v>0</v>
      </c>
      <c r="E192" s="185">
        <f>'Plant loading'!J18/2</f>
        <v>63</v>
      </c>
      <c r="F192" s="185" t="str">
        <f>'Plant loading'!C18</f>
        <v>eSure</v>
      </c>
      <c r="G192" s="186">
        <f t="shared" si="19"/>
        <v>36.731000000000002</v>
      </c>
    </row>
    <row r="193" spans="1:7">
      <c r="A193" s="183" t="str">
        <f>'Plant loading'!B19</f>
        <v>PECCY</v>
      </c>
      <c r="B193" s="184">
        <f>('Plant loading'!E19)*54.5/1000</f>
        <v>33.680999999999997</v>
      </c>
      <c r="C193" s="184">
        <f>('Plant loading'!AC19)*54.5/1000</f>
        <v>0</v>
      </c>
      <c r="D193" s="184">
        <f>('Plant loading'!N19)*54.5/1000-C193</f>
        <v>0</v>
      </c>
      <c r="E193" s="185">
        <f>'Plant loading'!J19/2</f>
        <v>63</v>
      </c>
      <c r="F193" s="185" t="str">
        <f>'Plant loading'!C19</f>
        <v>eSure</v>
      </c>
      <c r="G193" s="186">
        <f t="shared" si="19"/>
        <v>29.319000000000003</v>
      </c>
    </row>
    <row r="194" spans="1:7">
      <c r="A194" s="183" t="str">
        <f>'Plant loading'!B20</f>
        <v>PEDCY</v>
      </c>
      <c r="B194" s="184">
        <f>('Plant loading'!E20)*54.5/1000</f>
        <v>26.214500000000001</v>
      </c>
      <c r="C194" s="184">
        <f>('Plant loading'!AC20)*54.5/1000</f>
        <v>0</v>
      </c>
      <c r="D194" s="184">
        <f>('Plant loading'!N20)*54.5/1000-C194</f>
        <v>0</v>
      </c>
      <c r="E194" s="185">
        <f>'Plant loading'!J20/2</f>
        <v>63</v>
      </c>
      <c r="F194" s="185" t="str">
        <f>'Plant loading'!C20</f>
        <v>eSure</v>
      </c>
      <c r="G194" s="186">
        <f t="shared" si="19"/>
        <v>36.785499999999999</v>
      </c>
    </row>
    <row r="195" spans="1:7">
      <c r="A195" s="183" t="str">
        <f>'Plant loading'!B21</f>
        <v>PEECY</v>
      </c>
      <c r="B195" s="184">
        <f>('Plant loading'!E21)*54.5/1000</f>
        <v>17.494499999999999</v>
      </c>
      <c r="C195" s="184">
        <f>('Plant loading'!AC21)*54.5/1000</f>
        <v>0</v>
      </c>
      <c r="D195" s="184">
        <f>('Plant loading'!N21)*54.5/1000-C195</f>
        <v>0</v>
      </c>
      <c r="E195" s="185">
        <f>'Plant loading'!J21/2</f>
        <v>63</v>
      </c>
      <c r="F195" s="185" t="str">
        <f>'Plant loading'!C21</f>
        <v>eSure</v>
      </c>
      <c r="G195" s="186">
        <f t="shared" si="19"/>
        <v>45.505499999999998</v>
      </c>
    </row>
    <row r="196" spans="1:7">
      <c r="A196" s="183" t="str">
        <f>'Plant loading'!B32</f>
        <v>PEAGR</v>
      </c>
      <c r="B196" s="184">
        <f>('Plant loading'!E32)*54.5/1000</f>
        <v>36.188000000000002</v>
      </c>
      <c r="C196" s="184">
        <f>('Plant loading'!AC32)*54.5/1000</f>
        <v>7.5754999999999999</v>
      </c>
      <c r="D196" s="184">
        <f>('Plant loading'!N32)*54.5/1000-C196</f>
        <v>0</v>
      </c>
      <c r="E196" s="185">
        <f>'Plant loading'!J32/2</f>
        <v>63</v>
      </c>
      <c r="F196" s="185" t="str">
        <f>'Plant loading'!C32</f>
        <v>eSure</v>
      </c>
      <c r="G196" s="186">
        <f t="shared" si="19"/>
        <v>26.811999999999998</v>
      </c>
    </row>
    <row r="197" spans="1:7">
      <c r="A197" s="183" t="str">
        <f>'Plant loading'!B33</f>
        <v>PEBGR</v>
      </c>
      <c r="B197" s="184">
        <f>('Plant loading'!E33)*54.5/1000</f>
        <v>44.1995</v>
      </c>
      <c r="C197" s="184">
        <f>('Plant loading'!AC33)*54.5/1000</f>
        <v>8.8290000000000006</v>
      </c>
      <c r="D197" s="184">
        <f>('Plant loading'!N33)*54.5/1000-C197</f>
        <v>0</v>
      </c>
      <c r="E197" s="185">
        <f>'Plant loading'!J33/2</f>
        <v>63</v>
      </c>
      <c r="F197" s="185" t="str">
        <f>'Plant loading'!C33</f>
        <v>eSure</v>
      </c>
      <c r="G197" s="186">
        <f t="shared" si="19"/>
        <v>18.8005</v>
      </c>
    </row>
    <row r="198" spans="1:7">
      <c r="A198" s="183" t="str">
        <f>'Plant loading'!B34</f>
        <v>PECGR</v>
      </c>
      <c r="B198" s="184">
        <f>('Plant loading'!E34)*54.5/1000</f>
        <v>41.637999999999998</v>
      </c>
      <c r="C198" s="184">
        <f>('Plant loading'!AC34)*54.5/1000</f>
        <v>12.698499999999999</v>
      </c>
      <c r="D198" s="184">
        <f>('Plant loading'!N34)*54.5/1000-C198</f>
        <v>0</v>
      </c>
      <c r="E198" s="185">
        <f>'Plant loading'!J34/2</f>
        <v>63</v>
      </c>
      <c r="F198" s="185" t="str">
        <f>'Plant loading'!C34</f>
        <v>eSure</v>
      </c>
      <c r="G198" s="186">
        <f t="shared" si="19"/>
        <v>21.362000000000002</v>
      </c>
    </row>
    <row r="199" spans="1:7">
      <c r="A199" s="183" t="str">
        <f>'Plant loading'!B35</f>
        <v>PEDGR</v>
      </c>
      <c r="B199" s="184">
        <f>('Plant loading'!E35)*54.5/1000</f>
        <v>40.548000000000002</v>
      </c>
      <c r="C199" s="184">
        <f>('Plant loading'!AC35)*54.5/1000</f>
        <v>13.025499999999999</v>
      </c>
      <c r="D199" s="184">
        <f>('Plant loading'!N35)*54.5/1000-C199</f>
        <v>0</v>
      </c>
      <c r="E199" s="185">
        <f>'Plant loading'!J35/2</f>
        <v>63</v>
      </c>
      <c r="F199" s="185" t="str">
        <f>'Plant loading'!C35</f>
        <v>eSure</v>
      </c>
      <c r="G199" s="186">
        <f t="shared" si="19"/>
        <v>22.451999999999998</v>
      </c>
    </row>
    <row r="200" spans="1:7">
      <c r="A200" s="183" t="str">
        <f>'Plant loading'!B36</f>
        <v>PEEGR</v>
      </c>
      <c r="B200" s="184">
        <f>('Plant loading'!E36)*54.5/1000</f>
        <v>39.457999999999998</v>
      </c>
      <c r="C200" s="184">
        <f>('Plant loading'!AC36)*54.5/1000</f>
        <v>11.499499999999999</v>
      </c>
      <c r="D200" s="184">
        <f>('Plant loading'!N36)*54.5/1000-C200</f>
        <v>0</v>
      </c>
      <c r="E200" s="185">
        <f>'Plant loading'!J36/2</f>
        <v>63</v>
      </c>
      <c r="F200" s="185" t="str">
        <f>'Plant loading'!C36</f>
        <v>eSure</v>
      </c>
      <c r="G200" s="186">
        <f t="shared" si="19"/>
        <v>23.542000000000002</v>
      </c>
    </row>
    <row r="201" spans="1:7">
      <c r="A201" s="183" t="str">
        <f>'Plant loading'!B72</f>
        <v>OLDMTX-DCSYS01</v>
      </c>
      <c r="B201" s="184">
        <f>('Plant loading'!E72)*54.5/1000</f>
        <v>47.142499999999998</v>
      </c>
      <c r="C201" s="184">
        <f>('Plant loading'!AC72)*54.5/1000</f>
        <v>8.7744999999999997</v>
      </c>
      <c r="D201" s="184">
        <f>('Plant loading'!N72)*54.5/1000-C201</f>
        <v>0</v>
      </c>
      <c r="E201" s="185">
        <f>'Plant loading'!J72/2</f>
        <v>66</v>
      </c>
      <c r="F201" s="185" t="str">
        <f>'Plant loading'!C72</f>
        <v>HDR48-ES</v>
      </c>
      <c r="G201" s="186">
        <f t="shared" si="19"/>
        <v>18.857500000000002</v>
      </c>
    </row>
    <row r="202" spans="1:7">
      <c r="A202" s="183" t="str">
        <f>'Plant loading'!B73</f>
        <v>OLDMTX-DCSYS02</v>
      </c>
      <c r="B202" s="184">
        <f>('Plant loading'!E73)*54.5/1000</f>
        <v>39.567</v>
      </c>
      <c r="C202" s="184">
        <f>('Plant loading'!AC73)*54.5/1000</f>
        <v>11.663</v>
      </c>
      <c r="D202" s="184">
        <f>('Plant loading'!N73)*54.5/1000-C202</f>
        <v>0</v>
      </c>
      <c r="E202" s="185">
        <f>'Plant loading'!J73/2</f>
        <v>66</v>
      </c>
      <c r="F202" s="185" t="str">
        <f>'Plant loading'!C73</f>
        <v>HDR48-ES</v>
      </c>
      <c r="G202" s="186">
        <f t="shared" si="19"/>
        <v>26.433</v>
      </c>
    </row>
    <row r="203" spans="1:7">
      <c r="A203" s="183" t="str">
        <f>'Plant loading'!B74</f>
        <v>OLDMTX-DCSYS03</v>
      </c>
      <c r="B203" s="184">
        <f>('Plant loading'!E74)*54.5/1000</f>
        <v>43.000500000000002</v>
      </c>
      <c r="C203" s="184">
        <f>('Plant loading'!AC74)*54.5/1000</f>
        <v>5.6135000000000002</v>
      </c>
      <c r="D203" s="184">
        <f>('Plant loading'!N74)*54.5/1000-C203</f>
        <v>0</v>
      </c>
      <c r="E203" s="185">
        <f>'Plant loading'!J74/2</f>
        <v>66</v>
      </c>
      <c r="F203" s="185" t="str">
        <f>'Plant loading'!C74</f>
        <v>HDR48-ES</v>
      </c>
      <c r="G203" s="186">
        <f t="shared" si="19"/>
        <v>22.999499999999998</v>
      </c>
    </row>
    <row r="204" spans="1:7">
      <c r="A204" s="183" t="str">
        <f>'Plant loading'!B75</f>
        <v>OLDMTX-DCSYS04</v>
      </c>
      <c r="B204" s="184">
        <f>('Plant loading'!E75)*54.5/1000</f>
        <v>32.536499999999997</v>
      </c>
      <c r="C204" s="184">
        <f>('Plant loading'!AC75)*54.5/1000</f>
        <v>10.791</v>
      </c>
      <c r="D204" s="184">
        <f>('Plant loading'!N75)*54.5/1000-C204</f>
        <v>0</v>
      </c>
      <c r="E204" s="185">
        <f>'Plant loading'!J75/2</f>
        <v>51</v>
      </c>
      <c r="F204" s="185" t="str">
        <f>'Plant loading'!C75</f>
        <v>HDR48-ES</v>
      </c>
      <c r="G204" s="186">
        <f t="shared" si="19"/>
        <v>18.463500000000003</v>
      </c>
    </row>
    <row r="205" spans="1:7">
      <c r="A205" s="183" t="str">
        <f>'Plant loading'!B76</f>
        <v>OLDMTX-DCSYS05</v>
      </c>
      <c r="B205" s="184">
        <f>('Plant loading'!E76)*54.5/1000</f>
        <v>29.43</v>
      </c>
      <c r="C205" s="184">
        <f>('Plant loading'!AC76)*54.5/1000</f>
        <v>8.6110000000000007</v>
      </c>
      <c r="D205" s="184">
        <f>('Plant loading'!N76)*54.5/1000-C205</f>
        <v>0</v>
      </c>
      <c r="E205" s="185">
        <f>'Plant loading'!J76/2</f>
        <v>66</v>
      </c>
      <c r="F205" s="185" t="str">
        <f>'Plant loading'!C76</f>
        <v>HDR48-ES</v>
      </c>
      <c r="G205" s="186">
        <f t="shared" si="19"/>
        <v>36.57</v>
      </c>
    </row>
    <row r="206" spans="1:7">
      <c r="A206" s="183" t="str">
        <f>'Plant loading'!B77</f>
        <v>OLDMTX-DCSYS06</v>
      </c>
      <c r="B206" s="184">
        <f>('Plant loading'!E77)*54.5/1000</f>
        <v>34.280500000000004</v>
      </c>
      <c r="C206" s="184">
        <f>('Plant loading'!AC77)*54.5/1000</f>
        <v>12.426</v>
      </c>
      <c r="D206" s="184">
        <f>('Plant loading'!N77)*54.5/1000-C206</f>
        <v>0</v>
      </c>
      <c r="E206" s="185">
        <f>'Plant loading'!J77/2</f>
        <v>66</v>
      </c>
      <c r="F206" s="185" t="str">
        <f>'Plant loading'!C77</f>
        <v>HDR48-ES</v>
      </c>
      <c r="G206" s="186">
        <f t="shared" si="19"/>
        <v>31.719499999999996</v>
      </c>
    </row>
    <row r="207" spans="1:7">
      <c r="A207" s="183" t="str">
        <f>'Plant loading'!B80</f>
        <v>PEARM</v>
      </c>
      <c r="B207" s="184">
        <f>('Plant loading'!E80)*54.5/1000</f>
        <v>22.998999999999999</v>
      </c>
      <c r="C207" s="184">
        <f>('Plant loading'!AC80)*54.5/1000</f>
        <v>0</v>
      </c>
      <c r="D207" s="184">
        <f>('Plant loading'!N80)*54.5/1000-C207</f>
        <v>0</v>
      </c>
      <c r="E207" s="185">
        <f>'Plant loading'!J80/2</f>
        <v>63</v>
      </c>
      <c r="F207" s="185" t="str">
        <f>'Plant loading'!C80</f>
        <v>eSure</v>
      </c>
      <c r="G207" s="186">
        <f t="shared" si="19"/>
        <v>40.001000000000005</v>
      </c>
    </row>
    <row r="208" spans="1:7">
      <c r="A208" s="183" t="str">
        <f>'Plant loading'!B81</f>
        <v>PEBRM</v>
      </c>
      <c r="B208" s="184">
        <f>('Plant loading'!E81)*54.5/1000</f>
        <v>28.503499999999999</v>
      </c>
      <c r="C208" s="184">
        <f>('Plant loading'!AC81)*54.5/1000</f>
        <v>0</v>
      </c>
      <c r="D208" s="184">
        <f>('Plant loading'!N81)*54.5/1000-C208</f>
        <v>0</v>
      </c>
      <c r="E208" s="185">
        <f>'Plant loading'!J81/2</f>
        <v>63</v>
      </c>
      <c r="F208" s="185" t="str">
        <f>'Plant loading'!C81</f>
        <v>eSure</v>
      </c>
      <c r="G208" s="186">
        <f t="shared" si="19"/>
        <v>34.496499999999997</v>
      </c>
    </row>
    <row r="209" spans="1:7">
      <c r="A209" s="183" t="str">
        <f>'Plant loading'!B82</f>
        <v>PECRM</v>
      </c>
      <c r="B209" s="184">
        <f>('Plant loading'!E82)*54.5/1000</f>
        <v>28.994</v>
      </c>
      <c r="C209" s="184">
        <f>('Plant loading'!AC82)*54.5/1000</f>
        <v>0</v>
      </c>
      <c r="D209" s="184">
        <f>('Plant loading'!N82)*54.5/1000-C209</f>
        <v>0</v>
      </c>
      <c r="E209" s="185">
        <f>'Plant loading'!J82/2</f>
        <v>63</v>
      </c>
      <c r="F209" s="185" t="str">
        <f>'Plant loading'!C82</f>
        <v>eSure</v>
      </c>
      <c r="G209" s="186">
        <f t="shared" si="19"/>
        <v>34.006</v>
      </c>
    </row>
    <row r="210" spans="1:7">
      <c r="A210" s="183" t="str">
        <f>'Plant loading'!B83</f>
        <v>PEDRM</v>
      </c>
      <c r="B210" s="184">
        <f>('Plant loading'!E83)*54.5/1000</f>
        <v>14.333500000000001</v>
      </c>
      <c r="C210" s="184">
        <f>('Plant loading'!AC83)*54.5/1000</f>
        <v>0</v>
      </c>
      <c r="D210" s="184">
        <f>('Plant loading'!N83)*54.5/1000-C210</f>
        <v>0</v>
      </c>
      <c r="E210" s="185">
        <f>'Plant loading'!J83/2</f>
        <v>63</v>
      </c>
      <c r="F210" s="185" t="str">
        <f>'Plant loading'!C83</f>
        <v>eSure</v>
      </c>
      <c r="G210" s="186">
        <f t="shared" si="19"/>
        <v>48.666499999999999</v>
      </c>
    </row>
    <row r="211" spans="1:7" ht="10.9" thickBot="1">
      <c r="A211" s="187" t="str">
        <f>'Plant loading'!B84</f>
        <v>PEERM</v>
      </c>
      <c r="B211" s="188">
        <f>('Plant loading'!E84)*54.5/1000</f>
        <v>11.554</v>
      </c>
      <c r="C211" s="188">
        <f>('Plant loading'!AC84)*54.5/1000</f>
        <v>0</v>
      </c>
      <c r="D211" s="188">
        <f>('Plant loading'!N84)*54.5/1000-C211</f>
        <v>0</v>
      </c>
      <c r="E211" s="189">
        <f>'Plant loading'!J84/2</f>
        <v>63</v>
      </c>
      <c r="F211" s="189" t="str">
        <f>'Plant loading'!C84</f>
        <v>eSure</v>
      </c>
      <c r="G211" s="190">
        <f t="shared" si="19"/>
        <v>51.445999999999998</v>
      </c>
    </row>
    <row r="212" spans="1:7">
      <c r="A212" s="5"/>
      <c r="B212" s="5"/>
      <c r="C212" s="5"/>
      <c r="D212" s="5"/>
      <c r="E212" s="5"/>
      <c r="F212" s="5"/>
    </row>
    <row r="213" spans="1:7">
      <c r="A213" s="191" t="s">
        <v>730</v>
      </c>
      <c r="B213" s="5"/>
      <c r="C213" s="5"/>
      <c r="D213" s="5"/>
      <c r="E213" s="5"/>
      <c r="F213" s="5"/>
    </row>
    <row r="214" spans="1:7">
      <c r="A214" s="5"/>
      <c r="B214" s="9" t="s">
        <v>597</v>
      </c>
      <c r="C214" s="9" t="s">
        <v>376</v>
      </c>
      <c r="D214" s="9" t="s">
        <v>377</v>
      </c>
      <c r="E214" s="9" t="s">
        <v>722</v>
      </c>
      <c r="F214" s="9" t="s">
        <v>581</v>
      </c>
      <c r="G214" s="9" t="s">
        <v>700</v>
      </c>
    </row>
    <row r="215" spans="1:7">
      <c r="A215" s="5" t="str">
        <f>'Plant loading'!B22</f>
        <v>PECEH</v>
      </c>
      <c r="B215" s="40">
        <f>('Plant loading'!E22)*54.5/1000</f>
        <v>45.453000000000003</v>
      </c>
      <c r="C215" s="40">
        <f>('Plant loading'!AC22)*54.5/1000</f>
        <v>11.445</v>
      </c>
      <c r="D215" s="40">
        <f>('Plant loading'!N22)*54.5/1000-C215</f>
        <v>0</v>
      </c>
      <c r="E215" s="5">
        <f>'Plant loading'!J22/2</f>
        <v>63</v>
      </c>
      <c r="F215" s="5" t="str">
        <f>'Plant loading'!C22</f>
        <v>eSure</v>
      </c>
      <c r="G215" s="40">
        <f t="shared" ref="G215:G243" si="20">E215-D215-B215</f>
        <v>17.546999999999997</v>
      </c>
    </row>
    <row r="216" spans="1:7">
      <c r="A216" s="5" t="str">
        <f>'Plant loading'!B23</f>
        <v>PEDEH</v>
      </c>
      <c r="B216" s="40">
        <f>('Plant loading'!E23)*54.5/1000</f>
        <v>50.14</v>
      </c>
      <c r="C216" s="40">
        <f>('Plant loading'!AC23)*54.5/1000</f>
        <v>10.246</v>
      </c>
      <c r="D216" s="40">
        <f>('Plant loading'!N23)*54.5/1000-C216</f>
        <v>0</v>
      </c>
      <c r="E216" s="5">
        <f>'Plant loading'!J23/2</f>
        <v>63</v>
      </c>
      <c r="F216" s="5" t="str">
        <f>'Plant loading'!C23</f>
        <v>eSure</v>
      </c>
      <c r="G216" s="40">
        <f t="shared" si="20"/>
        <v>12.86</v>
      </c>
    </row>
    <row r="217" spans="1:7">
      <c r="A217" s="5" t="str">
        <f>'Plant loading'!B24</f>
        <v>PEEEH</v>
      </c>
      <c r="B217" s="40">
        <f>('Plant loading'!E24)*54.5/1000</f>
        <v>47.96</v>
      </c>
      <c r="C217" s="40">
        <f>('Plant loading'!AC24)*54.5/1000</f>
        <v>10.845499999999999</v>
      </c>
      <c r="D217" s="40">
        <f>('Plant loading'!N24)*54.5/1000-C217</f>
        <v>0</v>
      </c>
      <c r="E217" s="5">
        <f>'Plant loading'!J24/2</f>
        <v>63</v>
      </c>
      <c r="F217" s="5" t="str">
        <f>'Plant loading'!C24</f>
        <v>eSure</v>
      </c>
      <c r="G217" s="40">
        <f t="shared" si="20"/>
        <v>15.04</v>
      </c>
    </row>
    <row r="218" spans="1:7">
      <c r="A218" s="5" t="str">
        <f>'Plant loading'!B25</f>
        <v>PEFEH</v>
      </c>
      <c r="B218" s="40">
        <f>('Plant loading'!E25)*54.5/1000</f>
        <v>45.561999999999998</v>
      </c>
      <c r="C218" s="40">
        <f>('Plant loading'!AC25)*54.5/1000</f>
        <v>10.028</v>
      </c>
      <c r="D218" s="40">
        <f>('Plant loading'!N25)*54.5/1000-C218</f>
        <v>0</v>
      </c>
      <c r="E218" s="5">
        <f>'Plant loading'!J25/2</f>
        <v>63</v>
      </c>
      <c r="F218" s="5" t="str">
        <f>'Plant loading'!C25</f>
        <v>eSure</v>
      </c>
      <c r="G218" s="40">
        <f t="shared" si="20"/>
        <v>17.438000000000002</v>
      </c>
    </row>
    <row r="219" spans="1:7">
      <c r="A219" s="5" t="str">
        <f>'Plant loading'!B26</f>
        <v>PEGEH</v>
      </c>
      <c r="B219" s="40">
        <f>('Plant loading'!E26)*54.5/1000</f>
        <v>50.685000000000002</v>
      </c>
      <c r="C219" s="40">
        <f>('Plant loading'!AC26)*54.5/1000</f>
        <v>10.5185</v>
      </c>
      <c r="D219" s="40">
        <f>('Plant loading'!N26)*54.5/1000-C219</f>
        <v>0</v>
      </c>
      <c r="E219" s="5">
        <f>'Plant loading'!J26/2</f>
        <v>63</v>
      </c>
      <c r="F219" s="5" t="str">
        <f>'Plant loading'!C26</f>
        <v>eSure</v>
      </c>
      <c r="G219" s="40">
        <f t="shared" si="20"/>
        <v>12.314999999999998</v>
      </c>
    </row>
    <row r="220" spans="1:7">
      <c r="A220" s="5" t="str">
        <f>'Plant loading'!B28</f>
        <v>PEDER</v>
      </c>
      <c r="B220" s="40">
        <f>('Plant loading'!E28)*54.5/1000</f>
        <v>23.108000000000001</v>
      </c>
      <c r="C220" s="40">
        <f>('Plant loading'!AC28)*54.5/1000</f>
        <v>0</v>
      </c>
      <c r="D220" s="40">
        <f>('Plant loading'!N28)*54.5/1000-C220</f>
        <v>0</v>
      </c>
      <c r="E220" s="5">
        <f>'Plant loading'!J28/2</f>
        <v>63</v>
      </c>
      <c r="F220" s="5" t="str">
        <f>'Plant loading'!C28</f>
        <v>eSure</v>
      </c>
      <c r="G220" s="40">
        <f t="shared" si="20"/>
        <v>39.891999999999996</v>
      </c>
    </row>
    <row r="221" spans="1:7">
      <c r="A221" s="5" t="str">
        <f>'Plant loading'!B29</f>
        <v>PEEER</v>
      </c>
      <c r="B221" s="40">
        <f>('Plant loading'!E29)*54.5/1000</f>
        <v>18.53</v>
      </c>
      <c r="C221" s="40">
        <f>('Plant loading'!AC29)*54.5/1000</f>
        <v>0</v>
      </c>
      <c r="D221" s="40">
        <f>('Plant loading'!N29)*54.5/1000-C221</f>
        <v>0</v>
      </c>
      <c r="E221" s="5">
        <f>'Plant loading'!J29/2</f>
        <v>63</v>
      </c>
      <c r="F221" s="5" t="str">
        <f>'Plant loading'!C29</f>
        <v>eSure</v>
      </c>
      <c r="G221" s="40">
        <f t="shared" si="20"/>
        <v>44.47</v>
      </c>
    </row>
    <row r="222" spans="1:7">
      <c r="A222" s="5" t="str">
        <f>'Plant loading'!B30</f>
        <v>PEFER</v>
      </c>
      <c r="B222" s="40">
        <f>('Plant loading'!E30)*54.5/1000</f>
        <v>23.816500000000001</v>
      </c>
      <c r="C222" s="40">
        <f>('Plant loading'!AC30)*54.5/1000</f>
        <v>0</v>
      </c>
      <c r="D222" s="40">
        <f>('Plant loading'!N30)*54.5/1000-C222</f>
        <v>0</v>
      </c>
      <c r="E222" s="5">
        <f>'Plant loading'!J30/2</f>
        <v>63</v>
      </c>
      <c r="F222" s="5" t="str">
        <f>'Plant loading'!C30</f>
        <v>eSure</v>
      </c>
      <c r="G222" s="40">
        <f t="shared" si="20"/>
        <v>39.183499999999995</v>
      </c>
    </row>
    <row r="223" spans="1:7">
      <c r="A223" s="5" t="str">
        <f>'Plant loading'!B31</f>
        <v>PEGER</v>
      </c>
      <c r="B223" s="40">
        <f>('Plant loading'!E31)*54.5/1000</f>
        <v>17.1675</v>
      </c>
      <c r="C223" s="40">
        <f>('Plant loading'!AC31)*54.5/1000</f>
        <v>0</v>
      </c>
      <c r="D223" s="40">
        <f>('Plant loading'!N31)*54.5/1000-C223</f>
        <v>0</v>
      </c>
      <c r="E223" s="5">
        <f>'Plant loading'!J31/2</f>
        <v>63</v>
      </c>
      <c r="F223" s="5" t="str">
        <f>'Plant loading'!C31</f>
        <v>eSure</v>
      </c>
      <c r="G223" s="40">
        <f t="shared" si="20"/>
        <v>45.832499999999996</v>
      </c>
    </row>
    <row r="224" spans="1:7">
      <c r="A224" s="5" t="str">
        <f>'Plant loading'!B47</f>
        <v>PEAKS</v>
      </c>
      <c r="B224" s="40">
        <f>('Plant loading'!E47)*54.5/1000</f>
        <v>13.189</v>
      </c>
      <c r="C224" s="40">
        <f>('Plant loading'!AC47)*54.5/1000</f>
        <v>0</v>
      </c>
      <c r="D224" s="40">
        <f>('Plant loading'!N47)*54.5/1000-C224</f>
        <v>0</v>
      </c>
      <c r="E224" s="5">
        <f>'Plant loading'!J47/2</f>
        <v>42</v>
      </c>
      <c r="F224" s="5" t="str">
        <f>'Plant loading'!C47</f>
        <v>eSure</v>
      </c>
      <c r="G224" s="40">
        <f t="shared" si="20"/>
        <v>28.811</v>
      </c>
    </row>
    <row r="225" spans="1:7">
      <c r="A225" s="5" t="str">
        <f>'Plant loading'!B48</f>
        <v>PEBKS</v>
      </c>
      <c r="B225" s="40">
        <f>('Plant loading'!E48)*54.5/1000</f>
        <v>17.984999999999999</v>
      </c>
      <c r="C225" s="40">
        <f>('Plant loading'!AC48)*54.5/1000</f>
        <v>0</v>
      </c>
      <c r="D225" s="40">
        <f>('Plant loading'!N48)*54.5/1000-C225</f>
        <v>0</v>
      </c>
      <c r="E225" s="5">
        <f>'Plant loading'!J48/2</f>
        <v>52.5</v>
      </c>
      <c r="F225" s="5" t="str">
        <f>'Plant loading'!C48</f>
        <v>eSure</v>
      </c>
      <c r="G225" s="40">
        <f t="shared" si="20"/>
        <v>34.515000000000001</v>
      </c>
    </row>
    <row r="226" spans="1:7">
      <c r="A226" s="5" t="e">
        <f>'Plant loading'!#REF!</f>
        <v>#REF!</v>
      </c>
      <c r="B226" s="40" t="e">
        <f>('Plant loading'!#REF!)*54.5/1000</f>
        <v>#REF!</v>
      </c>
      <c r="C226" s="40" t="e">
        <f>('Plant loading'!#REF!)*54.5/1000</f>
        <v>#REF!</v>
      </c>
      <c r="D226" s="40" t="e">
        <f>('Plant loading'!#REF!)*54.5/1000-C226</f>
        <v>#REF!</v>
      </c>
      <c r="E226" s="5" t="e">
        <f>'Plant loading'!#REF!/2</f>
        <v>#REF!</v>
      </c>
      <c r="F226" s="5" t="e">
        <f>'Plant loading'!#REF!</f>
        <v>#REF!</v>
      </c>
      <c r="G226" s="40" t="e">
        <f t="shared" si="20"/>
        <v>#REF!</v>
      </c>
    </row>
    <row r="227" spans="1:7">
      <c r="A227" s="5" t="e">
        <f>'Plant loading'!#REF!</f>
        <v>#REF!</v>
      </c>
      <c r="B227" s="40" t="e">
        <f>('Plant loading'!#REF!)*54.5/1000</f>
        <v>#REF!</v>
      </c>
      <c r="C227" s="40" t="e">
        <f>('Plant loading'!#REF!)*54.5/1000</f>
        <v>#REF!</v>
      </c>
      <c r="D227" s="40" t="e">
        <f>('Plant loading'!#REF!)*54.5/1000-C227</f>
        <v>#REF!</v>
      </c>
      <c r="E227" s="5" t="e">
        <f>'Plant loading'!#REF!/2</f>
        <v>#REF!</v>
      </c>
      <c r="F227" s="5" t="e">
        <f>'Plant loading'!#REF!</f>
        <v>#REF!</v>
      </c>
      <c r="G227" s="40" t="e">
        <f t="shared" si="20"/>
        <v>#REF!</v>
      </c>
    </row>
    <row r="228" spans="1:7">
      <c r="A228" s="5" t="str">
        <f>'Plant loading'!B49</f>
        <v>PEEKS</v>
      </c>
      <c r="B228" s="40">
        <f>('Plant loading'!E49)*54.5/1000</f>
        <v>5.45</v>
      </c>
      <c r="C228" s="40">
        <f>('Plant loading'!AC49)*54.5/1000</f>
        <v>0</v>
      </c>
      <c r="D228" s="40">
        <f>('Plant loading'!N49)*54.5/1000-C228</f>
        <v>0</v>
      </c>
      <c r="E228" s="5">
        <f>'Plant loading'!J49/2</f>
        <v>21</v>
      </c>
      <c r="F228" s="5" t="str">
        <f>'Plant loading'!C49</f>
        <v>eSure</v>
      </c>
      <c r="G228" s="40">
        <f t="shared" si="20"/>
        <v>15.55</v>
      </c>
    </row>
    <row r="229" spans="1:7">
      <c r="A229" s="5" t="str">
        <f>'Plant loading'!B50</f>
        <v>PEIKS</v>
      </c>
      <c r="B229" s="40">
        <f>('Plant loading'!E50)*54.5/1000</f>
        <v>27.522500000000001</v>
      </c>
      <c r="C229" s="40">
        <f>('Plant loading'!AC50)*54.5/1000</f>
        <v>0</v>
      </c>
      <c r="D229" s="40">
        <f>('Plant loading'!N50)*54.5/1000-C229</f>
        <v>0</v>
      </c>
      <c r="E229" s="5">
        <f>'Plant loading'!J50/2</f>
        <v>63</v>
      </c>
      <c r="F229" s="5" t="str">
        <f>'Plant loading'!C50</f>
        <v>eSure</v>
      </c>
      <c r="G229" s="40">
        <f t="shared" si="20"/>
        <v>35.477499999999999</v>
      </c>
    </row>
    <row r="230" spans="1:7">
      <c r="A230" s="5" t="str">
        <f>'Plant loading'!B51</f>
        <v>PEJKS</v>
      </c>
      <c r="B230" s="40">
        <f>('Plant loading'!E51)*54.5/1000</f>
        <v>13.679500000000001</v>
      </c>
      <c r="C230" s="40">
        <f>('Plant loading'!AC51)*54.5/1000</f>
        <v>0</v>
      </c>
      <c r="D230" s="40">
        <f>('Plant loading'!N51)*54.5/1000-C230</f>
        <v>0</v>
      </c>
      <c r="E230" s="5">
        <f>'Plant loading'!J51/2</f>
        <v>63</v>
      </c>
      <c r="F230" s="5" t="str">
        <f>'Plant loading'!C51</f>
        <v>eSure</v>
      </c>
      <c r="G230" s="40">
        <f t="shared" si="20"/>
        <v>49.320499999999996</v>
      </c>
    </row>
    <row r="231" spans="1:7">
      <c r="A231" s="5" t="str">
        <f>'Plant loading'!B52</f>
        <v>PEKKS</v>
      </c>
      <c r="B231" s="40">
        <f>('Plant loading'!E52)*54.5/1000</f>
        <v>23.380500000000001</v>
      </c>
      <c r="C231" s="40">
        <f>('Plant loading'!AC52)*54.5/1000</f>
        <v>0</v>
      </c>
      <c r="D231" s="40">
        <f>('Plant loading'!N52)*54.5/1000-C231</f>
        <v>0</v>
      </c>
      <c r="E231" s="5">
        <f>'Plant loading'!J52/2</f>
        <v>52.5</v>
      </c>
      <c r="F231" s="5" t="str">
        <f>'Plant loading'!C52</f>
        <v>eSure</v>
      </c>
      <c r="G231" s="40">
        <f t="shared" si="20"/>
        <v>29.119499999999999</v>
      </c>
    </row>
    <row r="232" spans="1:7">
      <c r="A232" s="5" t="str">
        <f>'Plant loading'!B53</f>
        <v>PELKS</v>
      </c>
      <c r="B232" s="40">
        <f>('Plant loading'!E53)*54.5/1000</f>
        <v>8.3930000000000007</v>
      </c>
      <c r="C232" s="40">
        <f>('Plant loading'!AC53)*54.5/1000</f>
        <v>0</v>
      </c>
      <c r="D232" s="40">
        <f>('Plant loading'!N53)*54.5/1000-C232</f>
        <v>0</v>
      </c>
      <c r="E232" s="5">
        <f>'Plant loading'!J53/2</f>
        <v>42</v>
      </c>
      <c r="F232" s="5" t="str">
        <f>'Plant loading'!C53</f>
        <v>eSure</v>
      </c>
      <c r="G232" s="40">
        <f t="shared" si="20"/>
        <v>33.606999999999999</v>
      </c>
    </row>
    <row r="233" spans="1:7">
      <c r="A233" s="5" t="str">
        <f>'Plant loading'!B54</f>
        <v>PEMKS</v>
      </c>
      <c r="B233" s="40">
        <f>('Plant loading'!E54)*54.5/1000</f>
        <v>7.5754999999999999</v>
      </c>
      <c r="C233" s="40">
        <f>('Plant loading'!AC54)*54.5/1000</f>
        <v>0</v>
      </c>
      <c r="D233" s="40">
        <f>('Plant loading'!N54)*54.5/1000-C233</f>
        <v>0</v>
      </c>
      <c r="E233" s="5">
        <f>'Plant loading'!J54/2</f>
        <v>42</v>
      </c>
      <c r="F233" s="5" t="str">
        <f>'Plant loading'!C54</f>
        <v>eSure</v>
      </c>
      <c r="G233" s="40">
        <f t="shared" si="20"/>
        <v>34.424500000000002</v>
      </c>
    </row>
    <row r="234" spans="1:7">
      <c r="A234" s="5" t="str">
        <f>'Plant loading'!B55</f>
        <v>PENKS</v>
      </c>
      <c r="B234" s="40">
        <f>('Plant loading'!E55)*54.5/1000</f>
        <v>5.6135000000000002</v>
      </c>
      <c r="C234" s="40">
        <f>('Plant loading'!AC55)*54.5/1000</f>
        <v>0</v>
      </c>
      <c r="D234" s="40">
        <f>('Plant loading'!N55)*54.5/1000-C234</f>
        <v>0</v>
      </c>
      <c r="E234" s="5">
        <f>'Plant loading'!J55/2</f>
        <v>21</v>
      </c>
      <c r="F234" s="5" t="str">
        <f>'Plant loading'!C55</f>
        <v>eSure</v>
      </c>
      <c r="G234" s="40">
        <f t="shared" si="20"/>
        <v>15.3865</v>
      </c>
    </row>
    <row r="235" spans="1:7">
      <c r="A235" s="5" t="str">
        <f>'Plant loading'!B85</f>
        <v>PEASN</v>
      </c>
      <c r="B235" s="40">
        <f>('Plant loading'!E85)*54.5/1000</f>
        <v>19.838000000000001</v>
      </c>
      <c r="C235" s="40">
        <f>('Plant loading'!AC85)*54.5/1000</f>
        <v>0</v>
      </c>
      <c r="D235" s="40">
        <f>('Plant loading'!N85)*54.5/1000-C235</f>
        <v>0</v>
      </c>
      <c r="E235" s="5">
        <f>'Plant loading'!J85/2</f>
        <v>63</v>
      </c>
      <c r="F235" s="5" t="str">
        <f>'Plant loading'!C85</f>
        <v>eSure</v>
      </c>
      <c r="G235" s="40">
        <f t="shared" si="20"/>
        <v>43.161999999999999</v>
      </c>
    </row>
    <row r="236" spans="1:7">
      <c r="A236" s="5" t="str">
        <f>'Plant loading'!B86</f>
        <v>PEBSN</v>
      </c>
      <c r="B236" s="40">
        <f>('Plant loading'!E86)*54.5/1000</f>
        <v>28.34</v>
      </c>
      <c r="C236" s="40">
        <f>('Plant loading'!AC86)*54.5/1000</f>
        <v>0</v>
      </c>
      <c r="D236" s="40">
        <f>('Plant loading'!N86)*54.5/1000-C236</f>
        <v>0</v>
      </c>
      <c r="E236" s="5">
        <f>'Plant loading'!J86/2</f>
        <v>63</v>
      </c>
      <c r="F236" s="5" t="str">
        <f>'Plant loading'!C86</f>
        <v>eSure</v>
      </c>
      <c r="G236" s="40">
        <f t="shared" si="20"/>
        <v>34.659999999999997</v>
      </c>
    </row>
    <row r="237" spans="1:7">
      <c r="A237" s="5" t="str">
        <f>'Plant loading'!B87</f>
        <v>PECSN</v>
      </c>
      <c r="B237" s="40">
        <f>('Plant loading'!E87)*54.5/1000</f>
        <v>25.724</v>
      </c>
      <c r="C237" s="40">
        <f>('Plant loading'!AC87)*54.5/1000</f>
        <v>0</v>
      </c>
      <c r="D237" s="40">
        <f>('Plant loading'!N87)*54.5/1000-C237</f>
        <v>0</v>
      </c>
      <c r="E237" s="5">
        <f>'Plant loading'!J87/2</f>
        <v>63</v>
      </c>
      <c r="F237" s="5" t="str">
        <f>'Plant loading'!C87</f>
        <v>eSure</v>
      </c>
      <c r="G237" s="40">
        <f t="shared" si="20"/>
        <v>37.275999999999996</v>
      </c>
    </row>
    <row r="238" spans="1:7">
      <c r="A238" s="5" t="str">
        <f>'Plant loading'!B88</f>
        <v>PEESN</v>
      </c>
      <c r="B238" s="40">
        <f>('Plant loading'!E88)*54.5/1000</f>
        <v>18.966000000000001</v>
      </c>
      <c r="C238" s="40">
        <f>('Plant loading'!AC88)*54.5/1000</f>
        <v>0</v>
      </c>
      <c r="D238" s="40">
        <f>('Plant loading'!N88)*54.5/1000-C238</f>
        <v>0</v>
      </c>
      <c r="E238" s="5">
        <f>'Plant loading'!J88/2</f>
        <v>63</v>
      </c>
      <c r="F238" s="5" t="str">
        <f>'Plant loading'!C88</f>
        <v>eSure</v>
      </c>
      <c r="G238" s="40">
        <f t="shared" si="20"/>
        <v>44.033999999999999</v>
      </c>
    </row>
    <row r="239" spans="1:7">
      <c r="A239" s="5" t="str">
        <f>'Plant loading'!B89</f>
        <v>PEASY</v>
      </c>
      <c r="B239" s="40">
        <f>('Plant loading'!E89)*54.5/1000</f>
        <v>29.757000000000001</v>
      </c>
      <c r="C239" s="40">
        <f>('Plant loading'!AC89)*54.5/1000</f>
        <v>0</v>
      </c>
      <c r="D239" s="40">
        <f>('Plant loading'!N89)*54.5/1000-C239</f>
        <v>0</v>
      </c>
      <c r="E239" s="5">
        <f>'Plant loading'!J89/2</f>
        <v>63</v>
      </c>
      <c r="F239" s="5" t="str">
        <f>'Plant loading'!C89</f>
        <v>eSure</v>
      </c>
      <c r="G239" s="40">
        <f t="shared" si="20"/>
        <v>33.242999999999995</v>
      </c>
    </row>
    <row r="240" spans="1:7">
      <c r="A240" s="5" t="str">
        <f>'Plant loading'!B90</f>
        <v>PEBSY</v>
      </c>
      <c r="B240" s="40">
        <f>('Plant loading'!E90)*54.5/1000</f>
        <v>25.342500000000001</v>
      </c>
      <c r="C240" s="40">
        <f>('Plant loading'!AC90)*54.5/1000</f>
        <v>0</v>
      </c>
      <c r="D240" s="40">
        <f>('Plant loading'!N90)*54.5/1000-C240</f>
        <v>0</v>
      </c>
      <c r="E240" s="5">
        <f>'Plant loading'!J90/2</f>
        <v>63</v>
      </c>
      <c r="F240" s="5" t="str">
        <f>'Plant loading'!C90</f>
        <v>eSure</v>
      </c>
      <c r="G240" s="40">
        <f t="shared" si="20"/>
        <v>37.657499999999999</v>
      </c>
    </row>
    <row r="241" spans="1:7">
      <c r="A241" s="5" t="str">
        <f>'Plant loading'!B91</f>
        <v>PECSY</v>
      </c>
      <c r="B241" s="40">
        <f>('Plant loading'!E91)*54.5/1000</f>
        <v>21.690999999999999</v>
      </c>
      <c r="C241" s="40">
        <f>('Plant loading'!AC91)*54.5/1000</f>
        <v>0</v>
      </c>
      <c r="D241" s="40">
        <f>('Plant loading'!N91)*54.5/1000-C241</f>
        <v>0</v>
      </c>
      <c r="E241" s="5">
        <f>'Plant loading'!J91/2</f>
        <v>63</v>
      </c>
      <c r="F241" s="5" t="str">
        <f>'Plant loading'!C91</f>
        <v>eSure</v>
      </c>
      <c r="G241" s="40">
        <f t="shared" si="20"/>
        <v>41.308999999999997</v>
      </c>
    </row>
    <row r="242" spans="1:7">
      <c r="A242" s="5" t="str">
        <f>'Plant loading'!B92</f>
        <v>PEDSY</v>
      </c>
      <c r="B242" s="40">
        <f>('Plant loading'!E92)*54.5/1000</f>
        <v>15.532500000000001</v>
      </c>
      <c r="C242" s="40">
        <f>('Plant loading'!AC92)*54.5/1000</f>
        <v>0</v>
      </c>
      <c r="D242" s="40">
        <f>('Plant loading'!N92)*54.5/1000-C242</f>
        <v>0</v>
      </c>
      <c r="E242" s="5">
        <f>'Plant loading'!J92/2</f>
        <v>63</v>
      </c>
      <c r="F242" s="5" t="str">
        <f>'Plant loading'!C92</f>
        <v>eSure</v>
      </c>
      <c r="G242" s="40">
        <f t="shared" si="20"/>
        <v>47.467500000000001</v>
      </c>
    </row>
    <row r="243" spans="1:7">
      <c r="A243" s="5" t="str">
        <f>'Plant loading'!B93</f>
        <v>PEESY</v>
      </c>
      <c r="B243" s="40">
        <f>('Plant loading'!E93)*54.5/1000</f>
        <v>17.494499999999999</v>
      </c>
      <c r="C243" s="40">
        <f>('Plant loading'!AC93)*54.5/1000</f>
        <v>0</v>
      </c>
      <c r="D243" s="40">
        <f>('Plant loading'!N93)*54.5/1000-C243</f>
        <v>0</v>
      </c>
      <c r="E243" s="5">
        <f>'Plant loading'!J93/2</f>
        <v>52.5</v>
      </c>
      <c r="F243" s="5" t="str">
        <f>'Plant loading'!C93</f>
        <v>eSure</v>
      </c>
      <c r="G243" s="40">
        <f t="shared" si="20"/>
        <v>35.005499999999998</v>
      </c>
    </row>
    <row r="244" spans="1:7">
      <c r="A244" s="5"/>
      <c r="B244" s="9" t="s">
        <v>731</v>
      </c>
      <c r="C244" s="9" t="s">
        <v>701</v>
      </c>
      <c r="D244" s="9" t="s">
        <v>732</v>
      </c>
      <c r="E244" s="9" t="s">
        <v>700</v>
      </c>
    </row>
    <row r="245" spans="1:7">
      <c r="A245" s="5" t="s">
        <v>733</v>
      </c>
      <c r="B245" s="10">
        <f>SUM('Inverter Loading'!O34:O35)/3</f>
        <v>16.713333333333335</v>
      </c>
      <c r="C245" s="10">
        <f>746*54.5/1000</f>
        <v>40.656999999999996</v>
      </c>
      <c r="D245" s="10">
        <f>186*54.5/1000</f>
        <v>10.137</v>
      </c>
      <c r="E245" s="10">
        <f>123*54.5/1000</f>
        <v>6.7035</v>
      </c>
    </row>
    <row r="246" spans="1:7">
      <c r="A246" s="5" t="s">
        <v>734</v>
      </c>
      <c r="B246" s="10">
        <f>SUM('Inverter Loading'!O34:O35)/3</f>
        <v>16.713333333333335</v>
      </c>
      <c r="C246" s="10">
        <f>640*54.5/1000</f>
        <v>34.880000000000003</v>
      </c>
      <c r="D246" s="10">
        <f>146*54.5/1000</f>
        <v>7.9569999999999999</v>
      </c>
      <c r="E246" s="10">
        <f>269*54.5/1000</f>
        <v>14.660500000000001</v>
      </c>
    </row>
    <row r="247" spans="1:7">
      <c r="A247" s="5" t="s">
        <v>735</v>
      </c>
      <c r="B247" s="10">
        <f>SUM('Inverter Loading'!O34:O35)/3</f>
        <v>16.713333333333335</v>
      </c>
      <c r="C247" s="10">
        <f>791*54.5/1000</f>
        <v>43.109499999999997</v>
      </c>
      <c r="D247" s="10">
        <f>90*54.5/1000</f>
        <v>4.9050000000000002</v>
      </c>
      <c r="E247" s="10">
        <f>174*54.5/1000</f>
        <v>9.4830000000000005</v>
      </c>
    </row>
    <row r="248" spans="1:7">
      <c r="A248" s="5" t="s">
        <v>736</v>
      </c>
      <c r="B248" s="10">
        <f>SUM('Inverter Loading'!O34:O35)/3</f>
        <v>16.713333333333335</v>
      </c>
      <c r="C248" s="10">
        <f>617*54.5/1000</f>
        <v>33.6265</v>
      </c>
      <c r="D248" s="10">
        <v>0</v>
      </c>
      <c r="E248" s="10">
        <f>438*54.5/1000</f>
        <v>23.870999999999999</v>
      </c>
    </row>
    <row r="249" spans="1:7">
      <c r="A249" s="5" t="s">
        <v>737</v>
      </c>
      <c r="B249" s="10">
        <f>SUM('Inverter Loading'!O34:O35)/3</f>
        <v>16.713333333333335</v>
      </c>
      <c r="C249" s="10">
        <f>690*54.5/1000</f>
        <v>37.604999999999997</v>
      </c>
      <c r="D249" s="10">
        <v>0</v>
      </c>
      <c r="E249" s="10">
        <f>365*54.5/1000</f>
        <v>19.892499999999998</v>
      </c>
    </row>
    <row r="250" spans="1:7">
      <c r="A250" s="5" t="s">
        <v>738</v>
      </c>
      <c r="B250" s="10">
        <f>SUM('Inverter Loading'!O34:O35)/3</f>
        <v>16.713333333333335</v>
      </c>
      <c r="C250" s="10">
        <f>634*54.5/1000</f>
        <v>34.552999999999997</v>
      </c>
      <c r="D250" s="10">
        <v>0</v>
      </c>
      <c r="E250" s="10">
        <f>421*54.5/1000</f>
        <v>22.944500000000001</v>
      </c>
    </row>
  </sheetData>
  <phoneticPr fontId="0" type="noConversion"/>
  <pageMargins left="0.75" right="0.75" top="1" bottom="1" header="0.5" footer="0.5"/>
  <pageSetup paperSize="9" orientation="portrait" r:id="rId1"/>
  <headerFooter alignWithMargins="0">
    <oddFooter>&amp;L&amp;1#&amp;"Calibri"&amp;7&amp;K000000C2 General</oddFooter>
  </headerFooter>
  <ignoredErrors>
    <ignoredError sqref="C24 A24 D24:E24"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P114"/>
  <sheetViews>
    <sheetView zoomScale="90" zoomScaleNormal="90" workbookViewId="0">
      <selection activeCell="D4" sqref="D4"/>
    </sheetView>
  </sheetViews>
  <sheetFormatPr defaultColWidth="8.6640625" defaultRowHeight="10.15"/>
  <cols>
    <col min="1" max="1" width="32.1640625" bestFit="1" customWidth="1"/>
    <col min="2" max="2" width="21.1640625" bestFit="1" customWidth="1"/>
    <col min="3" max="4" width="22.1640625" bestFit="1" customWidth="1"/>
    <col min="5" max="5" width="23.6640625" customWidth="1"/>
    <col min="6" max="6" width="4.1640625" bestFit="1" customWidth="1"/>
    <col min="7" max="7" width="24.6640625" bestFit="1" customWidth="1"/>
    <col min="8" max="8" width="24.1640625" bestFit="1" customWidth="1"/>
    <col min="9" max="9" width="16" bestFit="1" customWidth="1"/>
    <col min="10" max="11" width="15.1640625" bestFit="1" customWidth="1"/>
    <col min="12" max="12" width="10.5" bestFit="1" customWidth="1"/>
    <col min="13" max="13" width="11.1640625" customWidth="1"/>
    <col min="14" max="14" width="9.5" customWidth="1"/>
    <col min="15" max="15" width="6.1640625" bestFit="1" customWidth="1"/>
    <col min="16" max="16" width="12.5" customWidth="1"/>
  </cols>
  <sheetData>
    <row r="1" spans="1:8" ht="13.15">
      <c r="A1" s="2" t="s">
        <v>739</v>
      </c>
    </row>
    <row r="2" spans="1:8" ht="26.45">
      <c r="A2" s="2" t="s">
        <v>512</v>
      </c>
      <c r="B2" s="2"/>
      <c r="C2" s="3" t="s">
        <v>740</v>
      </c>
      <c r="D2" s="796" t="s">
        <v>541</v>
      </c>
      <c r="E2" s="3" t="s">
        <v>542</v>
      </c>
    </row>
    <row r="3" spans="1:8">
      <c r="A3" s="1424" t="str">
        <f>'Cab Floorspace'!A33</f>
        <v>XAN</v>
      </c>
      <c r="B3" s="799" t="s">
        <v>741</v>
      </c>
      <c r="C3" s="5">
        <f>'Cab Floorspace'!B33</f>
        <v>847</v>
      </c>
      <c r="D3" s="5">
        <f>'Cab Floorspace'!D33</f>
        <v>2</v>
      </c>
      <c r="E3" s="5">
        <f>'Cab Floorspace'!E33</f>
        <v>94</v>
      </c>
    </row>
    <row r="4" spans="1:8">
      <c r="A4" s="1424"/>
      <c r="B4" s="799" t="s">
        <v>742</v>
      </c>
      <c r="C4" s="5">
        <f>'Cab Floorspace'!F33</f>
        <v>136</v>
      </c>
      <c r="D4" s="5">
        <f>'Cab Floorspace'!H33</f>
        <v>0</v>
      </c>
      <c r="E4" s="5">
        <f>'Cab Floorspace'!I33</f>
        <v>190</v>
      </c>
    </row>
    <row r="5" spans="1:8">
      <c r="A5" s="1424" t="str">
        <f>'Cab Floorspace'!A22</f>
        <v>XBE</v>
      </c>
      <c r="B5" s="799" t="s">
        <v>741</v>
      </c>
      <c r="C5" s="5">
        <f>'Cab Floorspace'!B22</f>
        <v>1353</v>
      </c>
      <c r="D5" s="5">
        <f>'Cab Floorspace'!D22</f>
        <v>0</v>
      </c>
      <c r="E5" s="5">
        <f>'Cab Floorspace'!E22</f>
        <v>261</v>
      </c>
    </row>
    <row r="6" spans="1:8">
      <c r="A6" s="1424"/>
      <c r="B6" s="799" t="s">
        <v>742</v>
      </c>
      <c r="C6" s="5">
        <f>'Cab Floorspace'!F22</f>
        <v>259</v>
      </c>
      <c r="D6" s="5">
        <f>'Cab Floorspace'!H22</f>
        <v>8</v>
      </c>
      <c r="E6" s="5">
        <f>'Cab Floorspace'!I22</f>
        <v>318</v>
      </c>
    </row>
    <row r="7" spans="1:8">
      <c r="A7" s="1424" t="str">
        <f>'Cab Floorspace'!A34</f>
        <v>XCY</v>
      </c>
      <c r="B7" s="799" t="s">
        <v>741</v>
      </c>
      <c r="C7" s="5">
        <f>'Cab Floorspace'!B34</f>
        <v>990</v>
      </c>
      <c r="D7" s="5">
        <f>'Cab Floorspace'!D34</f>
        <v>0</v>
      </c>
      <c r="E7" s="5">
        <f>'Cab Floorspace'!E34</f>
        <v>83</v>
      </c>
    </row>
    <row r="8" spans="1:8" ht="13.15">
      <c r="A8" s="1424"/>
      <c r="B8" s="799" t="s">
        <v>742</v>
      </c>
      <c r="C8" s="5">
        <f>'Cab Floorspace'!F34</f>
        <v>167</v>
      </c>
      <c r="D8" s="5">
        <f>'Cab Floorspace'!H34</f>
        <v>0</v>
      </c>
      <c r="E8" s="5">
        <f>'Cab Floorspace'!I34</f>
        <v>444</v>
      </c>
      <c r="G8" s="23" t="s">
        <v>502</v>
      </c>
      <c r="H8" s="24" t="s">
        <v>533</v>
      </c>
    </row>
    <row r="9" spans="1:8">
      <c r="A9" s="1424" t="str">
        <f>'Cab Floorspace'!A27</f>
        <v>XGR</v>
      </c>
      <c r="B9" s="799" t="s">
        <v>741</v>
      </c>
      <c r="C9" s="5">
        <f>'Cab Floorspace'!B27</f>
        <v>930</v>
      </c>
      <c r="D9" s="5">
        <f>'Cab Floorspace'!D27</f>
        <v>10</v>
      </c>
      <c r="E9" s="5">
        <f>'Cab Floorspace'!E27</f>
        <v>104</v>
      </c>
      <c r="G9">
        <v>26</v>
      </c>
      <c r="H9" s="345">
        <f>INT(G9*600)/800</f>
        <v>19.5</v>
      </c>
    </row>
    <row r="10" spans="1:8">
      <c r="A10" s="1424"/>
      <c r="B10" s="799" t="s">
        <v>742</v>
      </c>
      <c r="C10" s="5">
        <f>'Cab Floorspace'!F27</f>
        <v>210</v>
      </c>
      <c r="D10" s="5">
        <f>'Cab Floorspace'!H27</f>
        <v>2</v>
      </c>
      <c r="E10" s="5">
        <f>'Cab Floorspace'!I27</f>
        <v>303</v>
      </c>
      <c r="G10">
        <v>11</v>
      </c>
      <c r="H10" s="345">
        <f>INT(G10*600)/800</f>
        <v>8.25</v>
      </c>
    </row>
    <row r="11" spans="1:8">
      <c r="A11" s="1424" t="str">
        <f>'Cab Floorspace'!A26</f>
        <v>XGL</v>
      </c>
      <c r="B11" s="799" t="s">
        <v>741</v>
      </c>
      <c r="C11" s="5">
        <f>'Cab Floorspace'!B26</f>
        <v>878</v>
      </c>
      <c r="D11" s="5">
        <f>'Cab Floorspace'!D26</f>
        <v>0</v>
      </c>
      <c r="E11" s="5">
        <f>'Cab Floorspace'!E26</f>
        <v>155</v>
      </c>
      <c r="H11" s="345"/>
    </row>
    <row r="12" spans="1:8">
      <c r="A12" s="1424"/>
      <c r="B12" s="799" t="s">
        <v>742</v>
      </c>
      <c r="C12" s="5">
        <f>'Cab Floorspace'!F26</f>
        <v>265</v>
      </c>
      <c r="D12" s="5">
        <f>'Cab Floorspace'!H26</f>
        <v>0</v>
      </c>
      <c r="E12" s="5">
        <f>'Cab Floorspace'!I26</f>
        <v>133</v>
      </c>
      <c r="H12" s="345"/>
    </row>
    <row r="13" spans="1:8">
      <c r="A13" s="1424" t="str">
        <f>'Cab Floorspace'!A24</f>
        <v>XLD</v>
      </c>
      <c r="B13" s="799" t="s">
        <v>741</v>
      </c>
      <c r="C13" s="5">
        <f>'Cab Floorspace'!B24</f>
        <v>922</v>
      </c>
      <c r="D13" s="5">
        <f>'Cab Floorspace'!D24</f>
        <v>0</v>
      </c>
      <c r="E13" s="5">
        <f>'Cab Floorspace'!E24</f>
        <v>111</v>
      </c>
      <c r="H13" s="345"/>
    </row>
    <row r="14" spans="1:8">
      <c r="A14" s="1424"/>
      <c r="B14" s="799" t="s">
        <v>742</v>
      </c>
      <c r="C14" s="5">
        <f>'Cab Floorspace'!F24</f>
        <v>282</v>
      </c>
      <c r="D14" s="5">
        <f>'Cab Floorspace'!H24</f>
        <v>0</v>
      </c>
      <c r="E14" s="5">
        <f>'Cab Floorspace'!I24</f>
        <v>168</v>
      </c>
      <c r="H14" s="345"/>
    </row>
    <row r="15" spans="1:8">
      <c r="A15" s="1424" t="str">
        <f>'Cab Floorspace'!A23</f>
        <v>XMS</v>
      </c>
      <c r="B15" s="799" t="s">
        <v>741</v>
      </c>
      <c r="C15" s="5">
        <f>'Cab Floorspace'!B23</f>
        <v>837</v>
      </c>
      <c r="D15" s="5">
        <f>'Cab Floorspace'!D23</f>
        <v>6</v>
      </c>
      <c r="E15" s="5">
        <f>'Cab Floorspace'!E23</f>
        <v>200</v>
      </c>
      <c r="H15" s="345"/>
    </row>
    <row r="16" spans="1:8">
      <c r="A16" s="1424"/>
      <c r="B16" s="799" t="s">
        <v>742</v>
      </c>
      <c r="C16" s="5">
        <f>'Cab Floorspace'!F23</f>
        <v>198</v>
      </c>
      <c r="D16" s="5">
        <f>'Cab Floorspace'!H23</f>
        <v>6</v>
      </c>
      <c r="E16" s="5">
        <f>'Cab Floorspace'!I23</f>
        <v>182</v>
      </c>
      <c r="H16" s="345"/>
    </row>
    <row r="17" spans="1:16">
      <c r="A17" s="1424" t="str">
        <f>'Cab Floorspace'!A28</f>
        <v>XOM</v>
      </c>
      <c r="B17" s="799" t="s">
        <v>741</v>
      </c>
      <c r="C17" s="5">
        <f>'Cab Floorspace'!B28</f>
        <v>1298</v>
      </c>
      <c r="D17" s="5">
        <f>'Cab Floorspace'!D28</f>
        <v>0</v>
      </c>
      <c r="E17" s="5">
        <f>'Cab Floorspace'!E28</f>
        <v>106</v>
      </c>
      <c r="H17" s="345"/>
    </row>
    <row r="18" spans="1:16">
      <c r="A18" s="1424"/>
      <c r="B18" s="799" t="s">
        <v>742</v>
      </c>
      <c r="C18" s="5">
        <f>'Cab Floorspace'!F28</f>
        <v>179</v>
      </c>
      <c r="D18" s="5">
        <f>'Cab Floorspace'!H28</f>
        <v>0</v>
      </c>
      <c r="E18" s="5">
        <f>'Cab Floorspace'!I28</f>
        <v>357</v>
      </c>
      <c r="H18" s="345"/>
    </row>
    <row r="19" spans="1:16">
      <c r="A19" s="1424" t="str">
        <f>'Cab Floorspace'!A40</f>
        <v>XRM</v>
      </c>
      <c r="B19" s="799" t="s">
        <v>741</v>
      </c>
      <c r="C19" s="5">
        <f>'Cab Floorspace'!B40</f>
        <v>1015</v>
      </c>
      <c r="D19" s="5">
        <f>'Cab Floorspace'!D40</f>
        <v>2</v>
      </c>
      <c r="E19" s="5">
        <f>'Cab Floorspace'!E40</f>
        <v>61</v>
      </c>
      <c r="H19" s="345"/>
    </row>
    <row r="20" spans="1:16" ht="13.15">
      <c r="A20" s="1424"/>
      <c r="B20" s="799" t="s">
        <v>742</v>
      </c>
      <c r="C20" s="5">
        <f>'Cab Floorspace'!F40</f>
        <v>216</v>
      </c>
      <c r="D20" s="5">
        <f>'Cab Floorspace'!H40</f>
        <v>2</v>
      </c>
      <c r="E20" s="5">
        <f>'Cab Floorspace'!I40</f>
        <v>377</v>
      </c>
      <c r="G20" s="2" t="s">
        <v>743</v>
      </c>
    </row>
    <row r="21" spans="1:16" ht="39.6">
      <c r="A21" s="800"/>
      <c r="B21" s="799"/>
      <c r="C21" s="5"/>
      <c r="D21" s="5"/>
      <c r="E21" s="5"/>
      <c r="G21" s="50" t="s">
        <v>512</v>
      </c>
      <c r="H21" s="51" t="s">
        <v>744</v>
      </c>
      <c r="I21" s="54" t="s">
        <v>745</v>
      </c>
      <c r="J21" s="54" t="s">
        <v>541</v>
      </c>
      <c r="K21" s="54" t="s">
        <v>746</v>
      </c>
      <c r="L21" s="48" t="s">
        <v>747</v>
      </c>
      <c r="M21" s="161" t="s">
        <v>748</v>
      </c>
      <c r="N21" s="161" t="s">
        <v>523</v>
      </c>
      <c r="O21" s="54" t="s">
        <v>521</v>
      </c>
      <c r="P21" s="54" t="s">
        <v>526</v>
      </c>
    </row>
    <row r="22" spans="1:16" ht="13.15">
      <c r="A22" s="67" t="s">
        <v>749</v>
      </c>
      <c r="B22" s="799"/>
      <c r="C22" s="5"/>
      <c r="D22" s="5"/>
      <c r="E22" s="5"/>
      <c r="G22" s="472" t="s">
        <v>280</v>
      </c>
      <c r="H22" s="427">
        <v>48</v>
      </c>
      <c r="I22" s="427">
        <v>1</v>
      </c>
      <c r="J22" s="427">
        <v>2</v>
      </c>
      <c r="K22" s="427">
        <f>60-(H22+I22+J22)</f>
        <v>9</v>
      </c>
      <c r="L22" s="42">
        <f t="shared" ref="L22:L27" si="0">(H22+I22+J22+K22)*1.6</f>
        <v>96</v>
      </c>
      <c r="M22" s="42">
        <f t="shared" ref="M22:N27" si="1">I22*1.6</f>
        <v>1.6</v>
      </c>
      <c r="N22" s="42">
        <f t="shared" si="1"/>
        <v>3.2</v>
      </c>
      <c r="O22" s="42">
        <f t="shared" ref="O22:O27" si="2">H22*1.6</f>
        <v>76.800000000000011</v>
      </c>
      <c r="P22" s="42">
        <f t="shared" ref="P22:P27" si="3">L22-M22-N22-O22</f>
        <v>14.399999999999991</v>
      </c>
    </row>
    <row r="23" spans="1:16" ht="26.45">
      <c r="A23" s="2" t="s">
        <v>512</v>
      </c>
      <c r="B23" s="2"/>
      <c r="C23" s="3" t="s">
        <v>740</v>
      </c>
      <c r="D23" s="796" t="s">
        <v>541</v>
      </c>
      <c r="E23" s="3" t="s">
        <v>542</v>
      </c>
      <c r="G23" s="472" t="s">
        <v>320</v>
      </c>
      <c r="H23" s="427">
        <v>58</v>
      </c>
      <c r="I23" s="427">
        <v>0</v>
      </c>
      <c r="J23" s="427">
        <v>1</v>
      </c>
      <c r="K23" s="427">
        <f>59-(H23+I23+J23)</f>
        <v>0</v>
      </c>
      <c r="L23" s="42">
        <f t="shared" si="0"/>
        <v>94.4</v>
      </c>
      <c r="M23" s="42">
        <f t="shared" ref="M23:N25" si="4">I23*1.6</f>
        <v>0</v>
      </c>
      <c r="N23" s="42">
        <f t="shared" si="4"/>
        <v>1.6</v>
      </c>
      <c r="O23" s="42">
        <f t="shared" si="2"/>
        <v>92.800000000000011</v>
      </c>
      <c r="P23" s="42">
        <f t="shared" si="3"/>
        <v>0</v>
      </c>
    </row>
    <row r="24" spans="1:16">
      <c r="A24" s="1424" t="str">
        <f>'Cab Floorspace'!A25</f>
        <v>XEH</v>
      </c>
      <c r="B24" s="799" t="s">
        <v>741</v>
      </c>
      <c r="C24" s="5">
        <f>'Cab Floorspace'!B25</f>
        <v>724</v>
      </c>
      <c r="D24" s="5">
        <f>'Cab Floorspace'!D25</f>
        <v>4</v>
      </c>
      <c r="E24" s="5">
        <f>'Cab Floorspace'!E25</f>
        <v>103</v>
      </c>
      <c r="G24" s="472" t="s">
        <v>315</v>
      </c>
      <c r="H24" s="427">
        <v>51</v>
      </c>
      <c r="I24" s="427">
        <v>0</v>
      </c>
      <c r="J24" s="427">
        <v>0</v>
      </c>
      <c r="K24" s="427">
        <f>51-(H24+I24+J24)</f>
        <v>0</v>
      </c>
      <c r="L24" s="42">
        <f t="shared" si="0"/>
        <v>81.600000000000009</v>
      </c>
      <c r="M24" s="42">
        <f t="shared" si="4"/>
        <v>0</v>
      </c>
      <c r="N24" s="42">
        <f t="shared" si="4"/>
        <v>0</v>
      </c>
      <c r="O24" s="42">
        <f t="shared" si="2"/>
        <v>81.600000000000009</v>
      </c>
      <c r="P24" s="42">
        <f t="shared" si="3"/>
        <v>0</v>
      </c>
    </row>
    <row r="25" spans="1:16">
      <c r="A25" s="1424"/>
      <c r="B25" s="799" t="s">
        <v>742</v>
      </c>
      <c r="C25" s="5">
        <f>'Cab Floorspace'!F25</f>
        <v>227</v>
      </c>
      <c r="D25" s="5">
        <f>'Cab Floorspace'!H25</f>
        <v>0</v>
      </c>
      <c r="E25" s="5">
        <f>'Cab Floorspace'!I25</f>
        <v>109</v>
      </c>
      <c r="G25" s="472" t="s">
        <v>290</v>
      </c>
      <c r="H25" s="427">
        <v>56</v>
      </c>
      <c r="I25" s="427">
        <v>0</v>
      </c>
      <c r="J25" s="427">
        <v>3</v>
      </c>
      <c r="K25" s="427">
        <f>62-(H25+I25+J25)</f>
        <v>3</v>
      </c>
      <c r="L25" s="42">
        <f t="shared" si="0"/>
        <v>99.2</v>
      </c>
      <c r="M25" s="42">
        <f t="shared" si="4"/>
        <v>0</v>
      </c>
      <c r="N25" s="42">
        <f t="shared" si="4"/>
        <v>4.8000000000000007</v>
      </c>
      <c r="O25" s="42">
        <f t="shared" si="2"/>
        <v>89.600000000000009</v>
      </c>
      <c r="P25" s="42">
        <f t="shared" si="3"/>
        <v>4.7999999999999972</v>
      </c>
    </row>
    <row r="26" spans="1:16">
      <c r="A26" s="1424" t="str">
        <f>'Cab Floorspace'!A35</f>
        <v>XER</v>
      </c>
      <c r="B26" s="799" t="s">
        <v>741</v>
      </c>
      <c r="C26" s="5">
        <f>'Cab Floorspace'!B35</f>
        <v>669</v>
      </c>
      <c r="D26" s="5">
        <f>'Cab Floorspace'!D35</f>
        <v>0</v>
      </c>
      <c r="E26" s="5">
        <f>'Cab Floorspace'!E35</f>
        <v>32</v>
      </c>
      <c r="G26" s="472" t="s">
        <v>297</v>
      </c>
      <c r="H26" s="427">
        <v>20</v>
      </c>
      <c r="I26" s="427">
        <v>0</v>
      </c>
      <c r="J26" s="427">
        <v>6</v>
      </c>
      <c r="K26" s="427">
        <f>39-(H26+I26+J26)</f>
        <v>13</v>
      </c>
      <c r="L26" s="42">
        <f t="shared" si="0"/>
        <v>62.400000000000006</v>
      </c>
      <c r="M26" s="42">
        <f t="shared" si="1"/>
        <v>0</v>
      </c>
      <c r="N26" s="42">
        <f t="shared" si="1"/>
        <v>9.6000000000000014</v>
      </c>
      <c r="O26" s="42">
        <f t="shared" si="2"/>
        <v>32</v>
      </c>
      <c r="P26" s="42">
        <f t="shared" si="3"/>
        <v>20.800000000000004</v>
      </c>
    </row>
    <row r="27" spans="1:16">
      <c r="A27" s="1424"/>
      <c r="B27" s="799" t="s">
        <v>742</v>
      </c>
      <c r="C27" s="5">
        <f>'Cab Floorspace'!F35</f>
        <v>183</v>
      </c>
      <c r="D27" s="5">
        <f>'Cab Floorspace'!H35</f>
        <v>0</v>
      </c>
      <c r="E27" s="5">
        <f>'Cab Floorspace'!I35</f>
        <v>201</v>
      </c>
      <c r="G27" s="323" t="s">
        <v>274</v>
      </c>
      <c r="H27" s="427">
        <v>8</v>
      </c>
      <c r="I27" s="427">
        <v>0</v>
      </c>
      <c r="J27" s="427">
        <v>4</v>
      </c>
      <c r="K27" s="427">
        <v>5</v>
      </c>
      <c r="L27" s="42">
        <f t="shared" si="0"/>
        <v>27.200000000000003</v>
      </c>
      <c r="M27" s="42">
        <f t="shared" si="1"/>
        <v>0</v>
      </c>
      <c r="N27" s="42">
        <f t="shared" si="1"/>
        <v>6.4</v>
      </c>
      <c r="O27" s="42">
        <f t="shared" si="2"/>
        <v>12.8</v>
      </c>
      <c r="P27" s="42">
        <f t="shared" si="3"/>
        <v>8.0000000000000036</v>
      </c>
    </row>
    <row r="28" spans="1:16">
      <c r="A28" s="1424" t="str">
        <f>'Cab Floorspace'!A37</f>
        <v>XKS (1st)</v>
      </c>
      <c r="B28" s="799" t="s">
        <v>741</v>
      </c>
      <c r="C28" s="5">
        <f>'Cab Floorspace'!B37</f>
        <v>580</v>
      </c>
      <c r="D28" s="5">
        <f>'Cab Floorspace'!D37</f>
        <v>0</v>
      </c>
      <c r="E28" s="5">
        <f>'Cab Floorspace'!E37</f>
        <v>39</v>
      </c>
      <c r="G28" s="323" t="s">
        <v>305</v>
      </c>
      <c r="H28" s="427">
        <v>7</v>
      </c>
      <c r="I28" s="427">
        <v>2</v>
      </c>
      <c r="J28" s="427">
        <v>0</v>
      </c>
      <c r="K28" s="427">
        <f>21-(H28+I28+J28)</f>
        <v>12</v>
      </c>
      <c r="L28" s="42">
        <f t="shared" ref="L28" si="5">(H28+I28+J28+K28)*1.6</f>
        <v>33.6</v>
      </c>
      <c r="M28" s="42">
        <f t="shared" ref="M28" si="6">I28*1.6</f>
        <v>3.2</v>
      </c>
      <c r="N28" s="42">
        <f t="shared" ref="N28" si="7">J28*1.6</f>
        <v>0</v>
      </c>
      <c r="O28" s="42">
        <f t="shared" ref="O28" si="8">H28*1.6</f>
        <v>11.200000000000001</v>
      </c>
      <c r="P28" s="42">
        <f t="shared" ref="P28" si="9">L28-M28-N28-O28</f>
        <v>19.200000000000003</v>
      </c>
    </row>
    <row r="29" spans="1:16">
      <c r="A29" s="1424"/>
      <c r="B29" s="799" t="s">
        <v>742</v>
      </c>
      <c r="C29" s="5">
        <f>'Cab Floorspace'!F37</f>
        <v>131</v>
      </c>
      <c r="D29" s="5">
        <f>'Cab Floorspace'!H37</f>
        <v>0</v>
      </c>
      <c r="E29" s="5">
        <f>'Cab Floorspace'!I37</f>
        <v>171</v>
      </c>
      <c r="G29" s="799"/>
      <c r="H29" s="5"/>
      <c r="I29" s="5"/>
      <c r="J29" s="5"/>
    </row>
    <row r="30" spans="1:16">
      <c r="A30" s="1424" t="str">
        <f>'Cab Floorspace'!A38</f>
        <v>XKS (2nd)</v>
      </c>
      <c r="B30" s="799" t="s">
        <v>741</v>
      </c>
      <c r="C30" s="5">
        <f>'Cab Floorspace'!B38</f>
        <v>582</v>
      </c>
      <c r="D30" s="5">
        <f>'Cab Floorspace'!D38</f>
        <v>0</v>
      </c>
      <c r="E30" s="5">
        <f>'Cab Floorspace'!E38</f>
        <v>39</v>
      </c>
      <c r="G30" s="799"/>
      <c r="H30" s="5"/>
      <c r="I30" s="5"/>
      <c r="J30" s="5"/>
    </row>
    <row r="31" spans="1:16">
      <c r="A31" s="1424"/>
      <c r="B31" s="799" t="s">
        <v>742</v>
      </c>
      <c r="C31" s="5">
        <f>'Cab Floorspace'!F38</f>
        <v>125</v>
      </c>
      <c r="D31" s="5">
        <f>'Cab Floorspace'!H38</f>
        <v>0</v>
      </c>
      <c r="E31" s="5">
        <f>'Cab Floorspace'!I38</f>
        <v>148</v>
      </c>
      <c r="G31" s="799"/>
      <c r="H31" s="5"/>
      <c r="I31" s="5"/>
      <c r="J31" s="5"/>
    </row>
    <row r="32" spans="1:16">
      <c r="A32" s="1424" t="str">
        <f>'Cab Floorspace'!A39</f>
        <v>XKS (3rd)</v>
      </c>
      <c r="B32" s="799" t="s">
        <v>741</v>
      </c>
      <c r="C32" s="5">
        <f>'Cab Floorspace'!B39</f>
        <v>592</v>
      </c>
      <c r="D32" s="5">
        <f>'Cab Floorspace'!D39</f>
        <v>0</v>
      </c>
      <c r="E32" s="5">
        <f>'Cab Floorspace'!E39</f>
        <v>30</v>
      </c>
      <c r="G32" s="799"/>
      <c r="H32" s="5"/>
      <c r="I32" s="5"/>
      <c r="J32" s="5"/>
    </row>
    <row r="33" spans="1:5">
      <c r="A33" s="1424"/>
      <c r="B33" s="799" t="s">
        <v>742</v>
      </c>
      <c r="C33" s="5">
        <f>'Cab Floorspace'!F39</f>
        <v>45</v>
      </c>
      <c r="D33" s="5">
        <f>'Cab Floorspace'!H39</f>
        <v>0</v>
      </c>
      <c r="E33" s="5">
        <f>'Cab Floorspace'!I39</f>
        <v>195</v>
      </c>
    </row>
    <row r="34" spans="1:5">
      <c r="A34" s="1424" t="str">
        <f>'Cab Floorspace'!A41</f>
        <v>XSN</v>
      </c>
      <c r="B34" s="799" t="s">
        <v>741</v>
      </c>
      <c r="C34" s="5">
        <f>'Cab Floorspace'!B41</f>
        <v>1161</v>
      </c>
      <c r="D34" s="5">
        <f>'Cab Floorspace'!D41</f>
        <v>14</v>
      </c>
      <c r="E34" s="5">
        <f>'Cab Floorspace'!E41</f>
        <v>43</v>
      </c>
    </row>
    <row r="35" spans="1:5">
      <c r="A35" s="1424"/>
      <c r="B35" s="799" t="s">
        <v>742</v>
      </c>
      <c r="C35" s="5">
        <f>'Cab Floorspace'!F41</f>
        <v>145</v>
      </c>
      <c r="D35" s="5">
        <f>'Cab Floorspace'!H41</f>
        <v>0</v>
      </c>
      <c r="E35" s="5">
        <f>'Cab Floorspace'!I41</f>
        <v>521</v>
      </c>
    </row>
    <row r="36" spans="1:5">
      <c r="A36" s="1424" t="str">
        <f>'Cab Floorspace'!A42</f>
        <v>XSY</v>
      </c>
      <c r="B36" s="799" t="s">
        <v>741</v>
      </c>
      <c r="C36" s="5">
        <f>'Cab Floorspace'!B42</f>
        <v>818</v>
      </c>
      <c r="D36" s="5">
        <f>'Cab Floorspace'!D42</f>
        <v>0</v>
      </c>
      <c r="E36" s="5">
        <f>'Cab Floorspace'!E42</f>
        <v>43</v>
      </c>
    </row>
    <row r="37" spans="1:5">
      <c r="A37" s="1424"/>
      <c r="B37" s="799" t="s">
        <v>742</v>
      </c>
      <c r="C37" s="5">
        <f>'Cab Floorspace'!F42</f>
        <v>186</v>
      </c>
      <c r="D37" s="5">
        <f>'Cab Floorspace'!H42</f>
        <v>0</v>
      </c>
      <c r="E37" s="5">
        <f>'Cab Floorspace'!I42</f>
        <v>283</v>
      </c>
    </row>
    <row r="38" spans="1:5" ht="13.15">
      <c r="A38" s="2"/>
      <c r="B38" s="2"/>
      <c r="C38" s="3"/>
      <c r="D38" s="796"/>
      <c r="E38" s="3"/>
    </row>
    <row r="39" spans="1:5" ht="13.15">
      <c r="A39" s="2"/>
      <c r="B39" s="2"/>
      <c r="C39" s="3"/>
      <c r="D39" s="796"/>
      <c r="E39" s="3"/>
    </row>
    <row r="41" spans="1:5">
      <c r="A41" t="s">
        <v>750</v>
      </c>
      <c r="B41" s="800" t="s">
        <v>751</v>
      </c>
      <c r="C41" s="5" t="s">
        <v>752</v>
      </c>
      <c r="D41" s="800" t="s">
        <v>541</v>
      </c>
      <c r="E41" s="800" t="s">
        <v>753</v>
      </c>
    </row>
    <row r="42" spans="1:5">
      <c r="B42" s="800" t="e">
        <f>SUM(C3,C7,C24,C26,C9,#REF!,C28,C30,C32,C17,C19,C34,C36)</f>
        <v>#REF!</v>
      </c>
      <c r="C42" s="800">
        <f>(C5+C11+C13+C15)</f>
        <v>3990</v>
      </c>
      <c r="D42" s="800" t="e">
        <f>SUM(D3,D5,D7,D24,D26,D9,D11,#REF!,D28,D30,D32,D13,D15,D17,D19,D34,D36)</f>
        <v>#REF!</v>
      </c>
      <c r="E42" s="800" t="e">
        <f>SUM(E3,E5,E7,E24,E26,E9,E11,#REF!,E28,E30,E32,E13,E15,E17,E19,E34,E36)</f>
        <v>#REF!</v>
      </c>
    </row>
    <row r="43" spans="1:5">
      <c r="A43" t="s">
        <v>754</v>
      </c>
      <c r="B43" s="800" t="s">
        <v>751</v>
      </c>
      <c r="C43" s="5" t="s">
        <v>752</v>
      </c>
      <c r="D43" s="800" t="s">
        <v>541</v>
      </c>
      <c r="E43" s="800" t="s">
        <v>542</v>
      </c>
    </row>
    <row r="44" spans="1:5">
      <c r="B44" s="800" t="e">
        <f>SUM(C4,C8,C25,C27,C10,#REF!,C29,C31,C33,C18,C20,C35,C37)</f>
        <v>#REF!</v>
      </c>
      <c r="C44" s="800">
        <f>(C6+C12+C14+C16)</f>
        <v>1004</v>
      </c>
      <c r="D44" s="800" t="e">
        <f>SUM(D4,D6,D8,D25,D27,D10,D12,#REF!,D29,D31,D33,D14,D16,D18,D20,D35,D37)</f>
        <v>#REF!</v>
      </c>
      <c r="E44" s="800" t="e">
        <f>SUM(E4,E6,E8,E25,E27,E10,E12,#REF!,E29,E31,E33,E14,E16,E18,E20,E35,E37)</f>
        <v>#REF!</v>
      </c>
    </row>
    <row r="46" spans="1:5" ht="26.45">
      <c r="A46" s="2" t="s">
        <v>512</v>
      </c>
      <c r="C46" s="3" t="s">
        <v>740</v>
      </c>
      <c r="D46" s="796" t="s">
        <v>541</v>
      </c>
      <c r="E46" s="3" t="s">
        <v>542</v>
      </c>
    </row>
    <row r="47" spans="1:5">
      <c r="A47" s="1499" t="s">
        <v>348</v>
      </c>
      <c r="B47" s="338" t="s">
        <v>741</v>
      </c>
      <c r="C47">
        <f>'Cab Floorspace'!B68</f>
        <v>103</v>
      </c>
      <c r="D47">
        <f>'Cab Floorspace'!E68</f>
        <v>104</v>
      </c>
      <c r="E47">
        <f>'Cab Floorspace'!F68</f>
        <v>4</v>
      </c>
    </row>
    <row r="48" spans="1:5">
      <c r="A48" s="1500"/>
      <c r="B48" s="338" t="s">
        <v>742</v>
      </c>
      <c r="C48">
        <f>'Cab Floorspace'!G68</f>
        <v>0</v>
      </c>
      <c r="D48">
        <f>'Cab Floorspace'!H68</f>
        <v>0</v>
      </c>
      <c r="E48">
        <f>'Cab Floorspace'!I68</f>
        <v>9</v>
      </c>
    </row>
    <row r="49" spans="1:5">
      <c r="A49" s="1499" t="s">
        <v>353</v>
      </c>
      <c r="B49" s="338" t="s">
        <v>741</v>
      </c>
      <c r="C49">
        <f>'Cab Floorspace'!B69</f>
        <v>116</v>
      </c>
      <c r="D49">
        <f>'Cab Floorspace'!E69</f>
        <v>527</v>
      </c>
      <c r="E49">
        <f>'Cab Floorspace'!F69</f>
        <v>6</v>
      </c>
    </row>
    <row r="50" spans="1:5">
      <c r="A50" s="1500"/>
      <c r="B50" s="338" t="s">
        <v>742</v>
      </c>
      <c r="C50">
        <f>'Cab Floorspace'!G69</f>
        <v>0</v>
      </c>
      <c r="D50">
        <f>'Cab Floorspace'!H69</f>
        <v>0</v>
      </c>
      <c r="E50">
        <f>'Cab Floorspace'!I69</f>
        <v>46</v>
      </c>
    </row>
    <row r="51" spans="1:5">
      <c r="A51" s="1499" t="s">
        <v>350</v>
      </c>
      <c r="B51" s="338" t="s">
        <v>741</v>
      </c>
      <c r="C51">
        <f>'Cab Floorspace'!B70</f>
        <v>122</v>
      </c>
      <c r="D51">
        <f>'Cab Floorspace'!E70</f>
        <v>268</v>
      </c>
      <c r="E51">
        <f>'Cab Floorspace'!F70</f>
        <v>0</v>
      </c>
    </row>
    <row r="52" spans="1:5">
      <c r="A52" s="1500"/>
      <c r="B52" s="338" t="s">
        <v>742</v>
      </c>
      <c r="C52">
        <f>'Cab Floorspace'!G70</f>
        <v>0</v>
      </c>
      <c r="D52">
        <f>'Cab Floorspace'!H70</f>
        <v>0</v>
      </c>
      <c r="E52">
        <f>'Cab Floorspace'!I70</f>
        <v>12</v>
      </c>
    </row>
    <row r="53" spans="1:5">
      <c r="A53" s="1499" t="s">
        <v>355</v>
      </c>
      <c r="B53" s="338" t="s">
        <v>741</v>
      </c>
      <c r="C53">
        <f>'Cab Floorspace'!B71</f>
        <v>180</v>
      </c>
      <c r="D53">
        <f>'Cab Floorspace'!E71</f>
        <v>450</v>
      </c>
      <c r="E53">
        <f>'Cab Floorspace'!F71</f>
        <v>1</v>
      </c>
    </row>
    <row r="54" spans="1:5">
      <c r="A54" s="1499"/>
      <c r="B54" s="338" t="s">
        <v>742</v>
      </c>
      <c r="C54">
        <f>'Cab Floorspace'!G71</f>
        <v>0</v>
      </c>
      <c r="D54">
        <f>'Cab Floorspace'!H71</f>
        <v>0</v>
      </c>
      <c r="E54">
        <f>'Cab Floorspace'!I71</f>
        <v>5</v>
      </c>
    </row>
    <row r="55" spans="1:5">
      <c r="A55" s="1499" t="s">
        <v>357</v>
      </c>
      <c r="B55" s="338" t="s">
        <v>741</v>
      </c>
      <c r="C55">
        <f>'Cab Floorspace'!B72</f>
        <v>21</v>
      </c>
      <c r="D55">
        <f>'Cab Floorspace'!E72</f>
        <v>8</v>
      </c>
      <c r="E55">
        <f>'Cab Floorspace'!F72</f>
        <v>0</v>
      </c>
    </row>
    <row r="56" spans="1:5">
      <c r="A56" s="1499"/>
      <c r="B56" s="338" t="s">
        <v>742</v>
      </c>
      <c r="C56">
        <f>'Cab Floorspace'!G72</f>
        <v>0</v>
      </c>
      <c r="D56">
        <f>'Cab Floorspace'!H72</f>
        <v>0</v>
      </c>
      <c r="E56">
        <f>'Cab Floorspace'!I72</f>
        <v>0</v>
      </c>
    </row>
    <row r="57" spans="1:5">
      <c r="A57" s="1499" t="s">
        <v>359</v>
      </c>
      <c r="B57" s="338" t="s">
        <v>741</v>
      </c>
      <c r="C57">
        <f>'Cab Floorspace'!B73</f>
        <v>225</v>
      </c>
      <c r="D57">
        <f>'Cab Floorspace'!E73</f>
        <v>161</v>
      </c>
      <c r="E57">
        <f>'Cab Floorspace'!F73</f>
        <v>0</v>
      </c>
    </row>
    <row r="58" spans="1:5">
      <c r="A58" s="1499"/>
      <c r="B58" s="338" t="s">
        <v>742</v>
      </c>
      <c r="C58">
        <f>'Cab Floorspace'!G73</f>
        <v>0</v>
      </c>
      <c r="D58">
        <f>'Cab Floorspace'!H73</f>
        <v>0</v>
      </c>
      <c r="E58">
        <f>'Cab Floorspace'!I73</f>
        <v>0</v>
      </c>
    </row>
    <row r="59" spans="1:5">
      <c r="A59" s="1499" t="s">
        <v>361</v>
      </c>
      <c r="B59" s="338" t="s">
        <v>741</v>
      </c>
      <c r="C59">
        <f>'Cab Floorspace'!B75</f>
        <v>73</v>
      </c>
      <c r="D59">
        <f>'Cab Floorspace'!E75</f>
        <v>99</v>
      </c>
      <c r="E59">
        <f>'Cab Floorspace'!F75</f>
        <v>0</v>
      </c>
    </row>
    <row r="60" spans="1:5">
      <c r="A60" s="1499"/>
      <c r="B60" s="338" t="s">
        <v>742</v>
      </c>
      <c r="C60">
        <f>'Cab Floorspace'!G75</f>
        <v>0</v>
      </c>
      <c r="D60">
        <f>'Cab Floorspace'!H75</f>
        <v>1</v>
      </c>
      <c r="E60">
        <f>'Cab Floorspace'!I75</f>
        <v>6</v>
      </c>
    </row>
    <row r="61" spans="1:5">
      <c r="A61" s="1499" t="s">
        <v>363</v>
      </c>
      <c r="B61" s="338" t="s">
        <v>741</v>
      </c>
      <c r="C61">
        <f>'Cab Floorspace'!B76</f>
        <v>247</v>
      </c>
      <c r="D61">
        <f>'Cab Floorspace'!E76</f>
        <v>264</v>
      </c>
      <c r="E61">
        <f>'Cab Floorspace'!F76</f>
        <v>14</v>
      </c>
    </row>
    <row r="62" spans="1:5">
      <c r="A62" s="1499"/>
      <c r="B62" s="338" t="s">
        <v>742</v>
      </c>
      <c r="C62">
        <f>'Cab Floorspace'!G76</f>
        <v>0</v>
      </c>
      <c r="D62">
        <f>'Cab Floorspace'!H76</f>
        <v>0</v>
      </c>
      <c r="E62">
        <f>'Cab Floorspace'!I76</f>
        <v>7</v>
      </c>
    </row>
    <row r="63" spans="1:5">
      <c r="A63" s="1422" t="s">
        <v>536</v>
      </c>
      <c r="B63" s="338" t="s">
        <v>741</v>
      </c>
      <c r="C63">
        <f>'Cab Floorspace'!B83</f>
        <v>51</v>
      </c>
      <c r="D63">
        <f>'Cab Floorspace'!C83</f>
        <v>0</v>
      </c>
      <c r="E63">
        <f>'Cab Floorspace'!D83</f>
        <v>4</v>
      </c>
    </row>
    <row r="64" spans="1:5">
      <c r="A64" s="1422"/>
      <c r="B64" s="338" t="s">
        <v>742</v>
      </c>
      <c r="C64">
        <f>'Cab Floorspace'!E83</f>
        <v>0</v>
      </c>
      <c r="D64">
        <f>'Cab Floorspace'!F83</f>
        <v>0</v>
      </c>
      <c r="E64">
        <f>'Cab Floorspace'!G83</f>
        <v>0</v>
      </c>
    </row>
    <row r="65" spans="1:5">
      <c r="A65" s="1499" t="s">
        <v>367</v>
      </c>
      <c r="B65" s="338" t="s">
        <v>741</v>
      </c>
      <c r="C65">
        <f>'Cab Floorspace'!B78</f>
        <v>100</v>
      </c>
      <c r="D65">
        <f>'Cab Floorspace'!E78</f>
        <v>56</v>
      </c>
      <c r="E65">
        <f>'Cab Floorspace'!F78</f>
        <v>0</v>
      </c>
    </row>
    <row r="66" spans="1:5">
      <c r="A66" s="1499"/>
      <c r="B66" s="338" t="s">
        <v>742</v>
      </c>
      <c r="C66">
        <f>'Cab Floorspace'!G78</f>
        <v>0</v>
      </c>
      <c r="D66">
        <f>'Cab Floorspace'!H78</f>
        <v>0</v>
      </c>
      <c r="E66">
        <f>'Cab Floorspace'!I78</f>
        <v>0</v>
      </c>
    </row>
    <row r="67" spans="1:5">
      <c r="A67" s="1499" t="s">
        <v>369</v>
      </c>
      <c r="B67" s="338" t="s">
        <v>741</v>
      </c>
      <c r="C67">
        <f>'Cab Floorspace'!B80</f>
        <v>152</v>
      </c>
      <c r="D67">
        <f>'Cab Floorspace'!E80</f>
        <v>488</v>
      </c>
      <c r="E67">
        <f>'Cab Floorspace'!F80</f>
        <v>8</v>
      </c>
    </row>
    <row r="68" spans="1:5">
      <c r="A68" s="1499"/>
      <c r="B68" s="338" t="s">
        <v>742</v>
      </c>
      <c r="C68">
        <f>'Cab Floorspace'!G80</f>
        <v>0</v>
      </c>
      <c r="D68">
        <f>'Cab Floorspace'!H80</f>
        <v>1</v>
      </c>
      <c r="E68">
        <f>'Cab Floorspace'!I80</f>
        <v>0</v>
      </c>
    </row>
    <row r="69" spans="1:5">
      <c r="A69" s="1499" t="s">
        <v>371</v>
      </c>
      <c r="B69" s="338" t="s">
        <v>741</v>
      </c>
      <c r="C69">
        <f>'Cab Floorspace'!B81</f>
        <v>64</v>
      </c>
      <c r="D69">
        <f>'Cab Floorspace'!E81</f>
        <v>41</v>
      </c>
      <c r="E69">
        <f>'Cab Floorspace'!F81</f>
        <v>0</v>
      </c>
    </row>
    <row r="70" spans="1:5">
      <c r="A70" s="1499"/>
      <c r="B70" s="338" t="s">
        <v>742</v>
      </c>
      <c r="C70">
        <f>'Cab Floorspace'!G81</f>
        <v>0</v>
      </c>
      <c r="D70">
        <f>'Cab Floorspace'!H81</f>
        <v>0</v>
      </c>
      <c r="E70">
        <f>'Cab Floorspace'!I81</f>
        <v>0</v>
      </c>
    </row>
    <row r="72" spans="1:5">
      <c r="A72" t="s">
        <v>750</v>
      </c>
      <c r="B72" s="800" t="s">
        <v>540</v>
      </c>
      <c r="C72" s="800" t="s">
        <v>541</v>
      </c>
      <c r="D72" s="800" t="s">
        <v>753</v>
      </c>
    </row>
    <row r="73" spans="1:5">
      <c r="B73" s="800" t="e">
        <f>SUM(C47,C49,C51,C53,C55,#REF!,C57,C59,C61,C65,C67,C69)</f>
        <v>#REF!</v>
      </c>
      <c r="C73" s="800" t="e">
        <f>SUM(,D47,D49,D51,D53,D55,#REF!,D57,D59,D61,D65,D67,D69)</f>
        <v>#REF!</v>
      </c>
      <c r="D73" s="800" t="e">
        <f>SUM(E47,E49,E51,E53,E55,#REF!,E57,E59,E61,E65,E67,E69)</f>
        <v>#REF!</v>
      </c>
    </row>
    <row r="74" spans="1:5">
      <c r="A74" t="s">
        <v>754</v>
      </c>
      <c r="B74" s="800" t="s">
        <v>740</v>
      </c>
      <c r="C74" s="800" t="s">
        <v>541</v>
      </c>
      <c r="D74" s="800" t="s">
        <v>542</v>
      </c>
    </row>
    <row r="75" spans="1:5">
      <c r="B75" s="800" t="e">
        <f>SUM(C48,C50,C52,C54,C56,#REF!,C58,C60,C62,C66,C68,C70)</f>
        <v>#REF!</v>
      </c>
      <c r="C75" s="800">
        <v>3</v>
      </c>
      <c r="D75" s="800" t="e">
        <f>SUM(E48,E50,E52,E54,E56,#REF!,E58,E60,E62,E66,E68,E70)</f>
        <v>#REF!</v>
      </c>
    </row>
    <row r="82" spans="1:5">
      <c r="A82" s="13" t="s">
        <v>755</v>
      </c>
    </row>
    <row r="83" spans="1:5">
      <c r="C83" s="799" t="s">
        <v>756</v>
      </c>
      <c r="D83" s="799" t="s">
        <v>757</v>
      </c>
    </row>
    <row r="84" spans="1:5" ht="11.45">
      <c r="A84" s="338" t="s">
        <v>758</v>
      </c>
      <c r="B84" s="5">
        <f>((C84*D84)+2*((C84*(D84/2)))+2*((1200*((2*D84)/20))))/1000000</f>
        <v>1.1519999999999999</v>
      </c>
      <c r="C84" s="5">
        <v>600</v>
      </c>
      <c r="D84" s="5">
        <v>800</v>
      </c>
      <c r="E84" s="338" t="s">
        <v>759</v>
      </c>
    </row>
    <row r="85" spans="1:5" ht="11.45">
      <c r="A85" s="338" t="s">
        <v>760</v>
      </c>
      <c r="B85" s="5">
        <f>((C85*D85)+2*((C85*(D85/2)))+2*((1200*((2*D85)/20))))/1000000</f>
        <v>2.2080000000000002</v>
      </c>
      <c r="C85" s="5">
        <v>800</v>
      </c>
      <c r="D85" s="5">
        <v>1200</v>
      </c>
      <c r="E85" s="338" t="s">
        <v>761</v>
      </c>
    </row>
    <row r="87" spans="1:5" ht="11.45">
      <c r="B87" s="9" t="s">
        <v>762</v>
      </c>
      <c r="C87" s="9"/>
    </row>
    <row r="88" spans="1:5">
      <c r="A88" t="s">
        <v>274</v>
      </c>
      <c r="B88" s="10">
        <f>('Cab Floorspace'!B33*$B$84)+('Cab Floorspace'!F33*$B$85)</f>
        <v>1276.0319999999999</v>
      </c>
      <c r="C88" s="10"/>
      <c r="D88" s="10"/>
    </row>
    <row r="89" spans="1:5">
      <c r="A89" t="s">
        <v>280</v>
      </c>
      <c r="B89" s="10">
        <f>('Cab Floorspace'!B22*$B$84)+('Cab Floorspace'!F22*$B$85)</f>
        <v>2130.5280000000002</v>
      </c>
      <c r="C89" s="10"/>
      <c r="D89" s="10"/>
    </row>
    <row r="90" spans="1:5">
      <c r="A90" t="s">
        <v>287</v>
      </c>
      <c r="B90" s="10">
        <f>('Cab Floorspace'!B34*$B$84)+('Cab Floorspace'!F34*$B$85)</f>
        <v>1509.2160000000001</v>
      </c>
      <c r="C90" s="10"/>
      <c r="D90" s="10"/>
      <c r="E90" s="339"/>
    </row>
    <row r="91" spans="1:5">
      <c r="A91" t="s">
        <v>290</v>
      </c>
      <c r="B91" s="10">
        <f>('Cab Floorspace'!B25*$B$84)+('Cab Floorspace'!F25*$B$85)</f>
        <v>1335.2639999999999</v>
      </c>
    </row>
    <row r="92" spans="1:5">
      <c r="A92" t="s">
        <v>293</v>
      </c>
      <c r="B92" s="10">
        <f>('Cab Floorspace'!B35*$B$84)+('Cab Floorspace'!F35*$B$85)</f>
        <v>1174.752</v>
      </c>
    </row>
    <row r="93" spans="1:5">
      <c r="A93" t="s">
        <v>305</v>
      </c>
      <c r="B93" s="10">
        <f>('Cab Floorspace'!B27*$B$84)+('Cab Floorspace'!F27*$B$85)</f>
        <v>1535.04</v>
      </c>
    </row>
    <row r="94" spans="1:5">
      <c r="A94" t="s">
        <v>297</v>
      </c>
      <c r="B94" s="10">
        <f>('Cab Floorspace'!B26*$B$84)+('Cab Floorspace'!F26*$B$85)</f>
        <v>1596.576</v>
      </c>
    </row>
    <row r="95" spans="1:5">
      <c r="A95" s="338" t="s">
        <v>312</v>
      </c>
      <c r="B95" s="10" t="e">
        <f>(('Cab Floorspace'!#REF!+'Cab Floorspace'!B37+'Cab Floorspace'!B38+'Cab Floorspace'!B39)*$B$84)+(('Cab Floorspace'!#REF!+'Cab Floorspace'!F37+'Cab Floorspace'!F38+'Cab Floorspace'!F39)*$B$85)</f>
        <v>#REF!</v>
      </c>
    </row>
    <row r="96" spans="1:5">
      <c r="A96" t="s">
        <v>315</v>
      </c>
      <c r="B96" s="10">
        <f>('Cab Floorspace'!B24*$B$84)+('Cab Floorspace'!F24*$B$85)</f>
        <v>1684.8000000000002</v>
      </c>
    </row>
    <row r="97" spans="1:3">
      <c r="A97" t="s">
        <v>320</v>
      </c>
      <c r="B97" s="10">
        <f>('Cab Floorspace'!B23*$B$84)+('Cab Floorspace'!F23*$B$85)</f>
        <v>1401.4079999999999</v>
      </c>
    </row>
    <row r="98" spans="1:3">
      <c r="A98" t="s">
        <v>328</v>
      </c>
      <c r="B98" s="10">
        <f>('Cab Floorspace'!B28*$B$84)+('Cab Floorspace'!F28*$B$85)</f>
        <v>1890.5279999999998</v>
      </c>
    </row>
    <row r="99" spans="1:3">
      <c r="A99" t="s">
        <v>333</v>
      </c>
      <c r="B99" s="10">
        <f>('Cab Floorspace'!B40*$B$84)+('Cab Floorspace'!F40*$B$85)</f>
        <v>1646.2080000000001</v>
      </c>
    </row>
    <row r="100" spans="1:3">
      <c r="A100" t="s">
        <v>336</v>
      </c>
      <c r="B100" s="10">
        <f>('Cab Floorspace'!B41*$B$84)+('Cab Floorspace'!F41*$B$85)</f>
        <v>1657.6320000000001</v>
      </c>
    </row>
    <row r="101" spans="1:3">
      <c r="A101" t="s">
        <v>339</v>
      </c>
      <c r="B101" s="10">
        <f>('Cab Floorspace'!B42*$B$84)+('Cab Floorspace'!F42*$B$85)</f>
        <v>1353.0239999999999</v>
      </c>
    </row>
    <row r="103" spans="1:3">
      <c r="A103" t="s">
        <v>348</v>
      </c>
      <c r="B103" s="10">
        <f>('Cab Floorspace'!B68*$B$84)+('Cab Floorspace'!G68*$B$85)</f>
        <v>118.65599999999999</v>
      </c>
    </row>
    <row r="104" spans="1:3">
      <c r="A104" t="s">
        <v>353</v>
      </c>
      <c r="B104" s="10">
        <f>('Cab Floorspace'!B69*$B$84)+('Cab Floorspace'!G69*$B$85)</f>
        <v>133.63199999999998</v>
      </c>
    </row>
    <row r="105" spans="1:3">
      <c r="A105" t="s">
        <v>350</v>
      </c>
      <c r="B105" s="10">
        <f>('Cab Floorspace'!B70*$B$84)+('Cab Floorspace'!G70*$B$85)</f>
        <v>140.54399999999998</v>
      </c>
    </row>
    <row r="106" spans="1:3">
      <c r="A106" t="s">
        <v>355</v>
      </c>
      <c r="B106" s="10">
        <f>('Cab Floorspace'!B71*$B$84)+('Cab Floorspace'!G71*$B$85)</f>
        <v>207.35999999999999</v>
      </c>
    </row>
    <row r="107" spans="1:3">
      <c r="A107" t="s">
        <v>357</v>
      </c>
      <c r="B107" s="10">
        <f>33*$B$84</f>
        <v>38.015999999999998</v>
      </c>
      <c r="C107" s="338" t="s">
        <v>763</v>
      </c>
    </row>
    <row r="108" spans="1:3">
      <c r="A108" t="s">
        <v>676</v>
      </c>
      <c r="B108" s="10">
        <f>29*$B$84</f>
        <v>33.407999999999994</v>
      </c>
      <c r="C108" s="338" t="s">
        <v>763</v>
      </c>
    </row>
    <row r="109" spans="1:3">
      <c r="A109" t="s">
        <v>359</v>
      </c>
      <c r="B109" s="10">
        <f>('Cab Floorspace'!B73*$B$84)+('Cab Floorspace'!G73*$B$85)</f>
        <v>259.2</v>
      </c>
    </row>
    <row r="110" spans="1:3">
      <c r="A110" s="338" t="s">
        <v>361</v>
      </c>
      <c r="B110" s="10">
        <f>(('Cab Floorspace'!B75+105)*$B$84)+('Cab Floorspace'!G75*$B$85)</f>
        <v>205.05599999999998</v>
      </c>
      <c r="C110" s="338" t="s">
        <v>764</v>
      </c>
    </row>
    <row r="111" spans="1:3">
      <c r="A111" t="s">
        <v>363</v>
      </c>
      <c r="B111" s="10">
        <f>('Cab Floorspace'!B76*$B$84)+('Cab Floorspace'!G76*$B$85)+'Cab Floorspace'!B85</f>
        <v>333.50399999999996</v>
      </c>
    </row>
    <row r="112" spans="1:3">
      <c r="A112" s="338" t="s">
        <v>367</v>
      </c>
      <c r="B112" s="10">
        <f>(('Cab Floorspace'!B78+29)*$B$84)+(('Cab Floorspace'!G78+11)*$B$85)</f>
        <v>172.89599999999999</v>
      </c>
      <c r="C112" s="338" t="s">
        <v>765</v>
      </c>
    </row>
    <row r="113" spans="1:2">
      <c r="A113" t="s">
        <v>369</v>
      </c>
      <c r="B113" s="10">
        <f>('Cab Floorspace'!B80*$B$84)+('Cab Floorspace'!G80*$B$85)</f>
        <v>175.10399999999998</v>
      </c>
    </row>
    <row r="114" spans="1:2">
      <c r="A114" t="s">
        <v>371</v>
      </c>
      <c r="B114" s="10">
        <f>('Cab Floorspace'!B81*$B$84)+('Cab Floorspace'!G81*$B$85)</f>
        <v>73.727999999999994</v>
      </c>
    </row>
  </sheetData>
  <mergeCells count="28">
    <mergeCell ref="A13:A14"/>
    <mergeCell ref="A47:A48"/>
    <mergeCell ref="A3:A4"/>
    <mergeCell ref="A5:A6"/>
    <mergeCell ref="A7:A8"/>
    <mergeCell ref="A24:A25"/>
    <mergeCell ref="A26:A27"/>
    <mergeCell ref="A9:A10"/>
    <mergeCell ref="A11:A12"/>
    <mergeCell ref="A49:A50"/>
    <mergeCell ref="A51:A52"/>
    <mergeCell ref="A53:A54"/>
    <mergeCell ref="A55:A56"/>
    <mergeCell ref="A15:A16"/>
    <mergeCell ref="A17:A18"/>
    <mergeCell ref="A19:A20"/>
    <mergeCell ref="A34:A35"/>
    <mergeCell ref="A36:A37"/>
    <mergeCell ref="A28:A29"/>
    <mergeCell ref="A30:A31"/>
    <mergeCell ref="A32:A33"/>
    <mergeCell ref="A69:A70"/>
    <mergeCell ref="A57:A58"/>
    <mergeCell ref="A59:A60"/>
    <mergeCell ref="A61:A62"/>
    <mergeCell ref="A65:A66"/>
    <mergeCell ref="A67:A68"/>
    <mergeCell ref="A63:A64"/>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4:C94"/>
  <sheetViews>
    <sheetView topLeftCell="E37" zoomScale="70" zoomScaleNormal="70" workbookViewId="0">
      <selection activeCell="AE53" sqref="AE53"/>
    </sheetView>
  </sheetViews>
  <sheetFormatPr defaultColWidth="8.6640625" defaultRowHeight="10.15"/>
  <cols>
    <col min="1" max="1" width="30.5" bestFit="1" customWidth="1"/>
    <col min="2" max="2" width="17.6640625" bestFit="1" customWidth="1"/>
    <col min="3" max="3" width="13.6640625" bestFit="1" customWidth="1"/>
    <col min="4" max="4" width="13.5" bestFit="1" customWidth="1"/>
    <col min="5" max="5" width="12.6640625" bestFit="1" customWidth="1"/>
    <col min="6" max="6" width="19.6640625" bestFit="1" customWidth="1"/>
  </cols>
  <sheetData>
    <row r="4" spans="1:1">
      <c r="A4" s="441" t="s">
        <v>766</v>
      </c>
    </row>
    <row r="39" spans="1:1">
      <c r="A39" s="338" t="s">
        <v>767</v>
      </c>
    </row>
    <row r="44" spans="1:1" ht="12" customHeight="1">
      <c r="A44" s="319" t="s">
        <v>768</v>
      </c>
    </row>
    <row r="69" spans="1:1">
      <c r="A69" s="338" t="s">
        <v>769</v>
      </c>
    </row>
    <row r="94" spans="3:3">
      <c r="C94" s="338" t="s">
        <v>770</v>
      </c>
    </row>
  </sheetData>
  <pageMargins left="0.7" right="0.7" top="0.75" bottom="0.75" header="0.3" footer="0.3"/>
  <pageSetup paperSize="9" orientation="portrait" r:id="rId1"/>
  <headerFooter>
    <oddFooter>&amp;L&amp;1#&amp;"Calibri"&amp;7&amp;K000000C2 General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dimension ref="A1:AE168"/>
  <sheetViews>
    <sheetView topLeftCell="A83" zoomScale="90" zoomScaleNormal="90" workbookViewId="0">
      <selection activeCell="B98" sqref="B98"/>
    </sheetView>
  </sheetViews>
  <sheetFormatPr defaultColWidth="8.6640625" defaultRowHeight="10.15"/>
  <cols>
    <col min="1" max="2" width="9.1640625"/>
    <col min="4" max="4" width="20.5" bestFit="1" customWidth="1"/>
    <col min="5" max="5" width="9.1640625"/>
  </cols>
  <sheetData>
    <row r="1" spans="1:20">
      <c r="A1" s="349"/>
      <c r="B1" s="443"/>
      <c r="C1" s="444" t="s">
        <v>771</v>
      </c>
      <c r="D1" s="445" t="s">
        <v>693</v>
      </c>
      <c r="E1" s="799"/>
      <c r="J1" s="11"/>
      <c r="K1" s="11"/>
      <c r="L1" s="11"/>
      <c r="M1" s="11"/>
      <c r="N1" s="11"/>
      <c r="O1" s="11"/>
      <c r="P1" s="11"/>
      <c r="Q1" s="11"/>
      <c r="R1" s="11"/>
      <c r="S1" s="11"/>
      <c r="T1" s="11"/>
    </row>
    <row r="2" spans="1:20">
      <c r="A2" s="1426" t="s">
        <v>280</v>
      </c>
      <c r="B2" s="11">
        <v>45139</v>
      </c>
      <c r="C2" s="345">
        <v>376.54050000000001</v>
      </c>
      <c r="D2" s="450">
        <v>127.45949999999999</v>
      </c>
      <c r="E2" s="338"/>
    </row>
    <row r="3" spans="1:20">
      <c r="A3" s="1426"/>
      <c r="B3" s="11">
        <v>45170</v>
      </c>
      <c r="C3" s="345">
        <v>376.32249999999999</v>
      </c>
      <c r="D3" s="450">
        <v>127.67750000000001</v>
      </c>
      <c r="E3" s="338"/>
    </row>
    <row r="4" spans="1:20">
      <c r="A4" s="1426"/>
      <c r="B4" s="11">
        <v>45200</v>
      </c>
      <c r="C4" s="345">
        <v>376.75850000000003</v>
      </c>
      <c r="D4" s="450">
        <v>127.24149999999997</v>
      </c>
      <c r="E4" s="338"/>
    </row>
    <row r="5" spans="1:20">
      <c r="A5" s="1426"/>
      <c r="B5" s="11">
        <v>45231</v>
      </c>
      <c r="C5" s="345">
        <v>376.97649999999999</v>
      </c>
      <c r="D5" s="450">
        <v>127.02350000000001</v>
      </c>
      <c r="E5" s="338"/>
    </row>
    <row r="6" spans="1:20">
      <c r="A6" s="1426"/>
      <c r="B6" s="11">
        <v>45261</v>
      </c>
      <c r="C6" s="345">
        <v>376.64949999999999</v>
      </c>
      <c r="D6" s="450">
        <v>127.35050000000001</v>
      </c>
      <c r="E6" s="338"/>
    </row>
    <row r="7" spans="1:20">
      <c r="A7" s="1426"/>
      <c r="B7" s="11">
        <v>45292</v>
      </c>
      <c r="C7" s="345">
        <v>378.91272027587888</v>
      </c>
      <c r="D7" s="450">
        <v>125.08727972412112</v>
      </c>
      <c r="E7" s="338"/>
    </row>
    <row r="8" spans="1:20">
      <c r="A8" s="1426"/>
      <c r="B8" s="11">
        <v>45323</v>
      </c>
      <c r="C8" s="345">
        <v>372.67099999999999</v>
      </c>
      <c r="D8" s="450">
        <v>131.32900000000001</v>
      </c>
      <c r="E8" s="338"/>
      <c r="I8" s="338"/>
    </row>
    <row r="9" spans="1:20">
      <c r="A9" s="1426"/>
      <c r="B9" s="11">
        <v>45352</v>
      </c>
      <c r="C9" s="345">
        <v>367.548</v>
      </c>
      <c r="D9" s="450">
        <v>136.452</v>
      </c>
      <c r="E9" s="338"/>
    </row>
    <row r="10" spans="1:20">
      <c r="A10" s="1426"/>
      <c r="B10" s="11">
        <v>45383</v>
      </c>
      <c r="C10" s="345">
        <v>370.6</v>
      </c>
      <c r="D10" s="450">
        <v>133.39999999999998</v>
      </c>
      <c r="E10" s="338"/>
    </row>
    <row r="11" spans="1:20">
      <c r="A11" s="1426"/>
      <c r="B11" s="11">
        <v>45413</v>
      </c>
      <c r="C11" s="345">
        <v>385.80549999999999</v>
      </c>
      <c r="D11" s="450">
        <v>118.19450000000001</v>
      </c>
      <c r="E11" s="338"/>
    </row>
    <row r="12" spans="1:20">
      <c r="A12" s="1426"/>
      <c r="B12" s="11">
        <v>45444</v>
      </c>
      <c r="C12" s="345">
        <v>386.89550000000003</v>
      </c>
      <c r="D12" s="450">
        <v>117.10449999999997</v>
      </c>
      <c r="E12" s="338"/>
    </row>
    <row r="13" spans="1:20">
      <c r="A13" s="1426"/>
      <c r="B13" s="11">
        <v>45474</v>
      </c>
      <c r="C13" s="345">
        <v>386.89550000000003</v>
      </c>
      <c r="D13" s="450">
        <v>117.10449999999997</v>
      </c>
      <c r="E13" s="338"/>
    </row>
    <row r="14" spans="1:20" ht="10.9" thickBot="1">
      <c r="A14" s="1426"/>
      <c r="B14" s="11">
        <v>45505</v>
      </c>
      <c r="C14" s="345">
        <f>'Plant loading'!G9</f>
        <v>386.95</v>
      </c>
      <c r="D14" s="450">
        <f>504-C14</f>
        <v>117.05000000000001</v>
      </c>
      <c r="E14" s="338"/>
      <c r="S14" t="s">
        <v>274</v>
      </c>
      <c r="T14">
        <v>315</v>
      </c>
    </row>
    <row r="15" spans="1:20">
      <c r="A15" s="1425" t="s">
        <v>320</v>
      </c>
      <c r="B15" s="443"/>
      <c r="C15" s="444" t="s">
        <v>771</v>
      </c>
      <c r="D15" s="445" t="s">
        <v>693</v>
      </c>
      <c r="E15" s="338"/>
    </row>
    <row r="16" spans="1:20">
      <c r="A16" s="1426"/>
      <c r="B16" s="11">
        <v>45139</v>
      </c>
      <c r="C16" s="441">
        <v>389.63049999999998</v>
      </c>
      <c r="D16" s="450">
        <v>90.369500000000016</v>
      </c>
      <c r="S16" t="s">
        <v>772</v>
      </c>
      <c r="T16">
        <v>504</v>
      </c>
    </row>
    <row r="17" spans="1:20">
      <c r="A17" s="1426"/>
      <c r="B17" s="11">
        <v>45170</v>
      </c>
      <c r="C17" s="345">
        <v>385.43400000000003</v>
      </c>
      <c r="D17" s="450">
        <v>94.565999999999974</v>
      </c>
      <c r="S17" t="s">
        <v>773</v>
      </c>
      <c r="T17">
        <v>315</v>
      </c>
    </row>
    <row r="18" spans="1:20">
      <c r="A18" s="1426"/>
      <c r="B18" s="11">
        <v>45200</v>
      </c>
      <c r="C18" s="345">
        <v>381.18299999999999</v>
      </c>
      <c r="D18" s="450">
        <v>98.817000000000007</v>
      </c>
      <c r="S18" t="s">
        <v>687</v>
      </c>
      <c r="T18">
        <v>450</v>
      </c>
    </row>
    <row r="19" spans="1:20">
      <c r="A19" s="1426"/>
      <c r="B19" s="11">
        <v>45231</v>
      </c>
      <c r="C19" s="345">
        <v>377.85849999999999</v>
      </c>
      <c r="D19" s="450">
        <v>102.14150000000001</v>
      </c>
      <c r="S19" t="s">
        <v>774</v>
      </c>
      <c r="T19">
        <v>450</v>
      </c>
    </row>
    <row r="20" spans="1:20">
      <c r="A20" s="1426"/>
      <c r="B20" s="11">
        <v>45261</v>
      </c>
      <c r="C20" s="345">
        <v>379.43900000000002</v>
      </c>
      <c r="D20" s="450">
        <v>100.56099999999998</v>
      </c>
      <c r="S20" t="s">
        <v>775</v>
      </c>
      <c r="T20">
        <v>450</v>
      </c>
    </row>
    <row r="21" spans="1:20">
      <c r="A21" s="1426"/>
      <c r="B21" s="11">
        <v>45292</v>
      </c>
      <c r="C21" s="345">
        <v>380.27982815551775</v>
      </c>
      <c r="D21" s="450">
        <v>99.720171844482252</v>
      </c>
    </row>
    <row r="22" spans="1:20">
      <c r="A22" s="1426"/>
      <c r="B22" s="11">
        <v>45323</v>
      </c>
      <c r="C22" s="345">
        <v>379.76600000000002</v>
      </c>
      <c r="D22" s="450">
        <v>100.23399999999998</v>
      </c>
    </row>
    <row r="23" spans="1:20">
      <c r="A23" s="1426"/>
      <c r="B23" s="11">
        <v>45352</v>
      </c>
      <c r="C23" s="345">
        <v>380.09300000000002</v>
      </c>
      <c r="D23" s="450">
        <v>99.906999999999982</v>
      </c>
    </row>
    <row r="24" spans="1:20">
      <c r="A24" s="1426"/>
      <c r="B24" s="11">
        <v>45383</v>
      </c>
      <c r="C24" s="345">
        <v>383.14749999999998</v>
      </c>
      <c r="D24" s="450">
        <v>96.85250000000002</v>
      </c>
    </row>
    <row r="25" spans="1:20">
      <c r="A25" s="1426"/>
      <c r="B25" s="11">
        <v>45413</v>
      </c>
      <c r="C25" s="345">
        <v>401.76749999999998</v>
      </c>
      <c r="D25" s="450">
        <v>78.232500000000016</v>
      </c>
    </row>
    <row r="26" spans="1:20">
      <c r="A26" s="1426"/>
      <c r="B26" s="11">
        <v>45444</v>
      </c>
      <c r="C26" s="345">
        <v>399.36950000000002</v>
      </c>
      <c r="D26" s="450">
        <v>80.630499999999984</v>
      </c>
    </row>
    <row r="27" spans="1:20">
      <c r="A27" s="1426"/>
      <c r="B27" s="11">
        <v>45474</v>
      </c>
      <c r="C27" s="345">
        <v>399.36950000000002</v>
      </c>
      <c r="D27" s="447">
        <v>80.630499999999984</v>
      </c>
    </row>
    <row r="28" spans="1:20" ht="10.9" thickBot="1">
      <c r="A28" s="1426"/>
      <c r="B28" s="11">
        <v>45505</v>
      </c>
      <c r="C28" s="345">
        <f>'Plant loading'!G64+'Power figures'!J11</f>
        <v>401.18450000000001</v>
      </c>
      <c r="D28" s="447">
        <f>480-C28</f>
        <v>78.815499999999986</v>
      </c>
    </row>
    <row r="29" spans="1:20">
      <c r="A29" s="1425" t="s">
        <v>315</v>
      </c>
      <c r="B29" s="443"/>
      <c r="C29" s="444" t="s">
        <v>771</v>
      </c>
      <c r="D29" s="445" t="s">
        <v>693</v>
      </c>
    </row>
    <row r="30" spans="1:20">
      <c r="A30" s="1426"/>
      <c r="B30" s="11">
        <v>45139</v>
      </c>
      <c r="C30" s="345">
        <v>344.6035</v>
      </c>
      <c r="D30" s="447">
        <v>135.3965</v>
      </c>
    </row>
    <row r="31" spans="1:20">
      <c r="A31" s="1426"/>
      <c r="B31" s="11">
        <v>45170</v>
      </c>
      <c r="C31" s="345">
        <v>340.84300000000002</v>
      </c>
      <c r="D31" s="447">
        <v>139.15699999999998</v>
      </c>
    </row>
    <row r="32" spans="1:20">
      <c r="A32" s="1426"/>
      <c r="B32" s="11">
        <v>45200</v>
      </c>
      <c r="C32" s="345">
        <v>327.59949999999998</v>
      </c>
      <c r="D32" s="447">
        <v>152.40050000000002</v>
      </c>
    </row>
    <row r="33" spans="1:4">
      <c r="A33" s="1426"/>
      <c r="B33" s="11">
        <v>45231</v>
      </c>
      <c r="C33" s="345">
        <v>330.815</v>
      </c>
      <c r="D33" s="447">
        <v>149.185</v>
      </c>
    </row>
    <row r="34" spans="1:4">
      <c r="A34" s="1426"/>
      <c r="B34" s="11">
        <v>45261</v>
      </c>
      <c r="C34" s="345">
        <v>330.70600000000002</v>
      </c>
      <c r="D34" s="447">
        <v>149.29399999999998</v>
      </c>
    </row>
    <row r="35" spans="1:4">
      <c r="A35" s="1426"/>
      <c r="B35" s="11">
        <v>45292</v>
      </c>
      <c r="C35" s="345">
        <v>331.52350000000001</v>
      </c>
      <c r="D35" s="447">
        <v>148.47649999999999</v>
      </c>
    </row>
    <row r="36" spans="1:4">
      <c r="A36" s="1426"/>
      <c r="B36" s="11">
        <v>45323</v>
      </c>
      <c r="C36" s="345">
        <v>331.25099999999998</v>
      </c>
      <c r="D36" s="447">
        <v>148.74900000000002</v>
      </c>
    </row>
    <row r="37" spans="1:4">
      <c r="A37" s="1426"/>
      <c r="B37" s="11">
        <v>45352</v>
      </c>
      <c r="C37" s="345">
        <v>335.82900000000001</v>
      </c>
      <c r="D37" s="447">
        <v>144.17099999999999</v>
      </c>
    </row>
    <row r="38" spans="1:4">
      <c r="A38" s="1426"/>
      <c r="B38" s="11">
        <v>45383</v>
      </c>
      <c r="C38" s="345">
        <v>335.55650000000003</v>
      </c>
      <c r="D38" s="447">
        <v>144.44349999999997</v>
      </c>
    </row>
    <row r="39" spans="1:4">
      <c r="A39" s="1426"/>
      <c r="B39" s="11">
        <v>45413</v>
      </c>
      <c r="C39" s="345">
        <v>336.91899999999998</v>
      </c>
      <c r="D39" s="447">
        <v>143.08100000000002</v>
      </c>
    </row>
    <row r="40" spans="1:4">
      <c r="A40" s="1426"/>
      <c r="B40" s="11">
        <v>45444</v>
      </c>
      <c r="C40" s="345">
        <v>333.649</v>
      </c>
      <c r="D40" s="447">
        <v>146.351</v>
      </c>
    </row>
    <row r="41" spans="1:4">
      <c r="A41" s="1426"/>
      <c r="B41" s="11">
        <v>45474</v>
      </c>
      <c r="C41" s="345">
        <v>333.649</v>
      </c>
      <c r="D41" s="447">
        <v>146.351</v>
      </c>
    </row>
    <row r="42" spans="1:4">
      <c r="A42" s="1426"/>
      <c r="B42" s="11">
        <v>45505</v>
      </c>
      <c r="C42" s="345">
        <f>'Plant loading'!G56</f>
        <v>333.976</v>
      </c>
      <c r="D42" s="447">
        <f>480-C42</f>
        <v>146.024</v>
      </c>
    </row>
    <row r="43" spans="1:4">
      <c r="A43" s="1428" t="s">
        <v>290</v>
      </c>
      <c r="B43" s="769"/>
      <c r="C43" s="770" t="s">
        <v>771</v>
      </c>
      <c r="D43" s="771" t="s">
        <v>693</v>
      </c>
    </row>
    <row r="44" spans="1:4">
      <c r="A44" s="1429"/>
      <c r="B44" s="11">
        <v>45139</v>
      </c>
      <c r="C44" s="345">
        <v>296.97050000000002</v>
      </c>
      <c r="D44" s="772">
        <v>81.029499999999985</v>
      </c>
    </row>
    <row r="45" spans="1:4">
      <c r="A45" s="1429"/>
      <c r="B45" s="11">
        <v>45170</v>
      </c>
      <c r="C45" s="345">
        <v>294.19099999999997</v>
      </c>
      <c r="D45" s="772">
        <v>83.809000000000026</v>
      </c>
    </row>
    <row r="46" spans="1:4">
      <c r="A46" s="1429"/>
      <c r="B46" s="11">
        <v>45200</v>
      </c>
      <c r="C46" s="345">
        <v>293.2645</v>
      </c>
      <c r="D46" s="772">
        <v>84.735500000000002</v>
      </c>
    </row>
    <row r="47" spans="1:4">
      <c r="A47" s="1429"/>
      <c r="B47" s="11">
        <v>45231</v>
      </c>
      <c r="C47" s="345">
        <v>292.99200000000002</v>
      </c>
      <c r="D47" s="772">
        <v>85.007999999999981</v>
      </c>
    </row>
    <row r="48" spans="1:4">
      <c r="A48" s="1429"/>
      <c r="B48" s="11">
        <v>45261</v>
      </c>
      <c r="C48" s="345">
        <v>287.16050000000001</v>
      </c>
      <c r="D48" s="772">
        <v>90.839499999999987</v>
      </c>
    </row>
    <row r="49" spans="1:4">
      <c r="A49" s="1429"/>
      <c r="B49" s="11">
        <v>45292</v>
      </c>
      <c r="C49" s="345">
        <v>286.98931265258801</v>
      </c>
      <c r="D49" s="772">
        <v>91.010687347411988</v>
      </c>
    </row>
    <row r="50" spans="1:4">
      <c r="A50" s="1429"/>
      <c r="B50" s="11">
        <v>45323</v>
      </c>
      <c r="C50" s="345">
        <v>285.6345</v>
      </c>
      <c r="D50" s="772">
        <v>92.365499999999997</v>
      </c>
    </row>
    <row r="51" spans="1:4">
      <c r="A51" s="1429"/>
      <c r="B51" s="11">
        <v>45352</v>
      </c>
      <c r="C51" s="345">
        <v>286.9425</v>
      </c>
      <c r="D51" s="772">
        <v>91.057500000000005</v>
      </c>
    </row>
    <row r="52" spans="1:4">
      <c r="A52" s="1429"/>
      <c r="B52" s="11">
        <v>45383</v>
      </c>
      <c r="C52" s="345">
        <v>290.1035</v>
      </c>
      <c r="D52" s="772">
        <v>87.896500000000003</v>
      </c>
    </row>
    <row r="53" spans="1:4">
      <c r="A53" s="1429"/>
      <c r="B53" s="11">
        <v>45413</v>
      </c>
      <c r="C53" s="345">
        <v>287.76</v>
      </c>
      <c r="D53" s="772">
        <v>90.240000000000009</v>
      </c>
    </row>
    <row r="54" spans="1:4">
      <c r="A54" s="1429"/>
      <c r="B54" s="11">
        <v>45444</v>
      </c>
      <c r="C54" s="345">
        <v>288.03250000000003</v>
      </c>
      <c r="D54" s="772">
        <v>89.967499999999973</v>
      </c>
    </row>
    <row r="55" spans="1:4">
      <c r="A55" s="1429"/>
      <c r="B55" s="11">
        <v>45474</v>
      </c>
      <c r="C55" s="345">
        <v>288.03250000000003</v>
      </c>
      <c r="D55" s="772">
        <v>89.967499999999973</v>
      </c>
    </row>
    <row r="56" spans="1:4" ht="10.9" thickBot="1">
      <c r="A56" s="1430"/>
      <c r="B56" s="773">
        <v>45505</v>
      </c>
      <c r="C56" s="774">
        <f>'Plant loading'!G22</f>
        <v>288.14150000000001</v>
      </c>
      <c r="D56" s="775">
        <f>378-C56</f>
        <v>89.858499999999992</v>
      </c>
    </row>
    <row r="57" spans="1:4">
      <c r="A57" s="1426" t="s">
        <v>297</v>
      </c>
      <c r="C57" s="338" t="s">
        <v>771</v>
      </c>
      <c r="D57" s="738" t="s">
        <v>693</v>
      </c>
    </row>
    <row r="58" spans="1:4">
      <c r="A58" s="1426"/>
      <c r="B58" s="11">
        <v>45139</v>
      </c>
      <c r="C58" s="345">
        <v>293.97300000000001</v>
      </c>
      <c r="D58" s="447">
        <v>168.02699999999999</v>
      </c>
    </row>
    <row r="59" spans="1:4">
      <c r="A59" s="1426"/>
      <c r="B59" s="11">
        <v>45170</v>
      </c>
      <c r="C59" s="345">
        <v>295.17200000000003</v>
      </c>
      <c r="D59" s="447">
        <v>166.82799999999997</v>
      </c>
    </row>
    <row r="60" spans="1:4">
      <c r="A60" s="1426"/>
      <c r="B60" s="11">
        <v>45200</v>
      </c>
      <c r="C60" s="345">
        <v>292.55599999999998</v>
      </c>
      <c r="D60" s="447">
        <v>169.44400000000002</v>
      </c>
    </row>
    <row r="61" spans="1:4">
      <c r="A61" s="1426"/>
      <c r="B61" s="11">
        <v>45231</v>
      </c>
      <c r="C61" s="345">
        <v>293.53699999999998</v>
      </c>
      <c r="D61" s="447">
        <v>168.46300000000002</v>
      </c>
    </row>
    <row r="62" spans="1:4">
      <c r="A62" s="1426"/>
      <c r="B62" s="11">
        <v>45261</v>
      </c>
      <c r="C62" s="345">
        <v>289.50400000000002</v>
      </c>
      <c r="D62" s="447">
        <v>172.49599999999998</v>
      </c>
    </row>
    <row r="63" spans="1:4">
      <c r="A63" s="1426"/>
      <c r="B63" s="11">
        <v>45292</v>
      </c>
      <c r="C63" s="345">
        <v>290.37599999999998</v>
      </c>
      <c r="D63" s="447">
        <v>171.62400000000002</v>
      </c>
    </row>
    <row r="64" spans="1:4">
      <c r="A64" s="1426"/>
      <c r="B64" s="11">
        <v>45323</v>
      </c>
      <c r="C64" s="345">
        <v>295.17200000000003</v>
      </c>
      <c r="D64" s="447">
        <v>166.82799999999997</v>
      </c>
    </row>
    <row r="65" spans="1:31">
      <c r="A65" s="1426"/>
      <c r="B65" s="11">
        <v>45352</v>
      </c>
      <c r="C65" s="345">
        <v>295.22649999999999</v>
      </c>
      <c r="D65" s="447">
        <v>166.77350000000001</v>
      </c>
    </row>
    <row r="66" spans="1:31">
      <c r="A66" s="1426"/>
      <c r="B66" s="11">
        <v>45383</v>
      </c>
      <c r="C66" s="345">
        <v>285.798</v>
      </c>
      <c r="D66" s="447">
        <v>176.202</v>
      </c>
    </row>
    <row r="67" spans="1:31">
      <c r="A67" s="1426"/>
      <c r="B67" s="11">
        <v>45413</v>
      </c>
      <c r="C67" s="345">
        <v>287.32400000000001</v>
      </c>
      <c r="D67" s="447">
        <v>174.67599999999999</v>
      </c>
    </row>
    <row r="68" spans="1:31">
      <c r="A68" s="1426"/>
      <c r="B68" s="11">
        <v>45444</v>
      </c>
      <c r="C68" s="345">
        <v>285.36200000000002</v>
      </c>
      <c r="D68" s="447">
        <v>176.63799999999998</v>
      </c>
    </row>
    <row r="69" spans="1:31">
      <c r="A69" s="1426"/>
      <c r="B69" s="11">
        <v>45474</v>
      </c>
      <c r="C69" s="345">
        <v>285.36200000000002</v>
      </c>
      <c r="D69" s="447">
        <v>176.63799999999998</v>
      </c>
    </row>
    <row r="70" spans="1:31" ht="10.9" thickBot="1">
      <c r="A70" s="1426"/>
      <c r="B70" s="11">
        <v>45505</v>
      </c>
      <c r="C70" s="345">
        <f>'Plant loading'!G39</f>
        <v>285.08949999999999</v>
      </c>
      <c r="D70" s="447">
        <f>462-C70</f>
        <v>176.91050000000001</v>
      </c>
    </row>
    <row r="71" spans="1:31">
      <c r="A71" s="1425" t="s">
        <v>305</v>
      </c>
      <c r="B71" s="443"/>
      <c r="C71" s="444" t="s">
        <v>771</v>
      </c>
      <c r="D71" s="445" t="s">
        <v>693</v>
      </c>
    </row>
    <row r="72" spans="1:31">
      <c r="A72" s="1426"/>
      <c r="B72" s="11">
        <v>45139</v>
      </c>
      <c r="C72" s="345">
        <v>284.05399999999997</v>
      </c>
      <c r="D72" s="447">
        <v>180.94600000000003</v>
      </c>
    </row>
    <row r="73" spans="1:31">
      <c r="A73" s="1426"/>
      <c r="B73" s="11">
        <v>45170</v>
      </c>
      <c r="C73" s="345">
        <v>263.72550000000001</v>
      </c>
      <c r="D73" s="447">
        <v>201.27449999999999</v>
      </c>
    </row>
    <row r="74" spans="1:31">
      <c r="A74" s="1426"/>
      <c r="B74" s="11">
        <v>45200</v>
      </c>
      <c r="C74" s="345">
        <v>262.90800000000002</v>
      </c>
      <c r="D74" s="447">
        <v>202.09199999999998</v>
      </c>
    </row>
    <row r="75" spans="1:31">
      <c r="A75" s="1426"/>
      <c r="B75" s="11">
        <v>45231</v>
      </c>
      <c r="C75" s="345">
        <v>260.78250000000003</v>
      </c>
      <c r="D75" s="447">
        <v>204.21749999999997</v>
      </c>
    </row>
    <row r="76" spans="1:31">
      <c r="A76" s="1426"/>
      <c r="B76" s="11">
        <v>45261</v>
      </c>
      <c r="C76" s="345">
        <v>260.01949999999999</v>
      </c>
      <c r="D76" s="447">
        <v>204.98050000000001</v>
      </c>
    </row>
    <row r="77" spans="1:31">
      <c r="A77" s="1426"/>
      <c r="B77" s="11">
        <v>45292</v>
      </c>
      <c r="C77" s="345">
        <v>260.48231423950193</v>
      </c>
      <c r="D77" s="447">
        <v>204.51768576049807</v>
      </c>
    </row>
    <row r="78" spans="1:31">
      <c r="A78" s="1426"/>
      <c r="B78" s="11">
        <v>45323</v>
      </c>
      <c r="C78" s="345">
        <v>260.18299999999999</v>
      </c>
      <c r="D78" s="447">
        <v>204.81700000000001</v>
      </c>
    </row>
    <row r="79" spans="1:31">
      <c r="A79" s="1426"/>
      <c r="B79" s="11">
        <v>45352</v>
      </c>
      <c r="C79" s="345">
        <v>260.34649999999999</v>
      </c>
      <c r="D79" s="447">
        <v>204.65350000000001</v>
      </c>
      <c r="F79" t="s">
        <v>439</v>
      </c>
      <c r="G79" s="11">
        <v>42736</v>
      </c>
      <c r="H79" s="11">
        <v>42826</v>
      </c>
      <c r="I79" s="11">
        <v>42917</v>
      </c>
      <c r="J79" s="11">
        <v>43009</v>
      </c>
      <c r="K79" s="11">
        <v>43101</v>
      </c>
      <c r="L79" s="11">
        <v>43191</v>
      </c>
      <c r="M79" s="11">
        <v>43282</v>
      </c>
      <c r="N79" s="11">
        <v>43374</v>
      </c>
      <c r="O79" s="11">
        <v>43466</v>
      </c>
      <c r="P79" s="11">
        <v>43556</v>
      </c>
      <c r="Q79" s="11">
        <v>43647</v>
      </c>
      <c r="R79" s="11">
        <v>43739</v>
      </c>
      <c r="S79" s="11">
        <v>43831</v>
      </c>
      <c r="T79" s="11">
        <v>43922</v>
      </c>
      <c r="U79" s="11">
        <v>44013</v>
      </c>
      <c r="V79" s="11">
        <v>44105</v>
      </c>
      <c r="W79" s="11">
        <v>44197</v>
      </c>
      <c r="X79" s="11">
        <v>44287</v>
      </c>
      <c r="Y79" s="11">
        <v>44378</v>
      </c>
      <c r="Z79" s="11">
        <v>44470</v>
      </c>
      <c r="AA79" s="11">
        <v>44562</v>
      </c>
      <c r="AB79" s="11">
        <v>44652</v>
      </c>
      <c r="AC79" s="11">
        <v>44743</v>
      </c>
      <c r="AD79" s="11">
        <v>44835</v>
      </c>
      <c r="AE79" s="11">
        <v>44927</v>
      </c>
    </row>
    <row r="80" spans="1:31">
      <c r="A80" s="1426"/>
      <c r="B80" s="11">
        <v>45383</v>
      </c>
      <c r="C80" s="345">
        <v>260.51</v>
      </c>
      <c r="D80" s="447">
        <v>204.49</v>
      </c>
      <c r="F80" s="22" t="s">
        <v>274</v>
      </c>
      <c r="G80" s="649">
        <v>175.8715</v>
      </c>
      <c r="H80" s="649">
        <v>164.20849999999999</v>
      </c>
      <c r="I80" s="649">
        <v>166.77</v>
      </c>
      <c r="J80" s="649">
        <v>171.45699999999999</v>
      </c>
      <c r="K80" s="345">
        <v>172.32900000000001</v>
      </c>
      <c r="L80" s="345">
        <v>165.244</v>
      </c>
      <c r="M80" s="345">
        <v>167.26050000000001</v>
      </c>
      <c r="N80" s="345">
        <v>168.18700000000001</v>
      </c>
      <c r="O80" s="345">
        <v>172.874</v>
      </c>
      <c r="P80" s="345">
        <v>179.08699999999999</v>
      </c>
      <c r="Q80" s="345">
        <v>180.286</v>
      </c>
      <c r="R80" s="345">
        <v>182.684</v>
      </c>
      <c r="S80" s="345">
        <v>188.29750000000001</v>
      </c>
      <c r="T80" s="345">
        <v>190</v>
      </c>
      <c r="U80" s="345">
        <v>200</v>
      </c>
      <c r="V80" s="345">
        <v>200</v>
      </c>
      <c r="W80" s="345">
        <v>198</v>
      </c>
    </row>
    <row r="81" spans="1:23" ht="11.1" customHeight="1">
      <c r="A81" s="1426"/>
      <c r="B81" s="11">
        <v>45413</v>
      </c>
      <c r="C81" s="345">
        <v>271.6825</v>
      </c>
      <c r="D81" s="447">
        <v>193.3175</v>
      </c>
      <c r="F81" s="22" t="s">
        <v>280</v>
      </c>
      <c r="G81" s="649">
        <v>294.40899999999999</v>
      </c>
      <c r="H81" s="649">
        <v>299.2595</v>
      </c>
      <c r="I81" s="649">
        <v>285.74349999999998</v>
      </c>
      <c r="J81" s="649">
        <v>286.452</v>
      </c>
      <c r="K81" s="345">
        <v>305.25450000000001</v>
      </c>
      <c r="L81" s="345">
        <v>321.11399999999998</v>
      </c>
      <c r="M81" s="345">
        <v>329.77949999999998</v>
      </c>
      <c r="N81" s="345">
        <v>330.92399999999998</v>
      </c>
      <c r="O81" s="345">
        <v>323.56650000000002</v>
      </c>
      <c r="P81" s="345">
        <v>350.16250000000002</v>
      </c>
      <c r="Q81" s="345">
        <v>340.51600000000002</v>
      </c>
      <c r="R81" s="345">
        <v>343.24099999999999</v>
      </c>
      <c r="S81" s="345">
        <v>369.12849999999997</v>
      </c>
      <c r="T81" s="345">
        <v>369</v>
      </c>
      <c r="U81" s="345">
        <v>376</v>
      </c>
      <c r="V81" s="345">
        <v>419</v>
      </c>
      <c r="W81" s="345">
        <v>406</v>
      </c>
    </row>
    <row r="82" spans="1:23" ht="11.1" customHeight="1">
      <c r="A82" s="1426"/>
      <c r="B82" s="11">
        <v>45444</v>
      </c>
      <c r="C82" s="345">
        <v>274.68</v>
      </c>
      <c r="D82" s="447">
        <v>190.32</v>
      </c>
      <c r="F82" s="22" t="s">
        <v>287</v>
      </c>
      <c r="G82" s="649">
        <v>143.44399999999999</v>
      </c>
      <c r="H82" s="649">
        <v>145.18799999999999</v>
      </c>
      <c r="I82" s="649">
        <v>146.65950000000001</v>
      </c>
      <c r="J82" s="649">
        <v>146.76849999999999</v>
      </c>
      <c r="K82" s="345">
        <v>146.00550000000001</v>
      </c>
      <c r="L82" s="345">
        <v>140.93700000000001</v>
      </c>
      <c r="M82" s="345">
        <v>137.55799999999999</v>
      </c>
      <c r="N82" s="345">
        <v>140.01050000000001</v>
      </c>
      <c r="O82" s="345">
        <v>141.482</v>
      </c>
      <c r="P82" s="345">
        <v>141.42750000000001</v>
      </c>
      <c r="Q82" s="345">
        <v>137.72149999999999</v>
      </c>
      <c r="R82" s="345">
        <v>141.86349999999999</v>
      </c>
      <c r="S82" s="345">
        <v>145.624</v>
      </c>
      <c r="T82" s="345">
        <v>146</v>
      </c>
      <c r="U82" s="345">
        <v>146</v>
      </c>
      <c r="V82" s="345">
        <v>147</v>
      </c>
      <c r="W82" s="345">
        <v>150</v>
      </c>
    </row>
    <row r="83" spans="1:23" ht="11.85" customHeight="1">
      <c r="A83" s="1426"/>
      <c r="B83" s="11">
        <v>45474</v>
      </c>
      <c r="C83" s="345">
        <v>274.68</v>
      </c>
      <c r="D83" s="447">
        <v>190.32</v>
      </c>
      <c r="F83" s="22" t="s">
        <v>290</v>
      </c>
      <c r="G83" s="649">
        <v>148.51249999999999</v>
      </c>
      <c r="H83" s="649">
        <v>148.785</v>
      </c>
      <c r="I83" s="649">
        <v>138.1575</v>
      </c>
      <c r="J83" s="649">
        <v>137.93950000000001</v>
      </c>
      <c r="K83" s="345">
        <v>137.994</v>
      </c>
      <c r="L83" s="345">
        <v>130.90899999999999</v>
      </c>
      <c r="M83" s="345">
        <v>128.72900000000001</v>
      </c>
      <c r="N83" s="345">
        <v>128.83799999999999</v>
      </c>
      <c r="O83" s="345">
        <v>196.636</v>
      </c>
      <c r="P83" s="345">
        <v>189.38749999999999</v>
      </c>
      <c r="Q83" s="345">
        <v>196.52699999999999</v>
      </c>
      <c r="R83" s="345">
        <v>199.143</v>
      </c>
      <c r="S83" s="345">
        <v>215.7655</v>
      </c>
      <c r="T83" s="345">
        <v>207</v>
      </c>
      <c r="U83" s="345">
        <v>239</v>
      </c>
      <c r="V83" s="345">
        <v>246</v>
      </c>
      <c r="W83" s="345">
        <v>246</v>
      </c>
    </row>
    <row r="84" spans="1:23" ht="10.35" customHeight="1" thickBot="1">
      <c r="A84" s="1427"/>
      <c r="B84" s="446">
        <v>45505</v>
      </c>
      <c r="C84" s="449">
        <f>'Plant loading'!G32</f>
        <v>274.84350000000001</v>
      </c>
      <c r="D84" s="448">
        <f>465-C84</f>
        <v>190.15649999999999</v>
      </c>
      <c r="F84" s="22" t="s">
        <v>293</v>
      </c>
      <c r="G84" s="649">
        <v>76.5</v>
      </c>
      <c r="H84" s="649">
        <v>76.5</v>
      </c>
      <c r="I84" s="649">
        <v>76.5</v>
      </c>
      <c r="J84" s="649">
        <v>76.5</v>
      </c>
      <c r="K84" s="345">
        <v>76.5</v>
      </c>
      <c r="L84" s="345">
        <v>76.5</v>
      </c>
      <c r="M84" s="345">
        <v>76.5</v>
      </c>
      <c r="N84" s="345">
        <v>76.5</v>
      </c>
      <c r="O84" s="345">
        <v>76.5</v>
      </c>
      <c r="P84" s="345">
        <v>76.5</v>
      </c>
      <c r="Q84" s="345">
        <v>76.5</v>
      </c>
      <c r="R84" s="345">
        <v>76.5</v>
      </c>
      <c r="S84" s="345">
        <v>76.5</v>
      </c>
      <c r="T84" s="345">
        <v>77</v>
      </c>
      <c r="U84" s="345">
        <v>77</v>
      </c>
      <c r="V84" s="345">
        <v>77</v>
      </c>
      <c r="W84" s="345">
        <v>77</v>
      </c>
    </row>
    <row r="85" spans="1:23" ht="11.1" customHeight="1">
      <c r="A85" s="1425" t="s">
        <v>328</v>
      </c>
      <c r="B85" s="443"/>
      <c r="C85" s="444" t="s">
        <v>771</v>
      </c>
      <c r="D85" s="445" t="s">
        <v>693</v>
      </c>
      <c r="F85" s="22" t="s">
        <v>305</v>
      </c>
      <c r="G85" s="649">
        <v>161.2655</v>
      </c>
      <c r="H85" s="649">
        <v>165.0805</v>
      </c>
      <c r="I85" s="649">
        <v>159.685</v>
      </c>
      <c r="J85" s="649">
        <v>159.358</v>
      </c>
      <c r="K85" s="345">
        <v>155.87</v>
      </c>
      <c r="L85" s="345">
        <v>151.89150000000001</v>
      </c>
      <c r="M85" s="345">
        <v>151.946</v>
      </c>
      <c r="N85" s="345">
        <v>152.32749999999999</v>
      </c>
      <c r="O85" s="345">
        <v>154.2895</v>
      </c>
      <c r="P85" s="345">
        <v>151.7825</v>
      </c>
      <c r="Q85" s="345">
        <v>142.4085</v>
      </c>
      <c r="R85" s="345">
        <v>143.77099999999999</v>
      </c>
      <c r="S85" s="345">
        <v>145.4605</v>
      </c>
      <c r="T85" s="345">
        <v>147</v>
      </c>
      <c r="U85" s="345">
        <v>146</v>
      </c>
      <c r="V85" s="345">
        <v>147</v>
      </c>
      <c r="W85" s="345">
        <v>157</v>
      </c>
    </row>
    <row r="86" spans="1:23" ht="11.1" customHeight="1">
      <c r="A86" s="1426"/>
      <c r="B86" s="11">
        <v>45139</v>
      </c>
      <c r="C86" s="345">
        <v>296.262</v>
      </c>
      <c r="D86" s="447">
        <v>169.738</v>
      </c>
      <c r="F86" s="22" t="s">
        <v>687</v>
      </c>
      <c r="G86" s="649">
        <v>294.12200000000001</v>
      </c>
      <c r="H86" s="649">
        <v>285.767</v>
      </c>
      <c r="I86" s="649">
        <v>273.43100000000004</v>
      </c>
      <c r="J86" s="649">
        <v>276.82900000000001</v>
      </c>
      <c r="K86" s="345">
        <v>279.55399999999997</v>
      </c>
      <c r="L86" s="345">
        <v>278.6275</v>
      </c>
      <c r="M86" s="345">
        <v>276.28399999999999</v>
      </c>
      <c r="N86" s="345">
        <v>275.79349999999999</v>
      </c>
      <c r="O86" s="345">
        <v>273.77699999999999</v>
      </c>
      <c r="P86" s="345">
        <v>278.99250000000001</v>
      </c>
      <c r="Q86" s="345">
        <v>277.22950000000003</v>
      </c>
      <c r="R86" s="345">
        <v>269.43600000000004</v>
      </c>
      <c r="S86" s="345">
        <v>268.38149999999996</v>
      </c>
      <c r="T86" s="345">
        <v>268</v>
      </c>
      <c r="U86" s="345">
        <v>271</v>
      </c>
      <c r="V86" s="345">
        <v>274</v>
      </c>
      <c r="W86" s="345">
        <v>296</v>
      </c>
    </row>
    <row r="87" spans="1:23" ht="11.1" customHeight="1">
      <c r="A87" s="1426"/>
      <c r="B87" s="11">
        <v>45170</v>
      </c>
      <c r="C87" s="345">
        <v>289.72199999999998</v>
      </c>
      <c r="D87" s="447">
        <v>176.27800000000002</v>
      </c>
      <c r="F87" s="22" t="s">
        <v>312</v>
      </c>
      <c r="G87" s="649">
        <v>209.607</v>
      </c>
      <c r="H87" s="649">
        <v>208.19</v>
      </c>
      <c r="I87" s="649">
        <v>201.0505</v>
      </c>
      <c r="J87" s="649">
        <v>201.214</v>
      </c>
      <c r="K87" s="345">
        <v>199.57900000000001</v>
      </c>
      <c r="L87" s="345">
        <v>197.45349999999999</v>
      </c>
      <c r="M87" s="345">
        <v>188.24299999999999</v>
      </c>
      <c r="N87" s="345">
        <v>187.262</v>
      </c>
      <c r="O87" s="345">
        <v>187.262</v>
      </c>
      <c r="P87" s="345">
        <v>188.29750000000001</v>
      </c>
      <c r="Q87" s="345">
        <v>191.94900000000001</v>
      </c>
      <c r="R87" s="345">
        <v>185.08199999999999</v>
      </c>
      <c r="S87" s="345">
        <v>141.91800000000001</v>
      </c>
      <c r="T87" s="345">
        <v>186</v>
      </c>
      <c r="U87" s="345">
        <v>184</v>
      </c>
      <c r="V87" s="345">
        <v>187</v>
      </c>
      <c r="W87" s="345">
        <v>183</v>
      </c>
    </row>
    <row r="88" spans="1:23" ht="11.1" customHeight="1">
      <c r="A88" s="1426"/>
      <c r="B88" s="11">
        <v>45200</v>
      </c>
      <c r="C88" s="345">
        <v>284.49</v>
      </c>
      <c r="D88" s="447">
        <v>181.51</v>
      </c>
      <c r="F88" s="22" t="s">
        <v>688</v>
      </c>
      <c r="G88" s="649">
        <v>237.34950000000001</v>
      </c>
      <c r="H88" s="649">
        <v>248.41550000000001</v>
      </c>
      <c r="I88" s="649">
        <v>238.80449999999999</v>
      </c>
      <c r="J88" s="649">
        <v>239.29499999999999</v>
      </c>
      <c r="K88" s="345">
        <v>239.73099999999999</v>
      </c>
      <c r="L88" s="345">
        <v>235.679</v>
      </c>
      <c r="M88" s="345">
        <v>235.97049999999999</v>
      </c>
      <c r="N88" s="345">
        <v>233.89949999999999</v>
      </c>
      <c r="O88" s="345">
        <v>226.3785</v>
      </c>
      <c r="P88" s="345">
        <v>234.73599999999999</v>
      </c>
      <c r="Q88" s="345">
        <v>283.98500000000001</v>
      </c>
      <c r="R88" s="345">
        <v>297.68349999999998</v>
      </c>
      <c r="S88" s="345">
        <v>300.553</v>
      </c>
      <c r="T88" s="345">
        <v>311</v>
      </c>
      <c r="U88" s="345">
        <v>324</v>
      </c>
      <c r="V88" s="345">
        <v>333</v>
      </c>
      <c r="W88" s="345">
        <v>382</v>
      </c>
    </row>
    <row r="89" spans="1:23" ht="11.1" customHeight="1">
      <c r="A89" s="1426"/>
      <c r="B89" s="11">
        <v>45231</v>
      </c>
      <c r="C89" s="345">
        <v>282.69150000000002</v>
      </c>
      <c r="D89" s="447">
        <v>183.30849999999998</v>
      </c>
      <c r="F89" s="22" t="s">
        <v>689</v>
      </c>
      <c r="G89" s="649">
        <v>241.87100000000001</v>
      </c>
      <c r="H89" s="649">
        <v>244.65049999999999</v>
      </c>
      <c r="I89" s="649">
        <v>243.3425</v>
      </c>
      <c r="J89" s="649">
        <v>246.12200000000001</v>
      </c>
      <c r="K89" s="345">
        <v>270.75599999999997</v>
      </c>
      <c r="L89" s="345">
        <v>290.21249999999998</v>
      </c>
      <c r="M89" s="345">
        <v>299.75</v>
      </c>
      <c r="N89" s="345">
        <v>302.47500000000002</v>
      </c>
      <c r="O89" s="345">
        <v>294.46350000000001</v>
      </c>
      <c r="P89" s="345">
        <v>335.39299999999997</v>
      </c>
      <c r="Q89" s="345">
        <v>318.66149999999999</v>
      </c>
      <c r="R89" s="345">
        <v>334.35750000000002</v>
      </c>
      <c r="S89" s="345">
        <v>340.84300000000002</v>
      </c>
      <c r="T89" s="345">
        <v>346</v>
      </c>
      <c r="U89" s="345">
        <v>352</v>
      </c>
      <c r="V89" s="345">
        <v>380</v>
      </c>
      <c r="W89" s="345">
        <v>380</v>
      </c>
    </row>
    <row r="90" spans="1:23" ht="11.1" customHeight="1">
      <c r="A90" s="1426"/>
      <c r="B90" s="11">
        <v>45261</v>
      </c>
      <c r="C90" s="345">
        <v>283.72699999999998</v>
      </c>
      <c r="D90" s="447">
        <v>182.27300000000002</v>
      </c>
      <c r="F90" s="22" t="s">
        <v>328</v>
      </c>
      <c r="G90" s="649">
        <v>228.9</v>
      </c>
      <c r="H90" s="649">
        <v>231.02549999999999</v>
      </c>
      <c r="I90" s="649">
        <v>220.61600000000001</v>
      </c>
      <c r="J90" s="649">
        <v>219.85300000000001</v>
      </c>
      <c r="K90" s="345">
        <v>225.84800000000001</v>
      </c>
      <c r="L90" s="345">
        <v>222.30549999999999</v>
      </c>
      <c r="M90" s="345">
        <v>214.0215</v>
      </c>
      <c r="N90" s="345">
        <v>211.73249999999999</v>
      </c>
      <c r="O90" s="345">
        <v>199.9605</v>
      </c>
      <c r="P90" s="345">
        <v>200.233</v>
      </c>
      <c r="Q90" s="345">
        <v>203.83</v>
      </c>
      <c r="R90" s="345">
        <v>202.7945</v>
      </c>
      <c r="S90" s="345">
        <v>203.1215</v>
      </c>
      <c r="T90" s="345">
        <v>208</v>
      </c>
      <c r="U90" s="345">
        <v>204</v>
      </c>
      <c r="V90" s="345">
        <v>205</v>
      </c>
      <c r="W90" s="345">
        <v>208</v>
      </c>
    </row>
    <row r="91" spans="1:23" ht="11.1" customHeight="1">
      <c r="A91" s="1426"/>
      <c r="B91" s="11">
        <v>45292</v>
      </c>
      <c r="C91" s="345">
        <v>292.55599999999998</v>
      </c>
      <c r="D91" s="447">
        <v>173.44400000000002</v>
      </c>
      <c r="F91" s="22" t="s">
        <v>333</v>
      </c>
      <c r="G91" s="649">
        <v>164.59</v>
      </c>
      <c r="H91" s="649">
        <v>168.2415</v>
      </c>
      <c r="I91" s="649">
        <v>159.249</v>
      </c>
      <c r="J91" s="649">
        <v>152.8725</v>
      </c>
      <c r="K91" s="345">
        <v>153.8535</v>
      </c>
      <c r="L91" s="345">
        <v>151.18299999999999</v>
      </c>
      <c r="M91" s="345">
        <v>153.09049999999999</v>
      </c>
      <c r="N91" s="345">
        <v>150.965</v>
      </c>
      <c r="O91" s="345">
        <v>154.453</v>
      </c>
      <c r="P91" s="345">
        <v>154.23500000000001</v>
      </c>
      <c r="Q91" s="345">
        <v>157.614</v>
      </c>
      <c r="R91" s="345">
        <v>144.75200000000001</v>
      </c>
      <c r="S91" s="345">
        <v>144.91550000000001</v>
      </c>
      <c r="T91" s="345">
        <v>146</v>
      </c>
      <c r="U91" s="345">
        <v>143</v>
      </c>
      <c r="V91" s="345">
        <v>142</v>
      </c>
      <c r="W91" s="345">
        <v>143</v>
      </c>
    </row>
    <row r="92" spans="1:23" ht="11.1" customHeight="1">
      <c r="A92" s="1426"/>
      <c r="B92" s="11">
        <v>45323</v>
      </c>
      <c r="C92" s="345">
        <v>293.20999999999998</v>
      </c>
      <c r="D92" s="447">
        <v>172.79000000000002</v>
      </c>
      <c r="F92" s="22" t="s">
        <v>336</v>
      </c>
      <c r="G92" s="649">
        <v>133.6885</v>
      </c>
      <c r="H92" s="649">
        <v>132.5985</v>
      </c>
      <c r="I92" s="649">
        <v>128.72900000000001</v>
      </c>
      <c r="J92" s="649">
        <v>129.4375</v>
      </c>
      <c r="K92" s="345">
        <v>130.255</v>
      </c>
      <c r="L92" s="345">
        <v>126.113</v>
      </c>
      <c r="M92" s="345">
        <v>125.7315</v>
      </c>
      <c r="N92" s="345">
        <v>128.40199999999999</v>
      </c>
      <c r="O92" s="345">
        <v>127.639</v>
      </c>
      <c r="P92" s="345">
        <v>123.8785</v>
      </c>
      <c r="Q92" s="345">
        <v>126.22199999999999</v>
      </c>
      <c r="R92" s="345">
        <v>128.89250000000001</v>
      </c>
      <c r="S92" s="345">
        <v>128.40199999999999</v>
      </c>
      <c r="T92" s="345">
        <v>132</v>
      </c>
      <c r="U92" s="345">
        <v>132</v>
      </c>
      <c r="V92" s="345">
        <v>133</v>
      </c>
      <c r="W92" s="345">
        <v>133</v>
      </c>
    </row>
    <row r="93" spans="1:23" ht="11.1" customHeight="1">
      <c r="A93" s="1426"/>
      <c r="B93" s="11">
        <v>45352</v>
      </c>
      <c r="C93" s="345">
        <v>293.97300000000001</v>
      </c>
      <c r="D93" s="447">
        <v>172.02699999999999</v>
      </c>
      <c r="F93" s="22" t="s">
        <v>339</v>
      </c>
      <c r="G93" s="649">
        <v>160.99299999999999</v>
      </c>
      <c r="H93" s="649">
        <v>163.28200000000001</v>
      </c>
      <c r="I93" s="649">
        <v>158.595</v>
      </c>
      <c r="J93" s="649">
        <v>158.595</v>
      </c>
      <c r="K93" s="345">
        <v>157.0145</v>
      </c>
      <c r="L93" s="345">
        <v>153.363</v>
      </c>
      <c r="M93" s="345">
        <v>152.4365</v>
      </c>
      <c r="N93" s="345">
        <v>150.202</v>
      </c>
      <c r="O93" s="345">
        <v>152.4365</v>
      </c>
      <c r="P93" s="345">
        <v>151.7825</v>
      </c>
      <c r="Q93" s="345">
        <v>143.33500000000001</v>
      </c>
      <c r="R93" s="345">
        <v>143.28049999999999</v>
      </c>
      <c r="S93" s="345">
        <v>143.00800000000001</v>
      </c>
      <c r="T93" s="345">
        <v>144</v>
      </c>
      <c r="U93" s="345">
        <v>145</v>
      </c>
      <c r="V93" s="345">
        <v>146</v>
      </c>
      <c r="W93" s="345">
        <v>145</v>
      </c>
    </row>
    <row r="94" spans="1:23" ht="11.1" customHeight="1">
      <c r="A94" s="1426"/>
      <c r="B94" s="11">
        <v>45383</v>
      </c>
      <c r="C94" s="345">
        <v>294.57249999999999</v>
      </c>
      <c r="D94" s="447">
        <v>171.42750000000001</v>
      </c>
    </row>
    <row r="95" spans="1:23" ht="11.1" customHeight="1">
      <c r="A95" s="1426"/>
      <c r="B95" s="11">
        <v>45413</v>
      </c>
      <c r="C95" s="345">
        <v>277.73200000000003</v>
      </c>
      <c r="D95" s="447">
        <v>188.26799999999997</v>
      </c>
    </row>
    <row r="96" spans="1:23" ht="11.1" customHeight="1">
      <c r="A96" s="1426"/>
      <c r="B96" s="11">
        <v>45444</v>
      </c>
      <c r="C96" s="345">
        <v>277.51400000000001</v>
      </c>
      <c r="D96" s="447">
        <v>188.48599999999999</v>
      </c>
    </row>
    <row r="97" spans="1:4" ht="11.1" customHeight="1">
      <c r="A97" s="1426"/>
      <c r="B97" s="11">
        <v>45474</v>
      </c>
      <c r="C97" s="345">
        <v>277.51400000000001</v>
      </c>
      <c r="D97" s="447">
        <v>188.48599999999999</v>
      </c>
    </row>
    <row r="98" spans="1:4" ht="11.1" customHeight="1" thickBot="1">
      <c r="A98" s="1427"/>
      <c r="B98" s="446">
        <v>45505</v>
      </c>
      <c r="C98" s="449">
        <f>'Plant loading'!G72</f>
        <v>278.22250000000003</v>
      </c>
      <c r="D98" s="448">
        <f>466-C98</f>
        <v>187.77749999999997</v>
      </c>
    </row>
    <row r="155" spans="2:9">
      <c r="B155" s="317" t="s">
        <v>776</v>
      </c>
      <c r="C155" s="317" t="s">
        <v>280</v>
      </c>
      <c r="D155" s="317" t="s">
        <v>320</v>
      </c>
      <c r="E155" s="317" t="s">
        <v>315</v>
      </c>
      <c r="F155" s="317" t="s">
        <v>290</v>
      </c>
      <c r="G155" s="317" t="s">
        <v>297</v>
      </c>
      <c r="H155" s="317" t="s">
        <v>305</v>
      </c>
      <c r="I155" s="317" t="s">
        <v>328</v>
      </c>
    </row>
    <row r="156" spans="2:9">
      <c r="B156" s="569">
        <v>43862</v>
      </c>
      <c r="C156" s="437">
        <f t="shared" ref="C156:C168" si="0">C2</f>
        <v>376.54050000000001</v>
      </c>
      <c r="D156" s="437">
        <f t="shared" ref="D156:D168" si="1">C16</f>
        <v>389.63049999999998</v>
      </c>
      <c r="E156" s="437">
        <f t="shared" ref="E156:E168" si="2">C30</f>
        <v>344.6035</v>
      </c>
      <c r="F156" s="437">
        <f t="shared" ref="F156:F168" si="3">C44</f>
        <v>296.97050000000002</v>
      </c>
      <c r="G156" s="437">
        <f t="shared" ref="G156:G168" si="4">C58</f>
        <v>293.97300000000001</v>
      </c>
      <c r="H156" s="437">
        <f t="shared" ref="H156:H168" si="5">C72</f>
        <v>284.05399999999997</v>
      </c>
      <c r="I156" s="437">
        <f t="shared" ref="I156:I168" si="6">C86</f>
        <v>296.262</v>
      </c>
    </row>
    <row r="157" spans="2:9">
      <c r="B157" s="569">
        <v>43891</v>
      </c>
      <c r="C157" s="437">
        <f t="shared" si="0"/>
        <v>376.32249999999999</v>
      </c>
      <c r="D157" s="437">
        <f t="shared" si="1"/>
        <v>385.43400000000003</v>
      </c>
      <c r="E157" s="437">
        <f t="shared" si="2"/>
        <v>340.84300000000002</v>
      </c>
      <c r="F157" s="437">
        <f t="shared" si="3"/>
        <v>294.19099999999997</v>
      </c>
      <c r="G157" s="437">
        <f t="shared" si="4"/>
        <v>295.17200000000003</v>
      </c>
      <c r="H157" s="437">
        <f t="shared" si="5"/>
        <v>263.72550000000001</v>
      </c>
      <c r="I157" s="437">
        <f t="shared" si="6"/>
        <v>289.72199999999998</v>
      </c>
    </row>
    <row r="158" spans="2:9">
      <c r="B158" s="569">
        <v>43922</v>
      </c>
      <c r="C158" s="437">
        <f t="shared" si="0"/>
        <v>376.75850000000003</v>
      </c>
      <c r="D158" s="437">
        <f t="shared" si="1"/>
        <v>381.18299999999999</v>
      </c>
      <c r="E158" s="437">
        <f t="shared" si="2"/>
        <v>327.59949999999998</v>
      </c>
      <c r="F158" s="437">
        <f t="shared" si="3"/>
        <v>293.2645</v>
      </c>
      <c r="G158" s="437">
        <f t="shared" si="4"/>
        <v>292.55599999999998</v>
      </c>
      <c r="H158" s="437">
        <f t="shared" si="5"/>
        <v>262.90800000000002</v>
      </c>
      <c r="I158" s="437">
        <f t="shared" si="6"/>
        <v>284.49</v>
      </c>
    </row>
    <row r="159" spans="2:9">
      <c r="B159" s="569">
        <v>43952</v>
      </c>
      <c r="C159" s="437">
        <f t="shared" si="0"/>
        <v>376.97649999999999</v>
      </c>
      <c r="D159" s="437">
        <f t="shared" si="1"/>
        <v>377.85849999999999</v>
      </c>
      <c r="E159" s="437">
        <f t="shared" si="2"/>
        <v>330.815</v>
      </c>
      <c r="F159" s="437">
        <f t="shared" si="3"/>
        <v>292.99200000000002</v>
      </c>
      <c r="G159" s="437">
        <f t="shared" si="4"/>
        <v>293.53699999999998</v>
      </c>
      <c r="H159" s="437">
        <f t="shared" si="5"/>
        <v>260.78250000000003</v>
      </c>
      <c r="I159" s="437">
        <f t="shared" si="6"/>
        <v>282.69150000000002</v>
      </c>
    </row>
    <row r="160" spans="2:9">
      <c r="B160" s="569">
        <v>43983</v>
      </c>
      <c r="C160" s="437">
        <f t="shared" si="0"/>
        <v>376.64949999999999</v>
      </c>
      <c r="D160" s="437">
        <f t="shared" si="1"/>
        <v>379.43900000000002</v>
      </c>
      <c r="E160" s="437">
        <f t="shared" si="2"/>
        <v>330.70600000000002</v>
      </c>
      <c r="F160" s="437">
        <f t="shared" si="3"/>
        <v>287.16050000000001</v>
      </c>
      <c r="G160" s="437">
        <f t="shared" si="4"/>
        <v>289.50400000000002</v>
      </c>
      <c r="H160" s="437">
        <f t="shared" si="5"/>
        <v>260.01949999999999</v>
      </c>
      <c r="I160" s="437">
        <f t="shared" si="6"/>
        <v>283.72699999999998</v>
      </c>
    </row>
    <row r="161" spans="2:9">
      <c r="B161" s="569">
        <v>44013</v>
      </c>
      <c r="C161" s="437">
        <f t="shared" si="0"/>
        <v>378.91272027587888</v>
      </c>
      <c r="D161" s="437">
        <f t="shared" si="1"/>
        <v>380.27982815551775</v>
      </c>
      <c r="E161" s="437">
        <f t="shared" si="2"/>
        <v>331.52350000000001</v>
      </c>
      <c r="F161" s="437">
        <f t="shared" si="3"/>
        <v>286.98931265258801</v>
      </c>
      <c r="G161" s="437">
        <f t="shared" si="4"/>
        <v>290.37599999999998</v>
      </c>
      <c r="H161" s="437">
        <f t="shared" si="5"/>
        <v>260.48231423950193</v>
      </c>
      <c r="I161" s="437">
        <f t="shared" si="6"/>
        <v>292.55599999999998</v>
      </c>
    </row>
    <row r="162" spans="2:9">
      <c r="B162" s="569">
        <v>44044</v>
      </c>
      <c r="C162" s="437">
        <f t="shared" si="0"/>
        <v>372.67099999999999</v>
      </c>
      <c r="D162" s="437">
        <f t="shared" si="1"/>
        <v>379.76600000000002</v>
      </c>
      <c r="E162" s="437">
        <f t="shared" si="2"/>
        <v>331.25099999999998</v>
      </c>
      <c r="F162" s="437">
        <f t="shared" si="3"/>
        <v>285.6345</v>
      </c>
      <c r="G162" s="437">
        <f t="shared" si="4"/>
        <v>295.17200000000003</v>
      </c>
      <c r="H162" s="437">
        <f t="shared" si="5"/>
        <v>260.18299999999999</v>
      </c>
      <c r="I162" s="437">
        <f t="shared" si="6"/>
        <v>293.20999999999998</v>
      </c>
    </row>
    <row r="163" spans="2:9">
      <c r="B163" s="569">
        <v>44075</v>
      </c>
      <c r="C163" s="437">
        <f t="shared" si="0"/>
        <v>367.548</v>
      </c>
      <c r="D163" s="437">
        <f t="shared" si="1"/>
        <v>380.09300000000002</v>
      </c>
      <c r="E163" s="437">
        <f t="shared" si="2"/>
        <v>335.82900000000001</v>
      </c>
      <c r="F163" s="437">
        <f t="shared" si="3"/>
        <v>286.9425</v>
      </c>
      <c r="G163" s="437">
        <f t="shared" si="4"/>
        <v>295.22649999999999</v>
      </c>
      <c r="H163" s="437">
        <f t="shared" si="5"/>
        <v>260.34649999999999</v>
      </c>
      <c r="I163" s="437">
        <f t="shared" si="6"/>
        <v>293.97300000000001</v>
      </c>
    </row>
    <row r="164" spans="2:9">
      <c r="B164" s="569">
        <v>44105</v>
      </c>
      <c r="C164" s="437">
        <f t="shared" si="0"/>
        <v>370.6</v>
      </c>
      <c r="D164" s="437">
        <f t="shared" si="1"/>
        <v>383.14749999999998</v>
      </c>
      <c r="E164" s="437">
        <f t="shared" si="2"/>
        <v>335.55650000000003</v>
      </c>
      <c r="F164" s="437">
        <f t="shared" si="3"/>
        <v>290.1035</v>
      </c>
      <c r="G164" s="437">
        <f t="shared" si="4"/>
        <v>285.798</v>
      </c>
      <c r="H164" s="437">
        <f t="shared" si="5"/>
        <v>260.51</v>
      </c>
      <c r="I164" s="437">
        <f t="shared" si="6"/>
        <v>294.57249999999999</v>
      </c>
    </row>
    <row r="165" spans="2:9">
      <c r="B165" s="569">
        <v>44136</v>
      </c>
      <c r="C165" s="437">
        <f t="shared" si="0"/>
        <v>385.80549999999999</v>
      </c>
      <c r="D165" s="437">
        <f t="shared" si="1"/>
        <v>401.76749999999998</v>
      </c>
      <c r="E165" s="437">
        <f t="shared" si="2"/>
        <v>336.91899999999998</v>
      </c>
      <c r="F165" s="437">
        <f t="shared" si="3"/>
        <v>287.76</v>
      </c>
      <c r="G165" s="437">
        <f t="shared" si="4"/>
        <v>287.32400000000001</v>
      </c>
      <c r="H165" s="437">
        <f t="shared" si="5"/>
        <v>271.6825</v>
      </c>
      <c r="I165" s="437">
        <f t="shared" si="6"/>
        <v>277.73200000000003</v>
      </c>
    </row>
    <row r="166" spans="2:9">
      <c r="B166" s="569">
        <v>44166</v>
      </c>
      <c r="C166" s="437">
        <f t="shared" si="0"/>
        <v>386.89550000000003</v>
      </c>
      <c r="D166" s="437">
        <f t="shared" si="1"/>
        <v>399.36950000000002</v>
      </c>
      <c r="E166" s="437">
        <f t="shared" si="2"/>
        <v>333.649</v>
      </c>
      <c r="F166" s="437">
        <f t="shared" si="3"/>
        <v>288.03250000000003</v>
      </c>
      <c r="G166" s="437">
        <f t="shared" si="4"/>
        <v>285.36200000000002</v>
      </c>
      <c r="H166" s="437">
        <f t="shared" si="5"/>
        <v>274.68</v>
      </c>
      <c r="I166" s="437">
        <f t="shared" si="6"/>
        <v>277.51400000000001</v>
      </c>
    </row>
    <row r="167" spans="2:9">
      <c r="B167" s="569">
        <v>44197</v>
      </c>
      <c r="C167" s="437">
        <f t="shared" si="0"/>
        <v>386.89550000000003</v>
      </c>
      <c r="D167" s="437">
        <f t="shared" si="1"/>
        <v>399.36950000000002</v>
      </c>
      <c r="E167" s="437">
        <f t="shared" si="2"/>
        <v>333.649</v>
      </c>
      <c r="F167" s="437">
        <f t="shared" si="3"/>
        <v>288.03250000000003</v>
      </c>
      <c r="G167" s="437">
        <f t="shared" si="4"/>
        <v>285.36200000000002</v>
      </c>
      <c r="H167" s="437">
        <f t="shared" si="5"/>
        <v>274.68</v>
      </c>
      <c r="I167" s="437">
        <f t="shared" si="6"/>
        <v>277.51400000000001</v>
      </c>
    </row>
    <row r="168" spans="2:9">
      <c r="B168" s="569">
        <v>44228</v>
      </c>
      <c r="C168" s="437">
        <f t="shared" si="0"/>
        <v>386.95</v>
      </c>
      <c r="D168" s="437">
        <f t="shared" si="1"/>
        <v>401.18450000000001</v>
      </c>
      <c r="E168" s="437">
        <f t="shared" si="2"/>
        <v>333.976</v>
      </c>
      <c r="F168" s="437">
        <f t="shared" si="3"/>
        <v>288.14150000000001</v>
      </c>
      <c r="G168" s="437">
        <f t="shared" si="4"/>
        <v>285.08949999999999</v>
      </c>
      <c r="H168" s="437">
        <f t="shared" si="5"/>
        <v>274.84350000000001</v>
      </c>
      <c r="I168" s="437">
        <f t="shared" si="6"/>
        <v>278.22250000000003</v>
      </c>
    </row>
  </sheetData>
  <mergeCells count="7">
    <mergeCell ref="A85:A98"/>
    <mergeCell ref="A71:A84"/>
    <mergeCell ref="A2:A14"/>
    <mergeCell ref="A15:A28"/>
    <mergeCell ref="A29:A42"/>
    <mergeCell ref="A43:A56"/>
    <mergeCell ref="A57:A70"/>
  </mergeCells>
  <pageMargins left="0.7" right="0.7" top="0.75" bottom="0.75" header="0.3" footer="0.3"/>
  <pageSetup paperSize="9" orientation="portrait" r:id="rId1"/>
  <headerFooter>
    <oddFooter>&amp;L&amp;1#&amp;"Calibri"&amp;7&amp;K000000C2 General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E5A2-84AF-4E87-9A94-BBE11C363897}">
  <sheetPr codeName="Sheet23"/>
  <dimension ref="A1"/>
  <sheetViews>
    <sheetView topLeftCell="M10" zoomScale="84" zoomScaleNormal="84" workbookViewId="0">
      <selection activeCell="M10" sqref="M10"/>
    </sheetView>
  </sheetViews>
  <sheetFormatPr defaultColWidth="9.1640625" defaultRowHeight="10.15"/>
  <cols>
    <col min="16" max="16" width="24.1640625" customWidth="1"/>
  </cols>
  <sheetData/>
  <pageMargins left="0.7" right="0.7" top="0.75" bottom="0.75" header="0.3" footer="0.3"/>
  <pageSetup paperSize="9" orientation="portrait" r:id="rId1"/>
  <headerFooter>
    <oddFooter>&amp;L&amp;1#&amp;"Calibri"&amp;7&amp;K000000C2 General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22690-9BCD-4882-B699-6ADAE98BF0A9}">
  <sheetPr codeName="Sheet24"/>
  <dimension ref="A1:K293"/>
  <sheetViews>
    <sheetView topLeftCell="C53" workbookViewId="0">
      <selection activeCell="J57" sqref="J57:J63"/>
    </sheetView>
  </sheetViews>
  <sheetFormatPr defaultColWidth="8.6640625" defaultRowHeight="14.45"/>
  <cols>
    <col min="1" max="1" width="8.6640625" style="667" bestFit="1" customWidth="1"/>
    <col min="2" max="2" width="28.1640625" style="667" bestFit="1" customWidth="1"/>
    <col min="3" max="3" width="53.1640625" style="667" bestFit="1" customWidth="1"/>
    <col min="4" max="4" width="41.5" style="667" bestFit="1" customWidth="1"/>
    <col min="5" max="6" width="10" style="667" bestFit="1" customWidth="1"/>
    <col min="7" max="7" width="11.5" style="667" bestFit="1" customWidth="1"/>
    <col min="8" max="8" width="9.6640625" style="667" bestFit="1" customWidth="1"/>
    <col min="9" max="9" width="29.1640625" style="667" bestFit="1" customWidth="1"/>
    <col min="10" max="10" width="6.5" style="667" bestFit="1" customWidth="1"/>
    <col min="11" max="11" width="57" style="667" bestFit="1" customWidth="1"/>
    <col min="12" max="256" width="9.1640625" style="667"/>
    <col min="257" max="257" width="11.6640625" style="667" customWidth="1"/>
    <col min="258" max="259" width="9.1640625" style="667"/>
    <col min="260" max="260" width="33.5" style="667" customWidth="1"/>
    <col min="261" max="264" width="9.1640625" style="667"/>
    <col min="265" max="265" width="30" style="667" bestFit="1" customWidth="1"/>
    <col min="266" max="266" width="11.6640625" style="667" customWidth="1"/>
    <col min="267" max="267" width="58.1640625" style="667" bestFit="1" customWidth="1"/>
    <col min="268" max="512" width="9.1640625" style="667"/>
    <col min="513" max="513" width="11.6640625" style="667" customWidth="1"/>
    <col min="514" max="515" width="9.1640625" style="667"/>
    <col min="516" max="516" width="33.5" style="667" customWidth="1"/>
    <col min="517" max="520" width="9.1640625" style="667"/>
    <col min="521" max="521" width="30" style="667" bestFit="1" customWidth="1"/>
    <col min="522" max="522" width="11.6640625" style="667" customWidth="1"/>
    <col min="523" max="523" width="58.1640625" style="667" bestFit="1" customWidth="1"/>
    <col min="524" max="768" width="9.1640625" style="667"/>
    <col min="769" max="769" width="11.6640625" style="667" customWidth="1"/>
    <col min="770" max="771" width="9.1640625" style="667"/>
    <col min="772" max="772" width="33.5" style="667" customWidth="1"/>
    <col min="773" max="776" width="9.1640625" style="667"/>
    <col min="777" max="777" width="30" style="667" bestFit="1" customWidth="1"/>
    <col min="778" max="778" width="11.6640625" style="667" customWidth="1"/>
    <col min="779" max="779" width="58.1640625" style="667" bestFit="1" customWidth="1"/>
    <col min="780" max="1024" width="9.1640625" style="667"/>
    <col min="1025" max="1025" width="11.6640625" style="667" customWidth="1"/>
    <col min="1026" max="1027" width="9.1640625" style="667"/>
    <col min="1028" max="1028" width="33.5" style="667" customWidth="1"/>
    <col min="1029" max="1032" width="9.1640625" style="667"/>
    <col min="1033" max="1033" width="30" style="667" bestFit="1" customWidth="1"/>
    <col min="1034" max="1034" width="11.6640625" style="667" customWidth="1"/>
    <col min="1035" max="1035" width="58.1640625" style="667" bestFit="1" customWidth="1"/>
    <col min="1036" max="1280" width="9.1640625" style="667"/>
    <col min="1281" max="1281" width="11.6640625" style="667" customWidth="1"/>
    <col min="1282" max="1283" width="9.1640625" style="667"/>
    <col min="1284" max="1284" width="33.5" style="667" customWidth="1"/>
    <col min="1285" max="1288" width="9.1640625" style="667"/>
    <col min="1289" max="1289" width="30" style="667" bestFit="1" customWidth="1"/>
    <col min="1290" max="1290" width="11.6640625" style="667" customWidth="1"/>
    <col min="1291" max="1291" width="58.1640625" style="667" bestFit="1" customWidth="1"/>
    <col min="1292" max="1536" width="9.1640625" style="667"/>
    <col min="1537" max="1537" width="11.6640625" style="667" customWidth="1"/>
    <col min="1538" max="1539" width="9.1640625" style="667"/>
    <col min="1540" max="1540" width="33.5" style="667" customWidth="1"/>
    <col min="1541" max="1544" width="9.1640625" style="667"/>
    <col min="1545" max="1545" width="30" style="667" bestFit="1" customWidth="1"/>
    <col min="1546" max="1546" width="11.6640625" style="667" customWidth="1"/>
    <col min="1547" max="1547" width="58.1640625" style="667" bestFit="1" customWidth="1"/>
    <col min="1548" max="1792" width="9.1640625" style="667"/>
    <col min="1793" max="1793" width="11.6640625" style="667" customWidth="1"/>
    <col min="1794" max="1795" width="9.1640625" style="667"/>
    <col min="1796" max="1796" width="33.5" style="667" customWidth="1"/>
    <col min="1797" max="1800" width="9.1640625" style="667"/>
    <col min="1801" max="1801" width="30" style="667" bestFit="1" customWidth="1"/>
    <col min="1802" max="1802" width="11.6640625" style="667" customWidth="1"/>
    <col min="1803" max="1803" width="58.1640625" style="667" bestFit="1" customWidth="1"/>
    <col min="1804" max="2048" width="9.1640625" style="667"/>
    <col min="2049" max="2049" width="11.6640625" style="667" customWidth="1"/>
    <col min="2050" max="2051" width="9.1640625" style="667"/>
    <col min="2052" max="2052" width="33.5" style="667" customWidth="1"/>
    <col min="2053" max="2056" width="9.1640625" style="667"/>
    <col min="2057" max="2057" width="30" style="667" bestFit="1" customWidth="1"/>
    <col min="2058" max="2058" width="11.6640625" style="667" customWidth="1"/>
    <col min="2059" max="2059" width="58.1640625" style="667" bestFit="1" customWidth="1"/>
    <col min="2060" max="2304" width="9.1640625" style="667"/>
    <col min="2305" max="2305" width="11.6640625" style="667" customWidth="1"/>
    <col min="2306" max="2307" width="9.1640625" style="667"/>
    <col min="2308" max="2308" width="33.5" style="667" customWidth="1"/>
    <col min="2309" max="2312" width="9.1640625" style="667"/>
    <col min="2313" max="2313" width="30" style="667" bestFit="1" customWidth="1"/>
    <col min="2314" max="2314" width="11.6640625" style="667" customWidth="1"/>
    <col min="2315" max="2315" width="58.1640625" style="667" bestFit="1" customWidth="1"/>
    <col min="2316" max="2560" width="9.1640625" style="667"/>
    <col min="2561" max="2561" width="11.6640625" style="667" customWidth="1"/>
    <col min="2562" max="2563" width="9.1640625" style="667"/>
    <col min="2564" max="2564" width="33.5" style="667" customWidth="1"/>
    <col min="2565" max="2568" width="9.1640625" style="667"/>
    <col min="2569" max="2569" width="30" style="667" bestFit="1" customWidth="1"/>
    <col min="2570" max="2570" width="11.6640625" style="667" customWidth="1"/>
    <col min="2571" max="2571" width="58.1640625" style="667" bestFit="1" customWidth="1"/>
    <col min="2572" max="2816" width="9.1640625" style="667"/>
    <col min="2817" max="2817" width="11.6640625" style="667" customWidth="1"/>
    <col min="2818" max="2819" width="9.1640625" style="667"/>
    <col min="2820" max="2820" width="33.5" style="667" customWidth="1"/>
    <col min="2821" max="2824" width="9.1640625" style="667"/>
    <col min="2825" max="2825" width="30" style="667" bestFit="1" customWidth="1"/>
    <col min="2826" max="2826" width="11.6640625" style="667" customWidth="1"/>
    <col min="2827" max="2827" width="58.1640625" style="667" bestFit="1" customWidth="1"/>
    <col min="2828" max="3072" width="9.1640625" style="667"/>
    <col min="3073" max="3073" width="11.6640625" style="667" customWidth="1"/>
    <col min="3074" max="3075" width="9.1640625" style="667"/>
    <col min="3076" max="3076" width="33.5" style="667" customWidth="1"/>
    <col min="3077" max="3080" width="9.1640625" style="667"/>
    <col min="3081" max="3081" width="30" style="667" bestFit="1" customWidth="1"/>
    <col min="3082" max="3082" width="11.6640625" style="667" customWidth="1"/>
    <col min="3083" max="3083" width="58.1640625" style="667" bestFit="1" customWidth="1"/>
    <col min="3084" max="3328" width="9.1640625" style="667"/>
    <col min="3329" max="3329" width="11.6640625" style="667" customWidth="1"/>
    <col min="3330" max="3331" width="9.1640625" style="667"/>
    <col min="3332" max="3332" width="33.5" style="667" customWidth="1"/>
    <col min="3333" max="3336" width="9.1640625" style="667"/>
    <col min="3337" max="3337" width="30" style="667" bestFit="1" customWidth="1"/>
    <col min="3338" max="3338" width="11.6640625" style="667" customWidth="1"/>
    <col min="3339" max="3339" width="58.1640625" style="667" bestFit="1" customWidth="1"/>
    <col min="3340" max="3584" width="9.1640625" style="667"/>
    <col min="3585" max="3585" width="11.6640625" style="667" customWidth="1"/>
    <col min="3586" max="3587" width="9.1640625" style="667"/>
    <col min="3588" max="3588" width="33.5" style="667" customWidth="1"/>
    <col min="3589" max="3592" width="9.1640625" style="667"/>
    <col min="3593" max="3593" width="30" style="667" bestFit="1" customWidth="1"/>
    <col min="3594" max="3594" width="11.6640625" style="667" customWidth="1"/>
    <col min="3595" max="3595" width="58.1640625" style="667" bestFit="1" customWidth="1"/>
    <col min="3596" max="3840" width="9.1640625" style="667"/>
    <col min="3841" max="3841" width="11.6640625" style="667" customWidth="1"/>
    <col min="3842" max="3843" width="9.1640625" style="667"/>
    <col min="3844" max="3844" width="33.5" style="667" customWidth="1"/>
    <col min="3845" max="3848" width="9.1640625" style="667"/>
    <col min="3849" max="3849" width="30" style="667" bestFit="1" customWidth="1"/>
    <col min="3850" max="3850" width="11.6640625" style="667" customWidth="1"/>
    <col min="3851" max="3851" width="58.1640625" style="667" bestFit="1" customWidth="1"/>
    <col min="3852" max="4096" width="9.1640625" style="667"/>
    <col min="4097" max="4097" width="11.6640625" style="667" customWidth="1"/>
    <col min="4098" max="4099" width="9.1640625" style="667"/>
    <col min="4100" max="4100" width="33.5" style="667" customWidth="1"/>
    <col min="4101" max="4104" width="9.1640625" style="667"/>
    <col min="4105" max="4105" width="30" style="667" bestFit="1" customWidth="1"/>
    <col min="4106" max="4106" width="11.6640625" style="667" customWidth="1"/>
    <col min="4107" max="4107" width="58.1640625" style="667" bestFit="1" customWidth="1"/>
    <col min="4108" max="4352" width="9.1640625" style="667"/>
    <col min="4353" max="4353" width="11.6640625" style="667" customWidth="1"/>
    <col min="4354" max="4355" width="9.1640625" style="667"/>
    <col min="4356" max="4356" width="33.5" style="667" customWidth="1"/>
    <col min="4357" max="4360" width="9.1640625" style="667"/>
    <col min="4361" max="4361" width="30" style="667" bestFit="1" customWidth="1"/>
    <col min="4362" max="4362" width="11.6640625" style="667" customWidth="1"/>
    <col min="4363" max="4363" width="58.1640625" style="667" bestFit="1" customWidth="1"/>
    <col min="4364" max="4608" width="9.1640625" style="667"/>
    <col min="4609" max="4609" width="11.6640625" style="667" customWidth="1"/>
    <col min="4610" max="4611" width="9.1640625" style="667"/>
    <col min="4612" max="4612" width="33.5" style="667" customWidth="1"/>
    <col min="4613" max="4616" width="9.1640625" style="667"/>
    <col min="4617" max="4617" width="30" style="667" bestFit="1" customWidth="1"/>
    <col min="4618" max="4618" width="11.6640625" style="667" customWidth="1"/>
    <col min="4619" max="4619" width="58.1640625" style="667" bestFit="1" customWidth="1"/>
    <col min="4620" max="4864" width="9.1640625" style="667"/>
    <col min="4865" max="4865" width="11.6640625" style="667" customWidth="1"/>
    <col min="4866" max="4867" width="9.1640625" style="667"/>
    <col min="4868" max="4868" width="33.5" style="667" customWidth="1"/>
    <col min="4869" max="4872" width="9.1640625" style="667"/>
    <col min="4873" max="4873" width="30" style="667" bestFit="1" customWidth="1"/>
    <col min="4874" max="4874" width="11.6640625" style="667" customWidth="1"/>
    <col min="4875" max="4875" width="58.1640625" style="667" bestFit="1" customWidth="1"/>
    <col min="4876" max="5120" width="9.1640625" style="667"/>
    <col min="5121" max="5121" width="11.6640625" style="667" customWidth="1"/>
    <col min="5122" max="5123" width="9.1640625" style="667"/>
    <col min="5124" max="5124" width="33.5" style="667" customWidth="1"/>
    <col min="5125" max="5128" width="9.1640625" style="667"/>
    <col min="5129" max="5129" width="30" style="667" bestFit="1" customWidth="1"/>
    <col min="5130" max="5130" width="11.6640625" style="667" customWidth="1"/>
    <col min="5131" max="5131" width="58.1640625" style="667" bestFit="1" customWidth="1"/>
    <col min="5132" max="5376" width="9.1640625" style="667"/>
    <col min="5377" max="5377" width="11.6640625" style="667" customWidth="1"/>
    <col min="5378" max="5379" width="9.1640625" style="667"/>
    <col min="5380" max="5380" width="33.5" style="667" customWidth="1"/>
    <col min="5381" max="5384" width="9.1640625" style="667"/>
    <col min="5385" max="5385" width="30" style="667" bestFit="1" customWidth="1"/>
    <col min="5386" max="5386" width="11.6640625" style="667" customWidth="1"/>
    <col min="5387" max="5387" width="58.1640625" style="667" bestFit="1" customWidth="1"/>
    <col min="5388" max="5632" width="9.1640625" style="667"/>
    <col min="5633" max="5633" width="11.6640625" style="667" customWidth="1"/>
    <col min="5634" max="5635" width="9.1640625" style="667"/>
    <col min="5636" max="5636" width="33.5" style="667" customWidth="1"/>
    <col min="5637" max="5640" width="9.1640625" style="667"/>
    <col min="5641" max="5641" width="30" style="667" bestFit="1" customWidth="1"/>
    <col min="5642" max="5642" width="11.6640625" style="667" customWidth="1"/>
    <col min="5643" max="5643" width="58.1640625" style="667" bestFit="1" customWidth="1"/>
    <col min="5644" max="5888" width="9.1640625" style="667"/>
    <col min="5889" max="5889" width="11.6640625" style="667" customWidth="1"/>
    <col min="5890" max="5891" width="9.1640625" style="667"/>
    <col min="5892" max="5892" width="33.5" style="667" customWidth="1"/>
    <col min="5893" max="5896" width="9.1640625" style="667"/>
    <col min="5897" max="5897" width="30" style="667" bestFit="1" customWidth="1"/>
    <col min="5898" max="5898" width="11.6640625" style="667" customWidth="1"/>
    <col min="5899" max="5899" width="58.1640625" style="667" bestFit="1" customWidth="1"/>
    <col min="5900" max="6144" width="9.1640625" style="667"/>
    <col min="6145" max="6145" width="11.6640625" style="667" customWidth="1"/>
    <col min="6146" max="6147" width="9.1640625" style="667"/>
    <col min="6148" max="6148" width="33.5" style="667" customWidth="1"/>
    <col min="6149" max="6152" width="9.1640625" style="667"/>
    <col min="6153" max="6153" width="30" style="667" bestFit="1" customWidth="1"/>
    <col min="6154" max="6154" width="11.6640625" style="667" customWidth="1"/>
    <col min="6155" max="6155" width="58.1640625" style="667" bestFit="1" customWidth="1"/>
    <col min="6156" max="6400" width="9.1640625" style="667"/>
    <col min="6401" max="6401" width="11.6640625" style="667" customWidth="1"/>
    <col min="6402" max="6403" width="9.1640625" style="667"/>
    <col min="6404" max="6404" width="33.5" style="667" customWidth="1"/>
    <col min="6405" max="6408" width="9.1640625" style="667"/>
    <col min="6409" max="6409" width="30" style="667" bestFit="1" customWidth="1"/>
    <col min="6410" max="6410" width="11.6640625" style="667" customWidth="1"/>
    <col min="6411" max="6411" width="58.1640625" style="667" bestFit="1" customWidth="1"/>
    <col min="6412" max="6656" width="9.1640625" style="667"/>
    <col min="6657" max="6657" width="11.6640625" style="667" customWidth="1"/>
    <col min="6658" max="6659" width="9.1640625" style="667"/>
    <col min="6660" max="6660" width="33.5" style="667" customWidth="1"/>
    <col min="6661" max="6664" width="9.1640625" style="667"/>
    <col min="6665" max="6665" width="30" style="667" bestFit="1" customWidth="1"/>
    <col min="6666" max="6666" width="11.6640625" style="667" customWidth="1"/>
    <col min="6667" max="6667" width="58.1640625" style="667" bestFit="1" customWidth="1"/>
    <col min="6668" max="6912" width="9.1640625" style="667"/>
    <col min="6913" max="6913" width="11.6640625" style="667" customWidth="1"/>
    <col min="6914" max="6915" width="9.1640625" style="667"/>
    <col min="6916" max="6916" width="33.5" style="667" customWidth="1"/>
    <col min="6917" max="6920" width="9.1640625" style="667"/>
    <col min="6921" max="6921" width="30" style="667" bestFit="1" customWidth="1"/>
    <col min="6922" max="6922" width="11.6640625" style="667" customWidth="1"/>
    <col min="6923" max="6923" width="58.1640625" style="667" bestFit="1" customWidth="1"/>
    <col min="6924" max="7168" width="9.1640625" style="667"/>
    <col min="7169" max="7169" width="11.6640625" style="667" customWidth="1"/>
    <col min="7170" max="7171" width="9.1640625" style="667"/>
    <col min="7172" max="7172" width="33.5" style="667" customWidth="1"/>
    <col min="7173" max="7176" width="9.1640625" style="667"/>
    <col min="7177" max="7177" width="30" style="667" bestFit="1" customWidth="1"/>
    <col min="7178" max="7178" width="11.6640625" style="667" customWidth="1"/>
    <col min="7179" max="7179" width="58.1640625" style="667" bestFit="1" customWidth="1"/>
    <col min="7180" max="7424" width="9.1640625" style="667"/>
    <col min="7425" max="7425" width="11.6640625" style="667" customWidth="1"/>
    <col min="7426" max="7427" width="9.1640625" style="667"/>
    <col min="7428" max="7428" width="33.5" style="667" customWidth="1"/>
    <col min="7429" max="7432" width="9.1640625" style="667"/>
    <col min="7433" max="7433" width="30" style="667" bestFit="1" customWidth="1"/>
    <col min="7434" max="7434" width="11.6640625" style="667" customWidth="1"/>
    <col min="7435" max="7435" width="58.1640625" style="667" bestFit="1" customWidth="1"/>
    <col min="7436" max="7680" width="9.1640625" style="667"/>
    <col min="7681" max="7681" width="11.6640625" style="667" customWidth="1"/>
    <col min="7682" max="7683" width="9.1640625" style="667"/>
    <col min="7684" max="7684" width="33.5" style="667" customWidth="1"/>
    <col min="7685" max="7688" width="9.1640625" style="667"/>
    <col min="7689" max="7689" width="30" style="667" bestFit="1" customWidth="1"/>
    <col min="7690" max="7690" width="11.6640625" style="667" customWidth="1"/>
    <col min="7691" max="7691" width="58.1640625" style="667" bestFit="1" customWidth="1"/>
    <col min="7692" max="7936" width="9.1640625" style="667"/>
    <col min="7937" max="7937" width="11.6640625" style="667" customWidth="1"/>
    <col min="7938" max="7939" width="9.1640625" style="667"/>
    <col min="7940" max="7940" width="33.5" style="667" customWidth="1"/>
    <col min="7941" max="7944" width="9.1640625" style="667"/>
    <col min="7945" max="7945" width="30" style="667" bestFit="1" customWidth="1"/>
    <col min="7946" max="7946" width="11.6640625" style="667" customWidth="1"/>
    <col min="7947" max="7947" width="58.1640625" style="667" bestFit="1" customWidth="1"/>
    <col min="7948" max="8192" width="9.1640625" style="667"/>
    <col min="8193" max="8193" width="11.6640625" style="667" customWidth="1"/>
    <col min="8194" max="8195" width="9.1640625" style="667"/>
    <col min="8196" max="8196" width="33.5" style="667" customWidth="1"/>
    <col min="8197" max="8200" width="9.1640625" style="667"/>
    <col min="8201" max="8201" width="30" style="667" bestFit="1" customWidth="1"/>
    <col min="8202" max="8202" width="11.6640625" style="667" customWidth="1"/>
    <col min="8203" max="8203" width="58.1640625" style="667" bestFit="1" customWidth="1"/>
    <col min="8204" max="8448" width="9.1640625" style="667"/>
    <col min="8449" max="8449" width="11.6640625" style="667" customWidth="1"/>
    <col min="8450" max="8451" width="9.1640625" style="667"/>
    <col min="8452" max="8452" width="33.5" style="667" customWidth="1"/>
    <col min="8453" max="8456" width="9.1640625" style="667"/>
    <col min="8457" max="8457" width="30" style="667" bestFit="1" customWidth="1"/>
    <col min="8458" max="8458" width="11.6640625" style="667" customWidth="1"/>
    <col min="8459" max="8459" width="58.1640625" style="667" bestFit="1" customWidth="1"/>
    <col min="8460" max="8704" width="9.1640625" style="667"/>
    <col min="8705" max="8705" width="11.6640625" style="667" customWidth="1"/>
    <col min="8706" max="8707" width="9.1640625" style="667"/>
    <col min="8708" max="8708" width="33.5" style="667" customWidth="1"/>
    <col min="8709" max="8712" width="9.1640625" style="667"/>
    <col min="8713" max="8713" width="30" style="667" bestFit="1" customWidth="1"/>
    <col min="8714" max="8714" width="11.6640625" style="667" customWidth="1"/>
    <col min="8715" max="8715" width="58.1640625" style="667" bestFit="1" customWidth="1"/>
    <col min="8716" max="8960" width="9.1640625" style="667"/>
    <col min="8961" max="8961" width="11.6640625" style="667" customWidth="1"/>
    <col min="8962" max="8963" width="9.1640625" style="667"/>
    <col min="8964" max="8964" width="33.5" style="667" customWidth="1"/>
    <col min="8965" max="8968" width="9.1640625" style="667"/>
    <col min="8969" max="8969" width="30" style="667" bestFit="1" customWidth="1"/>
    <col min="8970" max="8970" width="11.6640625" style="667" customWidth="1"/>
    <col min="8971" max="8971" width="58.1640625" style="667" bestFit="1" customWidth="1"/>
    <col min="8972" max="9216" width="9.1640625" style="667"/>
    <col min="9217" max="9217" width="11.6640625" style="667" customWidth="1"/>
    <col min="9218" max="9219" width="9.1640625" style="667"/>
    <col min="9220" max="9220" width="33.5" style="667" customWidth="1"/>
    <col min="9221" max="9224" width="9.1640625" style="667"/>
    <col min="9225" max="9225" width="30" style="667" bestFit="1" customWidth="1"/>
    <col min="9226" max="9226" width="11.6640625" style="667" customWidth="1"/>
    <col min="9227" max="9227" width="58.1640625" style="667" bestFit="1" customWidth="1"/>
    <col min="9228" max="9472" width="9.1640625" style="667"/>
    <col min="9473" max="9473" width="11.6640625" style="667" customWidth="1"/>
    <col min="9474" max="9475" width="9.1640625" style="667"/>
    <col min="9476" max="9476" width="33.5" style="667" customWidth="1"/>
    <col min="9477" max="9480" width="9.1640625" style="667"/>
    <col min="9481" max="9481" width="30" style="667" bestFit="1" customWidth="1"/>
    <col min="9482" max="9482" width="11.6640625" style="667" customWidth="1"/>
    <col min="9483" max="9483" width="58.1640625" style="667" bestFit="1" customWidth="1"/>
    <col min="9484" max="9728" width="9.1640625" style="667"/>
    <col min="9729" max="9729" width="11.6640625" style="667" customWidth="1"/>
    <col min="9730" max="9731" width="9.1640625" style="667"/>
    <col min="9732" max="9732" width="33.5" style="667" customWidth="1"/>
    <col min="9733" max="9736" width="9.1640625" style="667"/>
    <col min="9737" max="9737" width="30" style="667" bestFit="1" customWidth="1"/>
    <col min="9738" max="9738" width="11.6640625" style="667" customWidth="1"/>
    <col min="9739" max="9739" width="58.1640625" style="667" bestFit="1" customWidth="1"/>
    <col min="9740" max="9984" width="9.1640625" style="667"/>
    <col min="9985" max="9985" width="11.6640625" style="667" customWidth="1"/>
    <col min="9986" max="9987" width="9.1640625" style="667"/>
    <col min="9988" max="9988" width="33.5" style="667" customWidth="1"/>
    <col min="9989" max="9992" width="9.1640625" style="667"/>
    <col min="9993" max="9993" width="30" style="667" bestFit="1" customWidth="1"/>
    <col min="9994" max="9994" width="11.6640625" style="667" customWidth="1"/>
    <col min="9995" max="9995" width="58.1640625" style="667" bestFit="1" customWidth="1"/>
    <col min="9996" max="10240" width="9.1640625" style="667"/>
    <col min="10241" max="10241" width="11.6640625" style="667" customWidth="1"/>
    <col min="10242" max="10243" width="9.1640625" style="667"/>
    <col min="10244" max="10244" width="33.5" style="667" customWidth="1"/>
    <col min="10245" max="10248" width="9.1640625" style="667"/>
    <col min="10249" max="10249" width="30" style="667" bestFit="1" customWidth="1"/>
    <col min="10250" max="10250" width="11.6640625" style="667" customWidth="1"/>
    <col min="10251" max="10251" width="58.1640625" style="667" bestFit="1" customWidth="1"/>
    <col min="10252" max="10496" width="9.1640625" style="667"/>
    <col min="10497" max="10497" width="11.6640625" style="667" customWidth="1"/>
    <col min="10498" max="10499" width="9.1640625" style="667"/>
    <col min="10500" max="10500" width="33.5" style="667" customWidth="1"/>
    <col min="10501" max="10504" width="9.1640625" style="667"/>
    <col min="10505" max="10505" width="30" style="667" bestFit="1" customWidth="1"/>
    <col min="10506" max="10506" width="11.6640625" style="667" customWidth="1"/>
    <col min="10507" max="10507" width="58.1640625" style="667" bestFit="1" customWidth="1"/>
    <col min="10508" max="10752" width="9.1640625" style="667"/>
    <col min="10753" max="10753" width="11.6640625" style="667" customWidth="1"/>
    <col min="10754" max="10755" width="9.1640625" style="667"/>
    <col min="10756" max="10756" width="33.5" style="667" customWidth="1"/>
    <col min="10757" max="10760" width="9.1640625" style="667"/>
    <col min="10761" max="10761" width="30" style="667" bestFit="1" customWidth="1"/>
    <col min="10762" max="10762" width="11.6640625" style="667" customWidth="1"/>
    <col min="10763" max="10763" width="58.1640625" style="667" bestFit="1" customWidth="1"/>
    <col min="10764" max="11008" width="9.1640625" style="667"/>
    <col min="11009" max="11009" width="11.6640625" style="667" customWidth="1"/>
    <col min="11010" max="11011" width="9.1640625" style="667"/>
    <col min="11012" max="11012" width="33.5" style="667" customWidth="1"/>
    <col min="11013" max="11016" width="9.1640625" style="667"/>
    <col min="11017" max="11017" width="30" style="667" bestFit="1" customWidth="1"/>
    <col min="11018" max="11018" width="11.6640625" style="667" customWidth="1"/>
    <col min="11019" max="11019" width="58.1640625" style="667" bestFit="1" customWidth="1"/>
    <col min="11020" max="11264" width="9.1640625" style="667"/>
    <col min="11265" max="11265" width="11.6640625" style="667" customWidth="1"/>
    <col min="11266" max="11267" width="9.1640625" style="667"/>
    <col min="11268" max="11268" width="33.5" style="667" customWidth="1"/>
    <col min="11269" max="11272" width="9.1640625" style="667"/>
    <col min="11273" max="11273" width="30" style="667" bestFit="1" customWidth="1"/>
    <col min="11274" max="11274" width="11.6640625" style="667" customWidth="1"/>
    <col min="11275" max="11275" width="58.1640625" style="667" bestFit="1" customWidth="1"/>
    <col min="11276" max="11520" width="9.1640625" style="667"/>
    <col min="11521" max="11521" width="11.6640625" style="667" customWidth="1"/>
    <col min="11522" max="11523" width="9.1640625" style="667"/>
    <col min="11524" max="11524" width="33.5" style="667" customWidth="1"/>
    <col min="11525" max="11528" width="9.1640625" style="667"/>
    <col min="11529" max="11529" width="30" style="667" bestFit="1" customWidth="1"/>
    <col min="11530" max="11530" width="11.6640625" style="667" customWidth="1"/>
    <col min="11531" max="11531" width="58.1640625" style="667" bestFit="1" customWidth="1"/>
    <col min="11532" max="11776" width="9.1640625" style="667"/>
    <col min="11777" max="11777" width="11.6640625" style="667" customWidth="1"/>
    <col min="11778" max="11779" width="9.1640625" style="667"/>
    <col min="11780" max="11780" width="33.5" style="667" customWidth="1"/>
    <col min="11781" max="11784" width="9.1640625" style="667"/>
    <col min="11785" max="11785" width="30" style="667" bestFit="1" customWidth="1"/>
    <col min="11786" max="11786" width="11.6640625" style="667" customWidth="1"/>
    <col min="11787" max="11787" width="58.1640625" style="667" bestFit="1" customWidth="1"/>
    <col min="11788" max="12032" width="9.1640625" style="667"/>
    <col min="12033" max="12033" width="11.6640625" style="667" customWidth="1"/>
    <col min="12034" max="12035" width="9.1640625" style="667"/>
    <col min="12036" max="12036" width="33.5" style="667" customWidth="1"/>
    <col min="12037" max="12040" width="9.1640625" style="667"/>
    <col min="12041" max="12041" width="30" style="667" bestFit="1" customWidth="1"/>
    <col min="12042" max="12042" width="11.6640625" style="667" customWidth="1"/>
    <col min="12043" max="12043" width="58.1640625" style="667" bestFit="1" customWidth="1"/>
    <col min="12044" max="12288" width="9.1640625" style="667"/>
    <col min="12289" max="12289" width="11.6640625" style="667" customWidth="1"/>
    <col min="12290" max="12291" width="9.1640625" style="667"/>
    <col min="12292" max="12292" width="33.5" style="667" customWidth="1"/>
    <col min="12293" max="12296" width="9.1640625" style="667"/>
    <col min="12297" max="12297" width="30" style="667" bestFit="1" customWidth="1"/>
    <col min="12298" max="12298" width="11.6640625" style="667" customWidth="1"/>
    <col min="12299" max="12299" width="58.1640625" style="667" bestFit="1" customWidth="1"/>
    <col min="12300" max="12544" width="9.1640625" style="667"/>
    <col min="12545" max="12545" width="11.6640625" style="667" customWidth="1"/>
    <col min="12546" max="12547" width="9.1640625" style="667"/>
    <col min="12548" max="12548" width="33.5" style="667" customWidth="1"/>
    <col min="12549" max="12552" width="9.1640625" style="667"/>
    <col min="12553" max="12553" width="30" style="667" bestFit="1" customWidth="1"/>
    <col min="12554" max="12554" width="11.6640625" style="667" customWidth="1"/>
    <col min="12555" max="12555" width="58.1640625" style="667" bestFit="1" customWidth="1"/>
    <col min="12556" max="12800" width="9.1640625" style="667"/>
    <col min="12801" max="12801" width="11.6640625" style="667" customWidth="1"/>
    <col min="12802" max="12803" width="9.1640625" style="667"/>
    <col min="12804" max="12804" width="33.5" style="667" customWidth="1"/>
    <col min="12805" max="12808" width="9.1640625" style="667"/>
    <col min="12809" max="12809" width="30" style="667" bestFit="1" customWidth="1"/>
    <col min="12810" max="12810" width="11.6640625" style="667" customWidth="1"/>
    <col min="12811" max="12811" width="58.1640625" style="667" bestFit="1" customWidth="1"/>
    <col min="12812" max="13056" width="9.1640625" style="667"/>
    <col min="13057" max="13057" width="11.6640625" style="667" customWidth="1"/>
    <col min="13058" max="13059" width="9.1640625" style="667"/>
    <col min="13060" max="13060" width="33.5" style="667" customWidth="1"/>
    <col min="13061" max="13064" width="9.1640625" style="667"/>
    <col min="13065" max="13065" width="30" style="667" bestFit="1" customWidth="1"/>
    <col min="13066" max="13066" width="11.6640625" style="667" customWidth="1"/>
    <col min="13067" max="13067" width="58.1640625" style="667" bestFit="1" customWidth="1"/>
    <col min="13068" max="13312" width="9.1640625" style="667"/>
    <col min="13313" max="13313" width="11.6640625" style="667" customWidth="1"/>
    <col min="13314" max="13315" width="9.1640625" style="667"/>
    <col min="13316" max="13316" width="33.5" style="667" customWidth="1"/>
    <col min="13317" max="13320" width="9.1640625" style="667"/>
    <col min="13321" max="13321" width="30" style="667" bestFit="1" customWidth="1"/>
    <col min="13322" max="13322" width="11.6640625" style="667" customWidth="1"/>
    <col min="13323" max="13323" width="58.1640625" style="667" bestFit="1" customWidth="1"/>
    <col min="13324" max="13568" width="9.1640625" style="667"/>
    <col min="13569" max="13569" width="11.6640625" style="667" customWidth="1"/>
    <col min="13570" max="13571" width="9.1640625" style="667"/>
    <col min="13572" max="13572" width="33.5" style="667" customWidth="1"/>
    <col min="13573" max="13576" width="9.1640625" style="667"/>
    <col min="13577" max="13577" width="30" style="667" bestFit="1" customWidth="1"/>
    <col min="13578" max="13578" width="11.6640625" style="667" customWidth="1"/>
    <col min="13579" max="13579" width="58.1640625" style="667" bestFit="1" customWidth="1"/>
    <col min="13580" max="13824" width="9.1640625" style="667"/>
    <col min="13825" max="13825" width="11.6640625" style="667" customWidth="1"/>
    <col min="13826" max="13827" width="9.1640625" style="667"/>
    <col min="13828" max="13828" width="33.5" style="667" customWidth="1"/>
    <col min="13829" max="13832" width="9.1640625" style="667"/>
    <col min="13833" max="13833" width="30" style="667" bestFit="1" customWidth="1"/>
    <col min="13834" max="13834" width="11.6640625" style="667" customWidth="1"/>
    <col min="13835" max="13835" width="58.1640625" style="667" bestFit="1" customWidth="1"/>
    <col min="13836" max="14080" width="9.1640625" style="667"/>
    <col min="14081" max="14081" width="11.6640625" style="667" customWidth="1"/>
    <col min="14082" max="14083" width="9.1640625" style="667"/>
    <col min="14084" max="14084" width="33.5" style="667" customWidth="1"/>
    <col min="14085" max="14088" width="9.1640625" style="667"/>
    <col min="14089" max="14089" width="30" style="667" bestFit="1" customWidth="1"/>
    <col min="14090" max="14090" width="11.6640625" style="667" customWidth="1"/>
    <col min="14091" max="14091" width="58.1640625" style="667" bestFit="1" customWidth="1"/>
    <col min="14092" max="14336" width="9.1640625" style="667"/>
    <col min="14337" max="14337" width="11.6640625" style="667" customWidth="1"/>
    <col min="14338" max="14339" width="9.1640625" style="667"/>
    <col min="14340" max="14340" width="33.5" style="667" customWidth="1"/>
    <col min="14341" max="14344" width="9.1640625" style="667"/>
    <col min="14345" max="14345" width="30" style="667" bestFit="1" customWidth="1"/>
    <col min="14346" max="14346" width="11.6640625" style="667" customWidth="1"/>
    <col min="14347" max="14347" width="58.1640625" style="667" bestFit="1" customWidth="1"/>
    <col min="14348" max="14592" width="9.1640625" style="667"/>
    <col min="14593" max="14593" width="11.6640625" style="667" customWidth="1"/>
    <col min="14594" max="14595" width="9.1640625" style="667"/>
    <col min="14596" max="14596" width="33.5" style="667" customWidth="1"/>
    <col min="14597" max="14600" width="9.1640625" style="667"/>
    <col min="14601" max="14601" width="30" style="667" bestFit="1" customWidth="1"/>
    <col min="14602" max="14602" width="11.6640625" style="667" customWidth="1"/>
    <col min="14603" max="14603" width="58.1640625" style="667" bestFit="1" customWidth="1"/>
    <col min="14604" max="14848" width="9.1640625" style="667"/>
    <col min="14849" max="14849" width="11.6640625" style="667" customWidth="1"/>
    <col min="14850" max="14851" width="9.1640625" style="667"/>
    <col min="14852" max="14852" width="33.5" style="667" customWidth="1"/>
    <col min="14853" max="14856" width="9.1640625" style="667"/>
    <col min="14857" max="14857" width="30" style="667" bestFit="1" customWidth="1"/>
    <col min="14858" max="14858" width="11.6640625" style="667" customWidth="1"/>
    <col min="14859" max="14859" width="58.1640625" style="667" bestFit="1" customWidth="1"/>
    <col min="14860" max="15104" width="9.1640625" style="667"/>
    <col min="15105" max="15105" width="11.6640625" style="667" customWidth="1"/>
    <col min="15106" max="15107" width="9.1640625" style="667"/>
    <col min="15108" max="15108" width="33.5" style="667" customWidth="1"/>
    <col min="15109" max="15112" width="9.1640625" style="667"/>
    <col min="15113" max="15113" width="30" style="667" bestFit="1" customWidth="1"/>
    <col min="15114" max="15114" width="11.6640625" style="667" customWidth="1"/>
    <col min="15115" max="15115" width="58.1640625" style="667" bestFit="1" customWidth="1"/>
    <col min="15116" max="15360" width="9.1640625" style="667"/>
    <col min="15361" max="15361" width="11.6640625" style="667" customWidth="1"/>
    <col min="15362" max="15363" width="9.1640625" style="667"/>
    <col min="15364" max="15364" width="33.5" style="667" customWidth="1"/>
    <col min="15365" max="15368" width="9.1640625" style="667"/>
    <col min="15369" max="15369" width="30" style="667" bestFit="1" customWidth="1"/>
    <col min="15370" max="15370" width="11.6640625" style="667" customWidth="1"/>
    <col min="15371" max="15371" width="58.1640625" style="667" bestFit="1" customWidth="1"/>
    <col min="15372" max="15616" width="9.1640625" style="667"/>
    <col min="15617" max="15617" width="11.6640625" style="667" customWidth="1"/>
    <col min="15618" max="15619" width="9.1640625" style="667"/>
    <col min="15620" max="15620" width="33.5" style="667" customWidth="1"/>
    <col min="15621" max="15624" width="9.1640625" style="667"/>
    <col min="15625" max="15625" width="30" style="667" bestFit="1" customWidth="1"/>
    <col min="15626" max="15626" width="11.6640625" style="667" customWidth="1"/>
    <col min="15627" max="15627" width="58.1640625" style="667" bestFit="1" customWidth="1"/>
    <col min="15628" max="15872" width="9.1640625" style="667"/>
    <col min="15873" max="15873" width="11.6640625" style="667" customWidth="1"/>
    <col min="15874" max="15875" width="9.1640625" style="667"/>
    <col min="15876" max="15876" width="33.5" style="667" customWidth="1"/>
    <col min="15877" max="15880" width="9.1640625" style="667"/>
    <col min="15881" max="15881" width="30" style="667" bestFit="1" customWidth="1"/>
    <col min="15882" max="15882" width="11.6640625" style="667" customWidth="1"/>
    <col min="15883" max="15883" width="58.1640625" style="667" bestFit="1" customWidth="1"/>
    <col min="15884" max="16128" width="9.1640625" style="667"/>
    <col min="16129" max="16129" width="11.6640625" style="667" customWidth="1"/>
    <col min="16130" max="16131" width="9.1640625" style="667"/>
    <col min="16132" max="16132" width="33.5" style="667" customWidth="1"/>
    <col min="16133" max="16136" width="9.1640625" style="667"/>
    <col min="16137" max="16137" width="30" style="667" bestFit="1" customWidth="1"/>
    <col min="16138" max="16138" width="11.6640625" style="667" customWidth="1"/>
    <col min="16139" max="16139" width="58.1640625" style="667" bestFit="1" customWidth="1"/>
    <col min="16140" max="16384" width="9.1640625" style="667"/>
  </cols>
  <sheetData>
    <row r="1" spans="1:11">
      <c r="A1" s="667" t="s">
        <v>777</v>
      </c>
      <c r="B1" s="667" t="s">
        <v>778</v>
      </c>
      <c r="C1" s="667" t="s">
        <v>779</v>
      </c>
      <c r="D1" s="667" t="s">
        <v>780</v>
      </c>
      <c r="E1" s="667" t="s">
        <v>781</v>
      </c>
      <c r="F1" s="667" t="s">
        <v>782</v>
      </c>
      <c r="G1" s="667" t="s">
        <v>343</v>
      </c>
      <c r="H1" s="667" t="s">
        <v>783</v>
      </c>
      <c r="I1" s="667" t="s">
        <v>784</v>
      </c>
      <c r="J1" s="667" t="s">
        <v>785</v>
      </c>
      <c r="K1" s="668" t="s">
        <v>786</v>
      </c>
    </row>
    <row r="2" spans="1:11">
      <c r="A2" s="667" t="s">
        <v>787</v>
      </c>
      <c r="B2" s="667" t="s">
        <v>788</v>
      </c>
      <c r="C2" s="667" t="s">
        <v>789</v>
      </c>
      <c r="D2" s="667" t="s">
        <v>790</v>
      </c>
      <c r="E2" s="667" t="s">
        <v>791</v>
      </c>
      <c r="F2" s="667" t="s">
        <v>792</v>
      </c>
      <c r="G2" s="667" t="s">
        <v>793</v>
      </c>
      <c r="H2" s="667">
        <v>61854</v>
      </c>
      <c r="I2" s="667" t="s">
        <v>794</v>
      </c>
      <c r="J2" s="667">
        <v>80</v>
      </c>
    </row>
    <row r="3" spans="1:11">
      <c r="A3" s="667" t="s">
        <v>787</v>
      </c>
      <c r="B3" s="667" t="s">
        <v>795</v>
      </c>
      <c r="C3" s="667" t="s">
        <v>796</v>
      </c>
      <c r="D3" s="667" t="s">
        <v>790</v>
      </c>
      <c r="E3" s="667" t="s">
        <v>791</v>
      </c>
      <c r="F3" s="667" t="s">
        <v>792</v>
      </c>
      <c r="G3" s="667" t="s">
        <v>793</v>
      </c>
      <c r="H3" s="667">
        <v>61850</v>
      </c>
      <c r="I3" s="667" t="s">
        <v>797</v>
      </c>
      <c r="J3" s="667">
        <v>80</v>
      </c>
      <c r="K3" s="491" t="s">
        <v>798</v>
      </c>
    </row>
    <row r="4" spans="1:11">
      <c r="A4" s="667" t="s">
        <v>787</v>
      </c>
      <c r="B4" s="667" t="s">
        <v>799</v>
      </c>
      <c r="C4" s="667" t="s">
        <v>800</v>
      </c>
      <c r="D4" s="667" t="s">
        <v>790</v>
      </c>
      <c r="E4" s="667" t="s">
        <v>791</v>
      </c>
      <c r="F4" s="667" t="s">
        <v>792</v>
      </c>
      <c r="G4" s="667" t="s">
        <v>793</v>
      </c>
      <c r="H4" s="667">
        <v>61851</v>
      </c>
      <c r="I4" s="667" t="s">
        <v>801</v>
      </c>
      <c r="J4" s="667">
        <v>80</v>
      </c>
    </row>
    <row r="5" spans="1:11">
      <c r="A5" s="667" t="s">
        <v>787</v>
      </c>
      <c r="B5" s="667" t="s">
        <v>802</v>
      </c>
      <c r="C5" s="667" t="s">
        <v>803</v>
      </c>
      <c r="D5" s="667" t="s">
        <v>790</v>
      </c>
      <c r="E5" s="667" t="s">
        <v>791</v>
      </c>
      <c r="F5" s="667" t="s">
        <v>792</v>
      </c>
      <c r="G5" s="667" t="s">
        <v>793</v>
      </c>
      <c r="H5" s="667">
        <v>61852</v>
      </c>
      <c r="I5" s="667" t="s">
        <v>801</v>
      </c>
      <c r="J5" s="667">
        <v>80</v>
      </c>
    </row>
    <row r="6" spans="1:11">
      <c r="A6" s="667" t="s">
        <v>787</v>
      </c>
      <c r="B6" s="667" t="s">
        <v>804</v>
      </c>
      <c r="C6" s="667" t="s">
        <v>805</v>
      </c>
      <c r="D6" s="667" t="s">
        <v>790</v>
      </c>
      <c r="E6" s="667" t="s">
        <v>791</v>
      </c>
      <c r="F6" s="667" t="s">
        <v>792</v>
      </c>
      <c r="G6" s="667" t="s">
        <v>793</v>
      </c>
      <c r="H6" s="667">
        <v>61855</v>
      </c>
      <c r="I6" s="667" t="s">
        <v>794</v>
      </c>
      <c r="J6" s="667">
        <v>80</v>
      </c>
    </row>
    <row r="7" spans="1:11">
      <c r="A7" s="667" t="s">
        <v>787</v>
      </c>
      <c r="B7" s="667" t="s">
        <v>806</v>
      </c>
      <c r="C7" s="667" t="s">
        <v>807</v>
      </c>
      <c r="D7" s="667" t="s">
        <v>808</v>
      </c>
      <c r="E7" s="667" t="s">
        <v>791</v>
      </c>
      <c r="F7" s="667" t="s">
        <v>792</v>
      </c>
      <c r="G7" s="667" t="s">
        <v>793</v>
      </c>
      <c r="H7" s="667">
        <v>52922</v>
      </c>
      <c r="I7" s="667" t="s">
        <v>809</v>
      </c>
      <c r="J7" s="667">
        <v>6</v>
      </c>
    </row>
    <row r="8" spans="1:11">
      <c r="A8" s="667" t="s">
        <v>787</v>
      </c>
      <c r="B8" s="667" t="s">
        <v>810</v>
      </c>
      <c r="C8" s="667" t="s">
        <v>811</v>
      </c>
      <c r="D8" s="667" t="s">
        <v>808</v>
      </c>
      <c r="E8" s="667" t="s">
        <v>791</v>
      </c>
      <c r="F8" s="667" t="s">
        <v>792</v>
      </c>
      <c r="G8" s="667" t="s">
        <v>793</v>
      </c>
      <c r="H8" s="667">
        <v>59729</v>
      </c>
      <c r="I8" s="667" t="s">
        <v>809</v>
      </c>
      <c r="J8" s="667">
        <v>6</v>
      </c>
    </row>
    <row r="9" spans="1:11">
      <c r="A9" s="667" t="s">
        <v>787</v>
      </c>
      <c r="B9" s="667" t="s">
        <v>812</v>
      </c>
      <c r="C9" s="667" t="s">
        <v>813</v>
      </c>
      <c r="D9" s="667" t="s">
        <v>790</v>
      </c>
      <c r="E9" s="667" t="s">
        <v>791</v>
      </c>
      <c r="F9" s="667" t="s">
        <v>792</v>
      </c>
      <c r="G9" s="667" t="s">
        <v>793</v>
      </c>
      <c r="H9" s="667">
        <v>61853</v>
      </c>
      <c r="I9" s="667" t="s">
        <v>794</v>
      </c>
      <c r="J9" s="667">
        <v>80</v>
      </c>
    </row>
    <row r="10" spans="1:11">
      <c r="A10" s="667" t="s">
        <v>814</v>
      </c>
      <c r="B10" s="667">
        <v>21736</v>
      </c>
      <c r="C10" s="667" t="s">
        <v>815</v>
      </c>
      <c r="D10" s="667" t="s">
        <v>816</v>
      </c>
      <c r="E10" s="667" t="s">
        <v>791</v>
      </c>
      <c r="F10" s="667" t="s">
        <v>817</v>
      </c>
      <c r="G10" s="667" t="s">
        <v>818</v>
      </c>
      <c r="H10" s="667">
        <v>54913</v>
      </c>
      <c r="I10" s="667" t="s">
        <v>819</v>
      </c>
      <c r="J10" s="667">
        <v>78</v>
      </c>
    </row>
    <row r="11" spans="1:11">
      <c r="A11" s="667" t="s">
        <v>814</v>
      </c>
      <c r="B11" s="667">
        <v>21738</v>
      </c>
      <c r="C11" s="667" t="s">
        <v>820</v>
      </c>
      <c r="D11" s="667" t="s">
        <v>816</v>
      </c>
      <c r="E11" s="667" t="s">
        <v>791</v>
      </c>
      <c r="F11" s="667" t="s">
        <v>817</v>
      </c>
      <c r="G11" s="667" t="s">
        <v>818</v>
      </c>
      <c r="H11" s="667">
        <v>54914</v>
      </c>
      <c r="I11" s="667" t="s">
        <v>819</v>
      </c>
      <c r="J11" s="667">
        <v>78</v>
      </c>
    </row>
    <row r="12" spans="1:11">
      <c r="A12" s="667" t="s">
        <v>814</v>
      </c>
      <c r="B12" s="667">
        <v>21740</v>
      </c>
      <c r="C12" s="667" t="s">
        <v>821</v>
      </c>
      <c r="D12" s="667" t="s">
        <v>816</v>
      </c>
      <c r="E12" s="667" t="s">
        <v>791</v>
      </c>
      <c r="F12" s="667" t="s">
        <v>817</v>
      </c>
      <c r="G12" s="667" t="s">
        <v>818</v>
      </c>
      <c r="H12" s="667">
        <v>54915</v>
      </c>
      <c r="I12" s="667" t="s">
        <v>819</v>
      </c>
      <c r="J12" s="667">
        <v>78</v>
      </c>
    </row>
    <row r="13" spans="1:11">
      <c r="A13" s="667" t="s">
        <v>814</v>
      </c>
      <c r="B13" s="667">
        <v>21742</v>
      </c>
      <c r="C13" s="667" t="s">
        <v>822</v>
      </c>
      <c r="D13" s="667" t="s">
        <v>816</v>
      </c>
      <c r="E13" s="667" t="s">
        <v>791</v>
      </c>
      <c r="F13" s="667" t="s">
        <v>817</v>
      </c>
      <c r="G13" s="667" t="s">
        <v>818</v>
      </c>
      <c r="H13" s="667">
        <v>54916</v>
      </c>
      <c r="I13" s="667" t="s">
        <v>819</v>
      </c>
      <c r="J13" s="667">
        <v>78</v>
      </c>
    </row>
    <row r="14" spans="1:11">
      <c r="A14" s="667" t="s">
        <v>814</v>
      </c>
      <c r="B14" s="667">
        <v>21744</v>
      </c>
      <c r="C14" s="667" t="s">
        <v>823</v>
      </c>
      <c r="D14" s="667" t="s">
        <v>816</v>
      </c>
      <c r="E14" s="667" t="s">
        <v>791</v>
      </c>
      <c r="F14" s="667" t="s">
        <v>817</v>
      </c>
      <c r="G14" s="667" t="s">
        <v>818</v>
      </c>
      <c r="H14" s="667">
        <v>54917</v>
      </c>
      <c r="I14" s="667" t="s">
        <v>819</v>
      </c>
      <c r="J14" s="667">
        <v>78</v>
      </c>
    </row>
    <row r="15" spans="1:11">
      <c r="A15" s="667" t="s">
        <v>814</v>
      </c>
      <c r="B15" s="667">
        <v>21746</v>
      </c>
      <c r="C15" s="667" t="s">
        <v>824</v>
      </c>
      <c r="D15" s="667" t="s">
        <v>816</v>
      </c>
      <c r="E15" s="667" t="s">
        <v>791</v>
      </c>
      <c r="F15" s="667" t="s">
        <v>817</v>
      </c>
      <c r="G15" s="667" t="s">
        <v>818</v>
      </c>
      <c r="H15" s="667">
        <v>54918</v>
      </c>
      <c r="I15" s="667" t="s">
        <v>819</v>
      </c>
      <c r="J15" s="667">
        <v>78</v>
      </c>
    </row>
    <row r="16" spans="1:11">
      <c r="A16" s="667" t="s">
        <v>814</v>
      </c>
      <c r="B16" s="667">
        <v>21748</v>
      </c>
      <c r="C16" s="667" t="s">
        <v>825</v>
      </c>
      <c r="D16" s="667" t="s">
        <v>816</v>
      </c>
      <c r="E16" s="667" t="s">
        <v>791</v>
      </c>
      <c r="F16" s="667" t="s">
        <v>817</v>
      </c>
      <c r="G16" s="667" t="s">
        <v>818</v>
      </c>
      <c r="H16" s="667">
        <v>54919</v>
      </c>
      <c r="I16" s="667" t="s">
        <v>819</v>
      </c>
      <c r="J16" s="667">
        <v>78</v>
      </c>
    </row>
    <row r="17" spans="1:11">
      <c r="A17" s="667" t="s">
        <v>814</v>
      </c>
      <c r="B17" s="667">
        <v>21750</v>
      </c>
      <c r="C17" s="667" t="s">
        <v>826</v>
      </c>
      <c r="D17" s="667" t="s">
        <v>816</v>
      </c>
      <c r="E17" s="667" t="s">
        <v>791</v>
      </c>
      <c r="F17" s="667" t="s">
        <v>817</v>
      </c>
      <c r="G17" s="667" t="s">
        <v>818</v>
      </c>
      <c r="H17" s="667">
        <v>54920</v>
      </c>
      <c r="I17" s="667" t="s">
        <v>819</v>
      </c>
      <c r="J17" s="667">
        <v>78</v>
      </c>
    </row>
    <row r="18" spans="1:11">
      <c r="A18" s="667" t="s">
        <v>814</v>
      </c>
      <c r="B18" s="667">
        <v>21752</v>
      </c>
      <c r="C18" s="667" t="s">
        <v>827</v>
      </c>
      <c r="D18" s="667" t="s">
        <v>828</v>
      </c>
      <c r="E18" s="667" t="s">
        <v>791</v>
      </c>
      <c r="F18" s="667" t="s">
        <v>829</v>
      </c>
      <c r="G18" s="667" t="s">
        <v>818</v>
      </c>
      <c r="H18" s="667">
        <v>54929</v>
      </c>
      <c r="I18" s="667" t="s">
        <v>830</v>
      </c>
      <c r="J18" s="667">
        <v>78</v>
      </c>
    </row>
    <row r="19" spans="1:11">
      <c r="A19" s="667" t="s">
        <v>814</v>
      </c>
      <c r="B19" s="667">
        <v>21753</v>
      </c>
      <c r="C19" s="667" t="s">
        <v>831</v>
      </c>
      <c r="D19" s="667" t="s">
        <v>828</v>
      </c>
      <c r="E19" s="667" t="s">
        <v>791</v>
      </c>
      <c r="F19" s="667" t="s">
        <v>829</v>
      </c>
      <c r="G19" s="667" t="s">
        <v>818</v>
      </c>
      <c r="H19" s="667">
        <v>54930</v>
      </c>
      <c r="I19" s="667" t="s">
        <v>830</v>
      </c>
      <c r="J19" s="667">
        <v>78</v>
      </c>
    </row>
    <row r="20" spans="1:11">
      <c r="A20" s="667" t="s">
        <v>814</v>
      </c>
      <c r="B20" s="667">
        <v>21754</v>
      </c>
      <c r="C20" s="667" t="s">
        <v>832</v>
      </c>
      <c r="D20" s="667" t="s">
        <v>828</v>
      </c>
      <c r="E20" s="667" t="s">
        <v>791</v>
      </c>
      <c r="F20" s="667" t="s">
        <v>829</v>
      </c>
      <c r="G20" s="667" t="s">
        <v>818</v>
      </c>
      <c r="H20" s="667">
        <v>54931</v>
      </c>
      <c r="I20" s="667" t="s">
        <v>830</v>
      </c>
      <c r="J20" s="667">
        <v>78</v>
      </c>
    </row>
    <row r="21" spans="1:11">
      <c r="A21" s="667" t="s">
        <v>814</v>
      </c>
      <c r="B21" s="667">
        <v>21755</v>
      </c>
      <c r="C21" s="667" t="s">
        <v>833</v>
      </c>
      <c r="D21" s="667" t="s">
        <v>828</v>
      </c>
      <c r="E21" s="667" t="s">
        <v>791</v>
      </c>
      <c r="F21" s="667" t="s">
        <v>829</v>
      </c>
      <c r="G21" s="667" t="s">
        <v>818</v>
      </c>
      <c r="H21" s="667">
        <v>54932</v>
      </c>
      <c r="I21" s="667" t="s">
        <v>830</v>
      </c>
      <c r="J21" s="667">
        <v>78</v>
      </c>
    </row>
    <row r="22" spans="1:11">
      <c r="A22" s="667" t="s">
        <v>814</v>
      </c>
      <c r="B22" s="667">
        <v>21756</v>
      </c>
      <c r="C22" s="667" t="s">
        <v>834</v>
      </c>
      <c r="D22" s="667" t="s">
        <v>828</v>
      </c>
      <c r="E22" s="667" t="s">
        <v>791</v>
      </c>
      <c r="F22" s="667" t="s">
        <v>792</v>
      </c>
      <c r="G22" s="667" t="s">
        <v>818</v>
      </c>
      <c r="H22" s="667">
        <v>54938</v>
      </c>
      <c r="I22" s="667" t="s">
        <v>835</v>
      </c>
      <c r="J22" s="667">
        <v>66</v>
      </c>
    </row>
    <row r="23" spans="1:11">
      <c r="A23" s="667" t="s">
        <v>814</v>
      </c>
      <c r="B23" s="667">
        <v>21757</v>
      </c>
      <c r="C23" s="667" t="s">
        <v>836</v>
      </c>
      <c r="D23" s="667" t="s">
        <v>828</v>
      </c>
      <c r="E23" s="667" t="s">
        <v>791</v>
      </c>
      <c r="F23" s="667" t="s">
        <v>829</v>
      </c>
      <c r="G23" s="667" t="s">
        <v>818</v>
      </c>
      <c r="H23" s="667">
        <v>54933</v>
      </c>
      <c r="I23" s="667" t="s">
        <v>830</v>
      </c>
      <c r="J23" s="667">
        <v>78</v>
      </c>
    </row>
    <row r="24" spans="1:11">
      <c r="A24" s="667" t="s">
        <v>814</v>
      </c>
      <c r="B24" s="667">
        <v>21758</v>
      </c>
      <c r="C24" s="667" t="s">
        <v>837</v>
      </c>
      <c r="D24" s="667" t="s">
        <v>828</v>
      </c>
      <c r="E24" s="667" t="s">
        <v>791</v>
      </c>
      <c r="F24" s="667" t="s">
        <v>829</v>
      </c>
      <c r="G24" s="667" t="s">
        <v>818</v>
      </c>
      <c r="H24" s="667">
        <v>54934</v>
      </c>
      <c r="I24" s="667" t="s">
        <v>830</v>
      </c>
      <c r="J24" s="667">
        <v>78</v>
      </c>
    </row>
    <row r="25" spans="1:11">
      <c r="A25" s="667" t="s">
        <v>814</v>
      </c>
      <c r="B25" s="667">
        <v>21759</v>
      </c>
      <c r="C25" s="667" t="s">
        <v>838</v>
      </c>
      <c r="D25" s="667" t="s">
        <v>828</v>
      </c>
      <c r="E25" s="667" t="s">
        <v>791</v>
      </c>
      <c r="F25" s="667" t="s">
        <v>829</v>
      </c>
      <c r="G25" s="667" t="s">
        <v>818</v>
      </c>
      <c r="H25" s="667">
        <v>54935</v>
      </c>
      <c r="I25" s="667" t="s">
        <v>830</v>
      </c>
      <c r="J25" s="667">
        <v>78</v>
      </c>
    </row>
    <row r="26" spans="1:11">
      <c r="A26" s="667" t="s">
        <v>814</v>
      </c>
      <c r="B26" s="667">
        <v>21760</v>
      </c>
      <c r="C26" s="667" t="s">
        <v>839</v>
      </c>
      <c r="D26" s="667" t="s">
        <v>828</v>
      </c>
      <c r="E26" s="667" t="s">
        <v>791</v>
      </c>
      <c r="F26" s="667" t="s">
        <v>829</v>
      </c>
      <c r="G26" s="667" t="s">
        <v>818</v>
      </c>
      <c r="H26" s="667">
        <v>54936</v>
      </c>
      <c r="I26" s="667" t="s">
        <v>830</v>
      </c>
      <c r="J26" s="667">
        <v>78</v>
      </c>
    </row>
    <row r="27" spans="1:11">
      <c r="A27" s="667" t="s">
        <v>814</v>
      </c>
      <c r="B27" s="667">
        <v>113011</v>
      </c>
      <c r="C27" s="667" t="s">
        <v>840</v>
      </c>
      <c r="D27" s="667" t="s">
        <v>828</v>
      </c>
      <c r="E27" s="667" t="s">
        <v>791</v>
      </c>
      <c r="F27" s="667" t="s">
        <v>792</v>
      </c>
      <c r="G27" s="667" t="s">
        <v>818</v>
      </c>
      <c r="H27" s="667">
        <v>54937</v>
      </c>
      <c r="I27" s="667" t="s">
        <v>841</v>
      </c>
      <c r="J27" s="667">
        <v>66</v>
      </c>
    </row>
    <row r="28" spans="1:11">
      <c r="A28" s="667" t="s">
        <v>842</v>
      </c>
      <c r="B28" s="667" t="s">
        <v>843</v>
      </c>
      <c r="C28" s="667" t="s">
        <v>844</v>
      </c>
      <c r="D28" s="667" t="s">
        <v>845</v>
      </c>
      <c r="E28" s="667" t="s">
        <v>791</v>
      </c>
      <c r="F28" s="667" t="s">
        <v>846</v>
      </c>
      <c r="G28" s="667" t="s">
        <v>847</v>
      </c>
      <c r="H28" s="667">
        <v>50544</v>
      </c>
      <c r="I28" s="667" t="s">
        <v>431</v>
      </c>
      <c r="J28" s="667" t="s">
        <v>152</v>
      </c>
      <c r="K28" s="667" t="s">
        <v>848</v>
      </c>
    </row>
    <row r="29" spans="1:11">
      <c r="A29" s="667" t="s">
        <v>842</v>
      </c>
      <c r="B29" s="667" t="s">
        <v>849</v>
      </c>
      <c r="C29" s="667" t="s">
        <v>850</v>
      </c>
      <c r="D29" s="667" t="s">
        <v>851</v>
      </c>
      <c r="E29" s="667" t="s">
        <v>791</v>
      </c>
      <c r="F29" s="667" t="s">
        <v>846</v>
      </c>
      <c r="G29" s="667" t="s">
        <v>847</v>
      </c>
      <c r="H29" s="667">
        <v>50542</v>
      </c>
      <c r="I29" s="667" t="s">
        <v>852</v>
      </c>
      <c r="J29" s="667" t="s">
        <v>152</v>
      </c>
      <c r="K29" s="667" t="s">
        <v>848</v>
      </c>
    </row>
    <row r="30" spans="1:11">
      <c r="A30" s="667" t="s">
        <v>842</v>
      </c>
      <c r="B30" s="667" t="s">
        <v>853</v>
      </c>
      <c r="C30" s="667" t="s">
        <v>854</v>
      </c>
      <c r="D30" s="667" t="s">
        <v>851</v>
      </c>
      <c r="E30" s="667" t="s">
        <v>791</v>
      </c>
      <c r="F30" s="667" t="s">
        <v>829</v>
      </c>
      <c r="G30" s="667" t="s">
        <v>847</v>
      </c>
      <c r="H30" s="667">
        <v>50547</v>
      </c>
      <c r="J30" s="667" t="s">
        <v>152</v>
      </c>
      <c r="K30" s="667" t="s">
        <v>848</v>
      </c>
    </row>
    <row r="31" spans="1:11">
      <c r="A31" s="667" t="s">
        <v>842</v>
      </c>
      <c r="B31" s="667" t="s">
        <v>855</v>
      </c>
      <c r="C31" s="667" t="s">
        <v>856</v>
      </c>
      <c r="D31" s="667" t="s">
        <v>790</v>
      </c>
      <c r="E31" s="667" t="s">
        <v>791</v>
      </c>
      <c r="F31" s="667" t="s">
        <v>817</v>
      </c>
      <c r="G31" s="667" t="s">
        <v>847</v>
      </c>
      <c r="H31" s="667">
        <v>51112</v>
      </c>
      <c r="I31" s="667" t="s">
        <v>857</v>
      </c>
      <c r="J31" s="667">
        <v>82.6</v>
      </c>
    </row>
    <row r="32" spans="1:11">
      <c r="A32" s="667" t="s">
        <v>842</v>
      </c>
      <c r="B32" s="667" t="s">
        <v>858</v>
      </c>
      <c r="C32" s="667" t="s">
        <v>859</v>
      </c>
      <c r="D32" s="667" t="s">
        <v>790</v>
      </c>
      <c r="E32" s="667" t="s">
        <v>791</v>
      </c>
      <c r="F32" s="667" t="s">
        <v>817</v>
      </c>
      <c r="G32" s="667" t="s">
        <v>847</v>
      </c>
      <c r="H32" s="667">
        <v>51111</v>
      </c>
      <c r="I32" s="667" t="s">
        <v>857</v>
      </c>
      <c r="J32" s="667">
        <v>82.6</v>
      </c>
    </row>
    <row r="33" spans="1:11">
      <c r="A33" s="667" t="s">
        <v>842</v>
      </c>
      <c r="B33" s="667" t="s">
        <v>860</v>
      </c>
      <c r="C33" s="667" t="s">
        <v>861</v>
      </c>
      <c r="D33" s="667" t="s">
        <v>790</v>
      </c>
      <c r="E33" s="667" t="s">
        <v>791</v>
      </c>
      <c r="F33" s="667" t="s">
        <v>817</v>
      </c>
      <c r="G33" s="667" t="s">
        <v>847</v>
      </c>
      <c r="H33" s="667">
        <v>51110</v>
      </c>
      <c r="I33" s="667" t="s">
        <v>857</v>
      </c>
      <c r="J33" s="667">
        <v>82.6</v>
      </c>
    </row>
    <row r="34" spans="1:11">
      <c r="A34" s="667" t="s">
        <v>842</v>
      </c>
      <c r="B34" s="667" t="s">
        <v>862</v>
      </c>
      <c r="C34" s="667" t="s">
        <v>863</v>
      </c>
      <c r="D34" s="667" t="s">
        <v>790</v>
      </c>
      <c r="E34" s="667" t="s">
        <v>791</v>
      </c>
      <c r="F34" s="667" t="s">
        <v>817</v>
      </c>
      <c r="G34" s="667" t="s">
        <v>847</v>
      </c>
      <c r="H34" s="667">
        <v>51109</v>
      </c>
      <c r="I34" s="667" t="s">
        <v>857</v>
      </c>
      <c r="J34" s="667">
        <v>82.6</v>
      </c>
    </row>
    <row r="35" spans="1:11">
      <c r="A35" s="667" t="s">
        <v>842</v>
      </c>
      <c r="B35" s="667" t="s">
        <v>864</v>
      </c>
      <c r="C35" s="667" t="s">
        <v>865</v>
      </c>
      <c r="D35" s="667" t="s">
        <v>790</v>
      </c>
      <c r="E35" s="667" t="s">
        <v>791</v>
      </c>
      <c r="F35" s="667" t="s">
        <v>817</v>
      </c>
      <c r="G35" s="667" t="s">
        <v>847</v>
      </c>
      <c r="H35" s="667">
        <v>51108</v>
      </c>
      <c r="I35" s="667" t="s">
        <v>866</v>
      </c>
      <c r="J35" s="667">
        <v>82.6</v>
      </c>
    </row>
    <row r="36" spans="1:11">
      <c r="A36" s="667" t="s">
        <v>842</v>
      </c>
      <c r="B36" s="667" t="s">
        <v>867</v>
      </c>
      <c r="C36" s="667" t="s">
        <v>868</v>
      </c>
      <c r="D36" s="667" t="s">
        <v>790</v>
      </c>
      <c r="E36" s="667" t="s">
        <v>791</v>
      </c>
      <c r="F36" s="667" t="s">
        <v>817</v>
      </c>
      <c r="G36" s="667" t="s">
        <v>847</v>
      </c>
      <c r="H36" s="667">
        <v>51116</v>
      </c>
      <c r="I36" s="667" t="s">
        <v>857</v>
      </c>
      <c r="J36" s="667">
        <v>82.6</v>
      </c>
    </row>
    <row r="37" spans="1:11">
      <c r="A37" s="667" t="s">
        <v>842</v>
      </c>
      <c r="B37" s="667" t="s">
        <v>869</v>
      </c>
      <c r="C37" s="667" t="s">
        <v>870</v>
      </c>
      <c r="D37" s="667" t="s">
        <v>790</v>
      </c>
      <c r="E37" s="667" t="s">
        <v>791</v>
      </c>
      <c r="F37" s="667" t="s">
        <v>817</v>
      </c>
      <c r="G37" s="667" t="s">
        <v>847</v>
      </c>
      <c r="H37" s="667">
        <v>51115</v>
      </c>
      <c r="I37" s="667" t="s">
        <v>857</v>
      </c>
      <c r="J37" s="667">
        <v>82.6</v>
      </c>
    </row>
    <row r="38" spans="1:11">
      <c r="A38" s="667" t="s">
        <v>842</v>
      </c>
      <c r="B38" s="667" t="s">
        <v>871</v>
      </c>
      <c r="C38" s="667" t="s">
        <v>872</v>
      </c>
      <c r="D38" s="667" t="s">
        <v>790</v>
      </c>
      <c r="E38" s="667" t="s">
        <v>791</v>
      </c>
      <c r="F38" s="667" t="s">
        <v>817</v>
      </c>
      <c r="G38" s="667" t="s">
        <v>847</v>
      </c>
      <c r="H38" s="667">
        <v>51114</v>
      </c>
      <c r="I38" s="667" t="s">
        <v>857</v>
      </c>
      <c r="J38" s="667">
        <v>82.6</v>
      </c>
    </row>
    <row r="39" spans="1:11">
      <c r="A39" s="667" t="s">
        <v>842</v>
      </c>
      <c r="B39" s="667" t="s">
        <v>873</v>
      </c>
      <c r="C39" s="667" t="s">
        <v>874</v>
      </c>
      <c r="D39" s="667" t="s">
        <v>875</v>
      </c>
      <c r="E39" s="667" t="s">
        <v>791</v>
      </c>
      <c r="F39" s="667" t="s">
        <v>817</v>
      </c>
      <c r="G39" s="667" t="s">
        <v>847</v>
      </c>
      <c r="H39" s="667">
        <v>51113</v>
      </c>
      <c r="I39" s="667" t="s">
        <v>857</v>
      </c>
      <c r="J39" s="667">
        <v>82.6</v>
      </c>
    </row>
    <row r="40" spans="1:11">
      <c r="A40" s="667" t="s">
        <v>842</v>
      </c>
      <c r="B40" s="667" t="s">
        <v>876</v>
      </c>
      <c r="C40" s="667" t="s">
        <v>877</v>
      </c>
      <c r="D40" s="667" t="s">
        <v>790</v>
      </c>
      <c r="E40" s="667" t="s">
        <v>791</v>
      </c>
      <c r="F40" s="667" t="s">
        <v>817</v>
      </c>
      <c r="G40" s="667" t="s">
        <v>847</v>
      </c>
      <c r="H40" s="667">
        <v>51117</v>
      </c>
      <c r="I40" s="667" t="s">
        <v>857</v>
      </c>
      <c r="J40" s="667">
        <v>82.6</v>
      </c>
    </row>
    <row r="41" spans="1:11">
      <c r="A41" s="667" t="s">
        <v>842</v>
      </c>
      <c r="B41" s="667" t="s">
        <v>878</v>
      </c>
      <c r="C41" s="667" t="s">
        <v>879</v>
      </c>
      <c r="D41" s="667" t="s">
        <v>880</v>
      </c>
      <c r="E41" s="667" t="s">
        <v>791</v>
      </c>
      <c r="F41" s="667" t="s">
        <v>792</v>
      </c>
      <c r="G41" s="667" t="s">
        <v>847</v>
      </c>
      <c r="H41" s="667">
        <v>50848</v>
      </c>
      <c r="I41" s="667" t="s">
        <v>881</v>
      </c>
      <c r="J41" s="667">
        <v>28</v>
      </c>
      <c r="K41" s="667" t="s">
        <v>882</v>
      </c>
    </row>
    <row r="42" spans="1:11">
      <c r="A42" s="667" t="s">
        <v>842</v>
      </c>
      <c r="B42" s="667" t="s">
        <v>883</v>
      </c>
      <c r="C42" s="667" t="s">
        <v>884</v>
      </c>
      <c r="D42" s="667" t="s">
        <v>885</v>
      </c>
      <c r="E42" s="667" t="s">
        <v>791</v>
      </c>
      <c r="F42" s="667" t="s">
        <v>792</v>
      </c>
      <c r="G42" s="667" t="s">
        <v>847</v>
      </c>
      <c r="H42" s="667">
        <v>50849</v>
      </c>
      <c r="I42" s="667" t="s">
        <v>886</v>
      </c>
      <c r="J42" s="667">
        <v>10</v>
      </c>
    </row>
    <row r="43" spans="1:11">
      <c r="A43" s="667" t="s">
        <v>842</v>
      </c>
      <c r="B43" s="667" t="s">
        <v>887</v>
      </c>
      <c r="C43" s="667" t="s">
        <v>888</v>
      </c>
      <c r="D43" s="667" t="s">
        <v>885</v>
      </c>
      <c r="E43" s="667" t="s">
        <v>791</v>
      </c>
      <c r="F43" s="667" t="s">
        <v>792</v>
      </c>
      <c r="G43" s="667" t="s">
        <v>847</v>
      </c>
      <c r="H43" s="667">
        <v>50847</v>
      </c>
      <c r="I43" s="667" t="s">
        <v>889</v>
      </c>
      <c r="J43" s="667">
        <v>7</v>
      </c>
    </row>
    <row r="44" spans="1:11">
      <c r="A44" s="667" t="s">
        <v>842</v>
      </c>
      <c r="B44" s="667" t="s">
        <v>890</v>
      </c>
      <c r="C44" s="667" t="s">
        <v>891</v>
      </c>
      <c r="D44" s="667" t="s">
        <v>790</v>
      </c>
      <c r="E44" s="667" t="s">
        <v>791</v>
      </c>
      <c r="F44" s="667" t="s">
        <v>829</v>
      </c>
      <c r="G44" s="667" t="s">
        <v>847</v>
      </c>
      <c r="H44" s="667">
        <v>55929</v>
      </c>
      <c r="I44" s="667" t="s">
        <v>431</v>
      </c>
      <c r="J44" s="667" t="s">
        <v>152</v>
      </c>
      <c r="K44" s="667" t="s">
        <v>892</v>
      </c>
    </row>
    <row r="45" spans="1:11">
      <c r="A45" s="667" t="s">
        <v>842</v>
      </c>
      <c r="B45" s="667" t="s">
        <v>893</v>
      </c>
      <c r="C45" s="667" t="s">
        <v>894</v>
      </c>
      <c r="D45" s="667" t="s">
        <v>790</v>
      </c>
      <c r="E45" s="667" t="s">
        <v>791</v>
      </c>
      <c r="F45" s="667" t="s">
        <v>829</v>
      </c>
      <c r="G45" s="667" t="s">
        <v>847</v>
      </c>
      <c r="H45" s="667">
        <v>55922</v>
      </c>
      <c r="I45" s="667" t="s">
        <v>431</v>
      </c>
      <c r="J45" s="667" t="s">
        <v>152</v>
      </c>
      <c r="K45" s="667" t="s">
        <v>895</v>
      </c>
    </row>
    <row r="46" spans="1:11">
      <c r="A46" s="667" t="s">
        <v>842</v>
      </c>
      <c r="B46" s="667" t="s">
        <v>896</v>
      </c>
      <c r="C46" s="667" t="s">
        <v>897</v>
      </c>
      <c r="D46" s="667" t="s">
        <v>790</v>
      </c>
      <c r="E46" s="667" t="s">
        <v>791</v>
      </c>
      <c r="F46" s="667" t="s">
        <v>829</v>
      </c>
      <c r="G46" s="667" t="s">
        <v>847</v>
      </c>
      <c r="H46" s="667">
        <v>55921</v>
      </c>
      <c r="I46" s="667" t="s">
        <v>431</v>
      </c>
      <c r="J46" s="667" t="s">
        <v>152</v>
      </c>
      <c r="K46" s="667" t="s">
        <v>898</v>
      </c>
    </row>
    <row r="47" spans="1:11">
      <c r="A47" s="667" t="s">
        <v>842</v>
      </c>
      <c r="B47" s="667" t="s">
        <v>899</v>
      </c>
      <c r="C47" s="667" t="s">
        <v>900</v>
      </c>
      <c r="D47" s="667" t="s">
        <v>790</v>
      </c>
      <c r="E47" s="667" t="s">
        <v>791</v>
      </c>
      <c r="F47" s="667" t="s">
        <v>829</v>
      </c>
      <c r="G47" s="667" t="s">
        <v>847</v>
      </c>
      <c r="H47" s="667">
        <v>57806</v>
      </c>
      <c r="I47" s="667" t="s">
        <v>431</v>
      </c>
      <c r="J47" s="667" t="s">
        <v>152</v>
      </c>
      <c r="K47" s="667" t="s">
        <v>901</v>
      </c>
    </row>
    <row r="48" spans="1:11">
      <c r="A48" s="667" t="s">
        <v>842</v>
      </c>
      <c r="B48" s="667" t="s">
        <v>902</v>
      </c>
      <c r="C48" s="667" t="s">
        <v>903</v>
      </c>
      <c r="D48" s="667" t="s">
        <v>790</v>
      </c>
      <c r="E48" s="667" t="s">
        <v>791</v>
      </c>
      <c r="F48" s="667" t="s">
        <v>829</v>
      </c>
      <c r="G48" s="667" t="s">
        <v>847</v>
      </c>
      <c r="H48" s="667">
        <v>55925</v>
      </c>
      <c r="I48" s="667" t="s">
        <v>431</v>
      </c>
      <c r="J48" s="667" t="s">
        <v>152</v>
      </c>
      <c r="K48" s="667" t="s">
        <v>904</v>
      </c>
    </row>
    <row r="49" spans="1:11">
      <c r="A49" s="667" t="s">
        <v>842</v>
      </c>
      <c r="B49" s="667" t="s">
        <v>905</v>
      </c>
      <c r="C49" s="667" t="s">
        <v>906</v>
      </c>
      <c r="D49" s="667" t="s">
        <v>790</v>
      </c>
      <c r="E49" s="667" t="s">
        <v>791</v>
      </c>
      <c r="F49" s="667" t="s">
        <v>829</v>
      </c>
      <c r="G49" s="667" t="s">
        <v>847</v>
      </c>
      <c r="H49" s="667">
        <v>55926</v>
      </c>
      <c r="I49" s="667" t="s">
        <v>431</v>
      </c>
      <c r="J49" s="667" t="s">
        <v>152</v>
      </c>
      <c r="K49" s="667" t="s">
        <v>907</v>
      </c>
    </row>
    <row r="50" spans="1:11">
      <c r="A50" s="667" t="s">
        <v>842</v>
      </c>
      <c r="B50" s="667" t="s">
        <v>908</v>
      </c>
      <c r="C50" s="667" t="s">
        <v>909</v>
      </c>
      <c r="D50" s="667" t="s">
        <v>790</v>
      </c>
      <c r="E50" s="667" t="s">
        <v>791</v>
      </c>
      <c r="F50" s="667" t="s">
        <v>829</v>
      </c>
      <c r="G50" s="667" t="s">
        <v>847</v>
      </c>
      <c r="H50" s="667">
        <v>55913</v>
      </c>
      <c r="J50" s="667" t="s">
        <v>152</v>
      </c>
      <c r="K50" s="667" t="s">
        <v>910</v>
      </c>
    </row>
    <row r="51" spans="1:11">
      <c r="A51" s="667" t="s">
        <v>842</v>
      </c>
      <c r="B51" s="667" t="s">
        <v>911</v>
      </c>
      <c r="C51" s="667" t="s">
        <v>912</v>
      </c>
      <c r="D51" s="667" t="s">
        <v>790</v>
      </c>
      <c r="E51" s="667" t="s">
        <v>791</v>
      </c>
      <c r="F51" s="667" t="s">
        <v>829</v>
      </c>
      <c r="G51" s="667" t="s">
        <v>847</v>
      </c>
      <c r="H51" s="667">
        <v>55927</v>
      </c>
      <c r="I51" s="667" t="s">
        <v>431</v>
      </c>
      <c r="J51" s="667" t="s">
        <v>152</v>
      </c>
      <c r="K51" s="667" t="s">
        <v>913</v>
      </c>
    </row>
    <row r="52" spans="1:11">
      <c r="A52" s="667" t="s">
        <v>842</v>
      </c>
      <c r="B52" s="667" t="s">
        <v>914</v>
      </c>
      <c r="C52" s="667" t="s">
        <v>915</v>
      </c>
      <c r="D52" s="667" t="s">
        <v>790</v>
      </c>
      <c r="E52" s="667" t="s">
        <v>791</v>
      </c>
      <c r="F52" s="667" t="s">
        <v>829</v>
      </c>
      <c r="G52" s="667" t="s">
        <v>847</v>
      </c>
      <c r="H52" s="667">
        <v>55928</v>
      </c>
      <c r="I52" s="667" t="s">
        <v>431</v>
      </c>
      <c r="J52" s="667" t="s">
        <v>152</v>
      </c>
      <c r="K52" s="667" t="s">
        <v>916</v>
      </c>
    </row>
    <row r="53" spans="1:11">
      <c r="A53" s="667" t="s">
        <v>842</v>
      </c>
      <c r="B53" s="667" t="s">
        <v>917</v>
      </c>
      <c r="C53" s="667" t="s">
        <v>918</v>
      </c>
      <c r="D53" s="667" t="s">
        <v>790</v>
      </c>
      <c r="E53" s="667" t="s">
        <v>791</v>
      </c>
      <c r="F53" s="667" t="s">
        <v>829</v>
      </c>
      <c r="G53" s="667" t="s">
        <v>847</v>
      </c>
      <c r="H53" s="667">
        <v>55917</v>
      </c>
      <c r="I53" s="667" t="s">
        <v>431</v>
      </c>
      <c r="J53" s="667" t="s">
        <v>152</v>
      </c>
      <c r="K53" s="667" t="s">
        <v>919</v>
      </c>
    </row>
    <row r="54" spans="1:11">
      <c r="A54" s="667" t="s">
        <v>920</v>
      </c>
      <c r="B54" s="667" t="s">
        <v>921</v>
      </c>
      <c r="C54" s="667" t="s">
        <v>922</v>
      </c>
      <c r="D54" s="667" t="s">
        <v>923</v>
      </c>
      <c r="E54" s="667" t="s">
        <v>791</v>
      </c>
      <c r="F54" s="667" t="s">
        <v>817</v>
      </c>
      <c r="G54" s="667" t="s">
        <v>924</v>
      </c>
      <c r="H54" s="667">
        <v>51508</v>
      </c>
      <c r="I54" s="667" t="s">
        <v>925</v>
      </c>
      <c r="J54" s="667">
        <v>110</v>
      </c>
    </row>
    <row r="55" spans="1:11">
      <c r="A55" s="667" t="s">
        <v>920</v>
      </c>
      <c r="B55" s="667" t="s">
        <v>926</v>
      </c>
      <c r="C55" s="667" t="s">
        <v>927</v>
      </c>
      <c r="D55" s="667" t="s">
        <v>923</v>
      </c>
      <c r="E55" s="667" t="s">
        <v>791</v>
      </c>
      <c r="F55" s="667" t="s">
        <v>817</v>
      </c>
      <c r="G55" s="667" t="s">
        <v>924</v>
      </c>
      <c r="H55" s="667">
        <v>51509</v>
      </c>
      <c r="I55" s="667" t="s">
        <v>925</v>
      </c>
      <c r="J55" s="667">
        <v>110</v>
      </c>
    </row>
    <row r="56" spans="1:11">
      <c r="A56" s="667" t="s">
        <v>920</v>
      </c>
      <c r="B56" s="667" t="s">
        <v>928</v>
      </c>
      <c r="C56" s="667" t="s">
        <v>929</v>
      </c>
      <c r="D56" s="667" t="s">
        <v>930</v>
      </c>
      <c r="E56" s="667" t="s">
        <v>791</v>
      </c>
      <c r="F56" s="667" t="s">
        <v>792</v>
      </c>
      <c r="G56" s="667" t="s">
        <v>924</v>
      </c>
      <c r="H56" s="667">
        <v>58775</v>
      </c>
      <c r="I56" s="667" t="s">
        <v>931</v>
      </c>
      <c r="J56" s="667">
        <v>3</v>
      </c>
    </row>
    <row r="57" spans="1:11">
      <c r="A57" s="667" t="s">
        <v>920</v>
      </c>
      <c r="B57" s="667" t="s">
        <v>932</v>
      </c>
      <c r="C57" s="667" t="s">
        <v>933</v>
      </c>
      <c r="D57" s="667" t="s">
        <v>934</v>
      </c>
      <c r="E57" s="667" t="s">
        <v>791</v>
      </c>
      <c r="F57" s="667" t="s">
        <v>792</v>
      </c>
      <c r="G57" s="667" t="s">
        <v>935</v>
      </c>
      <c r="H57" s="667">
        <v>50664</v>
      </c>
      <c r="I57" s="667" t="s">
        <v>936</v>
      </c>
      <c r="J57" s="667">
        <v>60</v>
      </c>
    </row>
    <row r="58" spans="1:11">
      <c r="A58" s="667" t="s">
        <v>920</v>
      </c>
      <c r="B58" s="667" t="s">
        <v>937</v>
      </c>
      <c r="C58" s="667" t="s">
        <v>938</v>
      </c>
      <c r="D58" s="667" t="s">
        <v>934</v>
      </c>
      <c r="E58" s="667" t="s">
        <v>791</v>
      </c>
      <c r="F58" s="667" t="s">
        <v>792</v>
      </c>
      <c r="G58" s="667" t="s">
        <v>935</v>
      </c>
      <c r="H58" s="667">
        <v>50665</v>
      </c>
      <c r="I58" s="667" t="s">
        <v>939</v>
      </c>
      <c r="J58" s="667">
        <v>60</v>
      </c>
    </row>
    <row r="59" spans="1:11">
      <c r="A59" s="667" t="s">
        <v>920</v>
      </c>
      <c r="B59" s="667" t="s">
        <v>940</v>
      </c>
      <c r="C59" s="667" t="s">
        <v>941</v>
      </c>
      <c r="D59" s="667" t="s">
        <v>934</v>
      </c>
      <c r="E59" s="667" t="s">
        <v>791</v>
      </c>
      <c r="F59" s="667" t="s">
        <v>792</v>
      </c>
      <c r="G59" s="667" t="s">
        <v>935</v>
      </c>
      <c r="H59" s="667">
        <v>50666</v>
      </c>
      <c r="I59" s="667" t="s">
        <v>942</v>
      </c>
      <c r="J59" s="667">
        <v>60</v>
      </c>
    </row>
    <row r="60" spans="1:11">
      <c r="A60" s="667" t="s">
        <v>920</v>
      </c>
      <c r="B60" s="667" t="s">
        <v>943</v>
      </c>
      <c r="C60" s="667" t="s">
        <v>944</v>
      </c>
      <c r="D60" s="667" t="s">
        <v>934</v>
      </c>
      <c r="E60" s="667" t="s">
        <v>791</v>
      </c>
      <c r="F60" s="667" t="s">
        <v>792</v>
      </c>
      <c r="G60" s="667" t="s">
        <v>935</v>
      </c>
      <c r="H60" s="667">
        <v>50667</v>
      </c>
      <c r="I60" s="667" t="s">
        <v>945</v>
      </c>
      <c r="J60" s="667">
        <v>60</v>
      </c>
    </row>
    <row r="61" spans="1:11">
      <c r="A61" s="667" t="s">
        <v>920</v>
      </c>
      <c r="B61" s="667" t="s">
        <v>946</v>
      </c>
      <c r="C61" s="667" t="s">
        <v>947</v>
      </c>
      <c r="D61" s="667" t="s">
        <v>948</v>
      </c>
      <c r="E61" s="667" t="s">
        <v>791</v>
      </c>
      <c r="F61" s="667" t="s">
        <v>792</v>
      </c>
      <c r="G61" s="667" t="s">
        <v>935</v>
      </c>
      <c r="H61" s="667">
        <v>55836</v>
      </c>
      <c r="I61" s="667" t="s">
        <v>949</v>
      </c>
      <c r="J61" s="667">
        <v>3</v>
      </c>
    </row>
    <row r="62" spans="1:11">
      <c r="A62" s="667" t="s">
        <v>920</v>
      </c>
      <c r="B62" s="667" t="s">
        <v>950</v>
      </c>
      <c r="C62" s="667" t="s">
        <v>951</v>
      </c>
      <c r="D62" s="667" t="s">
        <v>952</v>
      </c>
      <c r="E62" s="667" t="s">
        <v>791</v>
      </c>
      <c r="F62" s="667" t="s">
        <v>792</v>
      </c>
      <c r="G62" s="667" t="s">
        <v>935</v>
      </c>
      <c r="H62" s="667">
        <v>55838</v>
      </c>
      <c r="I62" s="667" t="s">
        <v>949</v>
      </c>
      <c r="J62" s="667">
        <v>2.5</v>
      </c>
    </row>
    <row r="63" spans="1:11">
      <c r="A63" s="667" t="s">
        <v>920</v>
      </c>
      <c r="B63" s="667" t="s">
        <v>953</v>
      </c>
      <c r="C63" s="667" t="s">
        <v>888</v>
      </c>
      <c r="D63" s="667" t="s">
        <v>948</v>
      </c>
      <c r="E63" s="667" t="s">
        <v>791</v>
      </c>
      <c r="F63" s="667" t="s">
        <v>792</v>
      </c>
      <c r="G63" s="667" t="s">
        <v>935</v>
      </c>
      <c r="H63" s="667">
        <v>50737</v>
      </c>
      <c r="I63" s="667" t="s">
        <v>954</v>
      </c>
      <c r="J63" s="667">
        <v>6</v>
      </c>
    </row>
    <row r="64" spans="1:11">
      <c r="A64" s="667" t="s">
        <v>955</v>
      </c>
      <c r="B64" s="667">
        <v>510515</v>
      </c>
      <c r="C64" s="667" t="s">
        <v>956</v>
      </c>
      <c r="D64" s="667" t="s">
        <v>790</v>
      </c>
      <c r="E64" s="667" t="s">
        <v>791</v>
      </c>
      <c r="F64" s="667" t="s">
        <v>792</v>
      </c>
      <c r="G64" s="667" t="s">
        <v>957</v>
      </c>
      <c r="H64" s="667">
        <v>53002</v>
      </c>
      <c r="I64" s="667" t="s">
        <v>958</v>
      </c>
      <c r="J64" s="667">
        <v>80</v>
      </c>
      <c r="K64" s="667" t="s">
        <v>959</v>
      </c>
    </row>
    <row r="65" spans="1:11">
      <c r="A65" s="667" t="s">
        <v>955</v>
      </c>
      <c r="B65" s="667">
        <v>510516</v>
      </c>
      <c r="C65" s="667" t="s">
        <v>960</v>
      </c>
      <c r="D65" s="667" t="s">
        <v>790</v>
      </c>
      <c r="E65" s="667" t="s">
        <v>791</v>
      </c>
      <c r="F65" s="667" t="s">
        <v>792</v>
      </c>
      <c r="G65" s="667" t="s">
        <v>957</v>
      </c>
      <c r="H65" s="667">
        <v>53003</v>
      </c>
      <c r="I65" s="667" t="s">
        <v>958</v>
      </c>
      <c r="J65" s="667">
        <v>80</v>
      </c>
      <c r="K65" s="667" t="s">
        <v>959</v>
      </c>
    </row>
    <row r="66" spans="1:11">
      <c r="A66" s="667" t="s">
        <v>955</v>
      </c>
      <c r="B66" s="667">
        <v>510517</v>
      </c>
      <c r="C66" s="667" t="s">
        <v>961</v>
      </c>
      <c r="D66" s="667" t="s">
        <v>790</v>
      </c>
      <c r="E66" s="667" t="s">
        <v>791</v>
      </c>
      <c r="F66" s="667" t="s">
        <v>792</v>
      </c>
      <c r="G66" s="667" t="s">
        <v>957</v>
      </c>
      <c r="H66" s="667">
        <v>53004</v>
      </c>
      <c r="I66" s="667" t="s">
        <v>958</v>
      </c>
      <c r="J66" s="667">
        <v>80</v>
      </c>
      <c r="K66" s="667" t="s">
        <v>959</v>
      </c>
    </row>
    <row r="67" spans="1:11">
      <c r="A67" s="667" t="s">
        <v>955</v>
      </c>
      <c r="B67" s="667">
        <v>510518</v>
      </c>
      <c r="C67" s="667" t="s">
        <v>962</v>
      </c>
      <c r="D67" s="667" t="s">
        <v>790</v>
      </c>
      <c r="E67" s="667" t="s">
        <v>791</v>
      </c>
      <c r="F67" s="667" t="s">
        <v>792</v>
      </c>
      <c r="G67" s="667" t="s">
        <v>957</v>
      </c>
      <c r="H67" s="667">
        <v>53006</v>
      </c>
      <c r="I67" s="667" t="s">
        <v>958</v>
      </c>
      <c r="J67" s="667">
        <v>80</v>
      </c>
      <c r="K67" s="667" t="s">
        <v>959</v>
      </c>
    </row>
    <row r="68" spans="1:11">
      <c r="A68" s="667" t="s">
        <v>955</v>
      </c>
      <c r="B68" s="667">
        <v>510519</v>
      </c>
      <c r="C68" s="667" t="s">
        <v>963</v>
      </c>
      <c r="D68" s="667" t="s">
        <v>790</v>
      </c>
      <c r="E68" s="667" t="s">
        <v>791</v>
      </c>
      <c r="F68" s="667" t="s">
        <v>792</v>
      </c>
      <c r="G68" s="667" t="s">
        <v>957</v>
      </c>
      <c r="H68" s="667">
        <v>53007</v>
      </c>
      <c r="I68" s="667" t="s">
        <v>958</v>
      </c>
      <c r="J68" s="667">
        <v>80</v>
      </c>
      <c r="K68" s="667" t="s">
        <v>959</v>
      </c>
    </row>
    <row r="69" spans="1:11">
      <c r="A69" s="667" t="s">
        <v>955</v>
      </c>
      <c r="B69" s="667">
        <v>510520</v>
      </c>
      <c r="C69" s="667" t="s">
        <v>964</v>
      </c>
      <c r="D69" s="667" t="s">
        <v>790</v>
      </c>
      <c r="E69" s="667" t="s">
        <v>791</v>
      </c>
      <c r="F69" s="667" t="s">
        <v>792</v>
      </c>
      <c r="G69" s="667" t="s">
        <v>957</v>
      </c>
      <c r="H69" s="667">
        <v>53008</v>
      </c>
      <c r="I69" s="667" t="s">
        <v>958</v>
      </c>
      <c r="J69" s="667">
        <v>80</v>
      </c>
      <c r="K69" s="667" t="s">
        <v>959</v>
      </c>
    </row>
    <row r="70" spans="1:11">
      <c r="A70" s="667" t="s">
        <v>955</v>
      </c>
      <c r="B70" s="667" t="s">
        <v>965</v>
      </c>
      <c r="C70" s="667" t="s">
        <v>838</v>
      </c>
      <c r="D70" s="667" t="s">
        <v>808</v>
      </c>
      <c r="E70" s="667" t="s">
        <v>791</v>
      </c>
      <c r="F70" s="667" t="s">
        <v>792</v>
      </c>
      <c r="G70" s="667" t="s">
        <v>957</v>
      </c>
      <c r="H70" s="667">
        <v>53023</v>
      </c>
      <c r="I70" s="667" t="s">
        <v>966</v>
      </c>
      <c r="J70" s="667">
        <v>7</v>
      </c>
      <c r="K70" s="667" t="s">
        <v>959</v>
      </c>
    </row>
    <row r="71" spans="1:11">
      <c r="A71" s="667" t="s">
        <v>955</v>
      </c>
      <c r="B71" s="667" t="s">
        <v>967</v>
      </c>
      <c r="C71" s="667" t="s">
        <v>839</v>
      </c>
      <c r="D71" s="667" t="s">
        <v>808</v>
      </c>
      <c r="E71" s="667" t="s">
        <v>791</v>
      </c>
      <c r="F71" s="667" t="s">
        <v>792</v>
      </c>
      <c r="G71" s="667" t="s">
        <v>957</v>
      </c>
      <c r="H71" s="667">
        <v>53024</v>
      </c>
      <c r="I71" s="667" t="s">
        <v>968</v>
      </c>
      <c r="J71" s="667">
        <v>7</v>
      </c>
      <c r="K71" s="667" t="s">
        <v>959</v>
      </c>
    </row>
    <row r="72" spans="1:11">
      <c r="A72" s="667" t="s">
        <v>969</v>
      </c>
      <c r="B72" s="667" t="s">
        <v>970</v>
      </c>
      <c r="C72" s="667" t="s">
        <v>971</v>
      </c>
      <c r="E72" s="667" t="s">
        <v>791</v>
      </c>
      <c r="F72" s="667" t="s">
        <v>792</v>
      </c>
      <c r="G72" s="667" t="s">
        <v>972</v>
      </c>
      <c r="H72" s="667">
        <v>51968</v>
      </c>
      <c r="I72" s="667" t="s">
        <v>973</v>
      </c>
      <c r="J72" s="667">
        <v>60</v>
      </c>
    </row>
    <row r="73" spans="1:11">
      <c r="A73" s="667" t="s">
        <v>969</v>
      </c>
      <c r="B73" s="667" t="s">
        <v>974</v>
      </c>
      <c r="C73" s="667" t="s">
        <v>975</v>
      </c>
      <c r="E73" s="667" t="s">
        <v>791</v>
      </c>
      <c r="F73" s="667" t="s">
        <v>792</v>
      </c>
      <c r="G73" s="667" t="s">
        <v>972</v>
      </c>
      <c r="H73" s="667">
        <v>52060</v>
      </c>
      <c r="I73" s="667" t="s">
        <v>973</v>
      </c>
      <c r="J73" s="667">
        <v>60</v>
      </c>
      <c r="K73" s="667" t="s">
        <v>976</v>
      </c>
    </row>
    <row r="74" spans="1:11">
      <c r="A74" s="667" t="s">
        <v>969</v>
      </c>
      <c r="B74" s="667" t="s">
        <v>977</v>
      </c>
      <c r="C74" s="667" t="s">
        <v>978</v>
      </c>
      <c r="E74" s="667" t="s">
        <v>791</v>
      </c>
      <c r="F74" s="667" t="s">
        <v>792</v>
      </c>
      <c r="G74" s="667" t="s">
        <v>972</v>
      </c>
      <c r="H74" s="667">
        <v>52061</v>
      </c>
      <c r="I74" s="667" t="s">
        <v>973</v>
      </c>
      <c r="J74" s="667">
        <v>60</v>
      </c>
      <c r="K74" s="667" t="s">
        <v>976</v>
      </c>
    </row>
    <row r="75" spans="1:11">
      <c r="A75" s="667" t="s">
        <v>969</v>
      </c>
      <c r="B75" s="667" t="s">
        <v>979</v>
      </c>
      <c r="C75" s="667" t="s">
        <v>980</v>
      </c>
      <c r="E75" s="667" t="s">
        <v>791</v>
      </c>
      <c r="F75" s="667" t="s">
        <v>792</v>
      </c>
      <c r="G75" s="667" t="s">
        <v>972</v>
      </c>
      <c r="H75" s="667">
        <v>52062</v>
      </c>
      <c r="I75" s="667" t="s">
        <v>973</v>
      </c>
      <c r="J75" s="667">
        <v>60</v>
      </c>
      <c r="K75" s="667" t="s">
        <v>976</v>
      </c>
    </row>
    <row r="76" spans="1:11">
      <c r="A76" s="667" t="s">
        <v>969</v>
      </c>
      <c r="B76" s="667" t="s">
        <v>981</v>
      </c>
      <c r="C76" s="667" t="s">
        <v>982</v>
      </c>
      <c r="E76" s="667" t="s">
        <v>791</v>
      </c>
      <c r="F76" s="667" t="s">
        <v>792</v>
      </c>
      <c r="G76" s="667" t="s">
        <v>972</v>
      </c>
      <c r="H76" s="667">
        <v>52063</v>
      </c>
      <c r="I76" s="667" t="s">
        <v>973</v>
      </c>
      <c r="J76" s="667">
        <v>60</v>
      </c>
    </row>
    <row r="77" spans="1:11">
      <c r="A77" s="667" t="s">
        <v>969</v>
      </c>
      <c r="B77" s="667" t="s">
        <v>983</v>
      </c>
      <c r="C77" s="667" t="s">
        <v>984</v>
      </c>
      <c r="E77" s="667" t="s">
        <v>791</v>
      </c>
      <c r="F77" s="667" t="s">
        <v>792</v>
      </c>
      <c r="G77" s="667" t="s">
        <v>972</v>
      </c>
      <c r="H77" s="667">
        <v>52064</v>
      </c>
      <c r="I77" s="667" t="s">
        <v>973</v>
      </c>
      <c r="J77" s="667">
        <v>60</v>
      </c>
      <c r="K77" s="667" t="s">
        <v>976</v>
      </c>
    </row>
    <row r="78" spans="1:11">
      <c r="A78" s="667" t="s">
        <v>969</v>
      </c>
      <c r="B78" s="667" t="s">
        <v>985</v>
      </c>
      <c r="C78" s="667" t="s">
        <v>986</v>
      </c>
      <c r="E78" s="667" t="s">
        <v>791</v>
      </c>
      <c r="F78" s="667" t="s">
        <v>792</v>
      </c>
      <c r="G78" s="667" t="s">
        <v>972</v>
      </c>
      <c r="H78" s="667">
        <v>52105</v>
      </c>
      <c r="I78" s="667" t="s">
        <v>987</v>
      </c>
      <c r="J78" s="667">
        <v>7</v>
      </c>
    </row>
    <row r="79" spans="1:11">
      <c r="A79" s="667" t="s">
        <v>969</v>
      </c>
      <c r="B79" s="667" t="s">
        <v>988</v>
      </c>
      <c r="C79" s="667" t="s">
        <v>989</v>
      </c>
      <c r="E79" s="667" t="s">
        <v>791</v>
      </c>
      <c r="F79" s="667" t="s">
        <v>792</v>
      </c>
      <c r="G79" s="667" t="s">
        <v>972</v>
      </c>
      <c r="H79" s="667">
        <v>51945</v>
      </c>
      <c r="I79" s="667" t="s">
        <v>987</v>
      </c>
      <c r="J79" s="667">
        <v>7</v>
      </c>
    </row>
    <row r="80" spans="1:11">
      <c r="A80" s="667" t="s">
        <v>955</v>
      </c>
      <c r="B80" s="667">
        <v>510509</v>
      </c>
      <c r="C80" s="667" t="s">
        <v>922</v>
      </c>
      <c r="D80" s="667" t="s">
        <v>990</v>
      </c>
      <c r="E80" s="667" t="s">
        <v>791</v>
      </c>
      <c r="F80" s="667" t="s">
        <v>817</v>
      </c>
      <c r="G80" s="667" t="s">
        <v>991</v>
      </c>
      <c r="H80" s="667">
        <v>52888</v>
      </c>
      <c r="I80" s="667" t="s">
        <v>992</v>
      </c>
      <c r="J80" s="667">
        <v>70</v>
      </c>
      <c r="K80" s="667" t="s">
        <v>959</v>
      </c>
    </row>
    <row r="81" spans="1:11">
      <c r="A81" s="667" t="s">
        <v>955</v>
      </c>
      <c r="B81" s="667">
        <v>510510</v>
      </c>
      <c r="C81" s="667" t="s">
        <v>927</v>
      </c>
      <c r="D81" s="667" t="s">
        <v>990</v>
      </c>
      <c r="E81" s="667" t="s">
        <v>791</v>
      </c>
      <c r="F81" s="667" t="s">
        <v>817</v>
      </c>
      <c r="G81" s="667" t="s">
        <v>991</v>
      </c>
      <c r="H81" s="667">
        <v>52889</v>
      </c>
      <c r="I81" s="667" t="s">
        <v>992</v>
      </c>
      <c r="J81" s="667">
        <v>70</v>
      </c>
      <c r="K81" s="667" t="s">
        <v>959</v>
      </c>
    </row>
    <row r="82" spans="1:11">
      <c r="A82" s="667" t="s">
        <v>955</v>
      </c>
      <c r="B82" s="667">
        <v>510511</v>
      </c>
      <c r="C82" s="667" t="s">
        <v>993</v>
      </c>
      <c r="D82" s="667" t="s">
        <v>990</v>
      </c>
      <c r="E82" s="667" t="s">
        <v>791</v>
      </c>
      <c r="F82" s="667" t="s">
        <v>817</v>
      </c>
      <c r="G82" s="667" t="s">
        <v>991</v>
      </c>
      <c r="H82" s="667">
        <v>52890</v>
      </c>
      <c r="I82" s="667" t="s">
        <v>992</v>
      </c>
      <c r="J82" s="667">
        <v>70</v>
      </c>
      <c r="K82" s="667" t="s">
        <v>959</v>
      </c>
    </row>
    <row r="83" spans="1:11">
      <c r="A83" s="667" t="s">
        <v>955</v>
      </c>
      <c r="B83" s="667">
        <v>510512</v>
      </c>
      <c r="C83" s="667" t="s">
        <v>833</v>
      </c>
      <c r="D83" s="667" t="s">
        <v>990</v>
      </c>
      <c r="E83" s="667" t="s">
        <v>791</v>
      </c>
      <c r="F83" s="667" t="s">
        <v>792</v>
      </c>
      <c r="G83" s="667" t="s">
        <v>991</v>
      </c>
      <c r="H83" s="667">
        <v>52891</v>
      </c>
      <c r="I83" s="667" t="s">
        <v>994</v>
      </c>
      <c r="J83" s="667">
        <v>100</v>
      </c>
      <c r="K83" s="667" t="s">
        <v>995</v>
      </c>
    </row>
    <row r="84" spans="1:11">
      <c r="A84" s="667" t="s">
        <v>955</v>
      </c>
      <c r="B84" s="667">
        <v>510513</v>
      </c>
      <c r="C84" s="667" t="s">
        <v>836</v>
      </c>
      <c r="D84" s="667" t="s">
        <v>990</v>
      </c>
      <c r="E84" s="667" t="s">
        <v>791</v>
      </c>
      <c r="F84" s="667" t="s">
        <v>792</v>
      </c>
      <c r="G84" s="667" t="s">
        <v>991</v>
      </c>
      <c r="H84" s="667">
        <v>52892</v>
      </c>
      <c r="I84" s="667" t="s">
        <v>996</v>
      </c>
      <c r="J84" s="667">
        <v>100</v>
      </c>
      <c r="K84" s="667" t="s">
        <v>995</v>
      </c>
    </row>
    <row r="85" spans="1:11">
      <c r="A85" s="667" t="s">
        <v>955</v>
      </c>
      <c r="B85" s="667">
        <v>510514</v>
      </c>
      <c r="C85" s="667" t="s">
        <v>837</v>
      </c>
      <c r="D85" s="667" t="s">
        <v>990</v>
      </c>
      <c r="E85" s="667" t="s">
        <v>791</v>
      </c>
      <c r="F85" s="667" t="s">
        <v>792</v>
      </c>
      <c r="G85" s="667" t="s">
        <v>991</v>
      </c>
      <c r="H85" s="667">
        <v>52893</v>
      </c>
      <c r="I85" s="667" t="s">
        <v>997</v>
      </c>
      <c r="J85" s="667">
        <v>100</v>
      </c>
      <c r="K85" s="667" t="s">
        <v>995</v>
      </c>
    </row>
    <row r="86" spans="1:11">
      <c r="A86" s="667" t="s">
        <v>955</v>
      </c>
      <c r="B86" s="667">
        <v>119701</v>
      </c>
      <c r="C86" s="667" t="s">
        <v>998</v>
      </c>
      <c r="D86" s="667" t="s">
        <v>999</v>
      </c>
      <c r="E86" s="667" t="s">
        <v>791</v>
      </c>
      <c r="F86" s="667" t="s">
        <v>792</v>
      </c>
      <c r="G86" s="667" t="s">
        <v>1000</v>
      </c>
      <c r="H86" s="667">
        <v>51884</v>
      </c>
      <c r="I86" s="667" t="s">
        <v>1001</v>
      </c>
      <c r="J86" s="667">
        <v>85</v>
      </c>
      <c r="K86" s="667" t="s">
        <v>1002</v>
      </c>
    </row>
    <row r="87" spans="1:11">
      <c r="A87" s="667" t="s">
        <v>955</v>
      </c>
      <c r="B87" s="667">
        <v>119702</v>
      </c>
      <c r="C87" s="667" t="s">
        <v>1003</v>
      </c>
      <c r="D87" s="667" t="s">
        <v>999</v>
      </c>
      <c r="E87" s="667" t="s">
        <v>791</v>
      </c>
      <c r="F87" s="667" t="s">
        <v>792</v>
      </c>
      <c r="G87" s="667" t="s">
        <v>1000</v>
      </c>
      <c r="H87" s="667">
        <v>51885</v>
      </c>
      <c r="I87" s="667" t="s">
        <v>1001</v>
      </c>
      <c r="J87" s="667">
        <v>85</v>
      </c>
      <c r="K87" s="667" t="s">
        <v>1002</v>
      </c>
    </row>
    <row r="88" spans="1:11">
      <c r="A88" s="667" t="s">
        <v>955</v>
      </c>
      <c r="B88" s="667">
        <v>119703</v>
      </c>
      <c r="C88" s="667" t="s">
        <v>1004</v>
      </c>
      <c r="D88" s="667" t="s">
        <v>999</v>
      </c>
      <c r="E88" s="667" t="s">
        <v>791</v>
      </c>
      <c r="F88" s="667" t="s">
        <v>792</v>
      </c>
      <c r="G88" s="667" t="s">
        <v>1000</v>
      </c>
      <c r="H88" s="667">
        <v>51886</v>
      </c>
      <c r="I88" s="667" t="s">
        <v>1001</v>
      </c>
      <c r="J88" s="667">
        <v>85</v>
      </c>
      <c r="K88" s="667" t="s">
        <v>1002</v>
      </c>
    </row>
    <row r="89" spans="1:11">
      <c r="A89" s="667" t="s">
        <v>955</v>
      </c>
      <c r="B89" s="667">
        <v>119704</v>
      </c>
      <c r="C89" s="667" t="s">
        <v>1005</v>
      </c>
      <c r="D89" s="667" t="s">
        <v>1006</v>
      </c>
      <c r="E89" s="667" t="s">
        <v>791</v>
      </c>
      <c r="F89" s="667" t="s">
        <v>792</v>
      </c>
      <c r="G89" s="667" t="s">
        <v>1000</v>
      </c>
      <c r="H89" s="667">
        <v>51888</v>
      </c>
      <c r="I89" s="667" t="s">
        <v>1001</v>
      </c>
      <c r="J89" s="667">
        <v>85</v>
      </c>
      <c r="K89" s="667" t="s">
        <v>1002</v>
      </c>
    </row>
    <row r="90" spans="1:11">
      <c r="A90" s="667" t="s">
        <v>955</v>
      </c>
      <c r="B90" s="667">
        <v>119705</v>
      </c>
      <c r="C90" s="667" t="s">
        <v>1007</v>
      </c>
      <c r="D90" s="667" t="s">
        <v>999</v>
      </c>
      <c r="E90" s="667" t="s">
        <v>791</v>
      </c>
      <c r="F90" s="667" t="s">
        <v>792</v>
      </c>
      <c r="G90" s="667" t="s">
        <v>1000</v>
      </c>
      <c r="H90" s="667">
        <v>51887</v>
      </c>
      <c r="I90" s="667" t="s">
        <v>1001</v>
      </c>
      <c r="J90" s="667">
        <v>85</v>
      </c>
      <c r="K90" s="667" t="s">
        <v>1002</v>
      </c>
    </row>
    <row r="91" spans="1:11">
      <c r="A91" s="667" t="s">
        <v>955</v>
      </c>
      <c r="B91" s="667">
        <v>119758</v>
      </c>
      <c r="C91" s="667" t="s">
        <v>1008</v>
      </c>
      <c r="D91" s="667" t="s">
        <v>1009</v>
      </c>
      <c r="E91" s="667" t="s">
        <v>791</v>
      </c>
      <c r="F91" s="667" t="s">
        <v>792</v>
      </c>
      <c r="G91" s="667" t="s">
        <v>1000</v>
      </c>
      <c r="H91" s="667">
        <v>51903</v>
      </c>
      <c r="I91" s="667" t="s">
        <v>1010</v>
      </c>
      <c r="J91" s="667">
        <v>8</v>
      </c>
      <c r="K91" s="667" t="s">
        <v>1011</v>
      </c>
    </row>
    <row r="92" spans="1:11">
      <c r="A92" s="667" t="s">
        <v>955</v>
      </c>
      <c r="B92" s="667">
        <v>510544</v>
      </c>
      <c r="C92" s="667" t="s">
        <v>1012</v>
      </c>
      <c r="D92" s="667" t="s">
        <v>875</v>
      </c>
      <c r="E92" s="667" t="s">
        <v>791</v>
      </c>
      <c r="F92" s="667" t="s">
        <v>817</v>
      </c>
      <c r="G92" s="667" t="s">
        <v>1000</v>
      </c>
      <c r="H92" s="667">
        <v>51889</v>
      </c>
      <c r="I92" s="667" t="s">
        <v>958</v>
      </c>
      <c r="J92" s="667">
        <v>70</v>
      </c>
      <c r="K92" s="667" t="s">
        <v>1002</v>
      </c>
    </row>
    <row r="93" spans="1:11">
      <c r="A93" s="667" t="s">
        <v>955</v>
      </c>
      <c r="B93" s="667">
        <v>510545</v>
      </c>
      <c r="C93" s="667" t="s">
        <v>1013</v>
      </c>
      <c r="D93" s="667" t="s">
        <v>875</v>
      </c>
      <c r="E93" s="667" t="s">
        <v>791</v>
      </c>
      <c r="F93" s="667" t="s">
        <v>817</v>
      </c>
      <c r="G93" s="667" t="s">
        <v>1000</v>
      </c>
      <c r="H93" s="667">
        <v>51890</v>
      </c>
      <c r="I93" s="667" t="s">
        <v>958</v>
      </c>
      <c r="J93" s="667">
        <v>70</v>
      </c>
      <c r="K93" s="667" t="s">
        <v>1002</v>
      </c>
    </row>
    <row r="94" spans="1:11">
      <c r="A94" s="667" t="s">
        <v>920</v>
      </c>
      <c r="B94" s="667" t="s">
        <v>1014</v>
      </c>
      <c r="C94" s="667" t="s">
        <v>941</v>
      </c>
      <c r="D94" s="667" t="s">
        <v>828</v>
      </c>
      <c r="E94" s="667" t="s">
        <v>791</v>
      </c>
      <c r="F94" s="667" t="s">
        <v>792</v>
      </c>
      <c r="G94" s="667" t="s">
        <v>1015</v>
      </c>
      <c r="H94" s="667">
        <v>51466</v>
      </c>
      <c r="I94" s="667" t="s">
        <v>1016</v>
      </c>
      <c r="J94" s="667">
        <v>60</v>
      </c>
    </row>
    <row r="95" spans="1:11">
      <c r="A95" s="667" t="s">
        <v>920</v>
      </c>
      <c r="B95" s="667" t="s">
        <v>1017</v>
      </c>
      <c r="C95" s="667" t="s">
        <v>1018</v>
      </c>
      <c r="D95" s="667" t="s">
        <v>828</v>
      </c>
      <c r="E95" s="667" t="s">
        <v>791</v>
      </c>
      <c r="F95" s="667" t="s">
        <v>792</v>
      </c>
      <c r="G95" s="667" t="s">
        <v>1015</v>
      </c>
      <c r="H95" s="667">
        <v>51467</v>
      </c>
      <c r="I95" s="667" t="s">
        <v>1019</v>
      </c>
      <c r="J95" s="667">
        <v>60</v>
      </c>
    </row>
    <row r="96" spans="1:11">
      <c r="A96" s="667" t="s">
        <v>920</v>
      </c>
      <c r="B96" s="667" t="s">
        <v>1020</v>
      </c>
      <c r="C96" s="667" t="s">
        <v>1021</v>
      </c>
      <c r="D96" s="667" t="s">
        <v>828</v>
      </c>
      <c r="E96" s="667" t="s">
        <v>791</v>
      </c>
      <c r="F96" s="667" t="s">
        <v>792</v>
      </c>
      <c r="G96" s="667" t="s">
        <v>1015</v>
      </c>
      <c r="H96" s="667">
        <v>51468</v>
      </c>
      <c r="I96" s="667" t="s">
        <v>1022</v>
      </c>
      <c r="J96" s="667">
        <v>60</v>
      </c>
    </row>
    <row r="97" spans="1:10">
      <c r="A97" s="667" t="s">
        <v>920</v>
      </c>
      <c r="B97" s="667" t="s">
        <v>1023</v>
      </c>
      <c r="C97" s="667" t="s">
        <v>1024</v>
      </c>
      <c r="D97" s="667" t="s">
        <v>1025</v>
      </c>
      <c r="E97" s="667" t="s">
        <v>791</v>
      </c>
      <c r="F97" s="667" t="s">
        <v>792</v>
      </c>
      <c r="G97" s="667" t="s">
        <v>1015</v>
      </c>
      <c r="H97" s="667">
        <v>51470</v>
      </c>
      <c r="I97" s="667" t="s">
        <v>936</v>
      </c>
      <c r="J97" s="667">
        <v>60</v>
      </c>
    </row>
    <row r="98" spans="1:10">
      <c r="A98" s="667" t="s">
        <v>920</v>
      </c>
      <c r="B98" s="667" t="s">
        <v>1026</v>
      </c>
      <c r="C98" s="667" t="s">
        <v>933</v>
      </c>
      <c r="D98" s="667" t="s">
        <v>828</v>
      </c>
      <c r="E98" s="667" t="s">
        <v>791</v>
      </c>
      <c r="F98" s="667" t="s">
        <v>792</v>
      </c>
      <c r="G98" s="667" t="s">
        <v>1015</v>
      </c>
      <c r="H98" s="667">
        <v>51469</v>
      </c>
      <c r="I98" s="667" t="s">
        <v>1022</v>
      </c>
      <c r="J98" s="667">
        <v>60</v>
      </c>
    </row>
    <row r="99" spans="1:10">
      <c r="A99" s="667" t="s">
        <v>920</v>
      </c>
      <c r="B99" s="667" t="s">
        <v>1027</v>
      </c>
      <c r="C99" s="667" t="s">
        <v>938</v>
      </c>
      <c r="D99" s="667" t="s">
        <v>828</v>
      </c>
      <c r="E99" s="667" t="s">
        <v>791</v>
      </c>
      <c r="F99" s="667" t="s">
        <v>792</v>
      </c>
      <c r="G99" s="667" t="s">
        <v>1015</v>
      </c>
      <c r="H99" s="667">
        <v>51464</v>
      </c>
      <c r="I99" s="667" t="s">
        <v>1028</v>
      </c>
      <c r="J99" s="667">
        <v>60</v>
      </c>
    </row>
    <row r="100" spans="1:10">
      <c r="A100" s="667" t="s">
        <v>920</v>
      </c>
      <c r="B100" s="667" t="s">
        <v>1029</v>
      </c>
      <c r="C100" s="667" t="s">
        <v>944</v>
      </c>
      <c r="D100" s="667" t="s">
        <v>828</v>
      </c>
      <c r="E100" s="667" t="s">
        <v>791</v>
      </c>
      <c r="F100" s="667" t="s">
        <v>792</v>
      </c>
      <c r="G100" s="667" t="s">
        <v>1015</v>
      </c>
      <c r="H100" s="667">
        <v>51465</v>
      </c>
      <c r="I100" s="667" t="s">
        <v>1019</v>
      </c>
      <c r="J100" s="667">
        <v>60</v>
      </c>
    </row>
    <row r="101" spans="1:10">
      <c r="A101" s="667" t="s">
        <v>1030</v>
      </c>
      <c r="B101" s="667" t="s">
        <v>1031</v>
      </c>
      <c r="C101" s="667" t="s">
        <v>1032</v>
      </c>
      <c r="E101" s="667" t="s">
        <v>791</v>
      </c>
      <c r="F101" s="667" t="s">
        <v>792</v>
      </c>
      <c r="G101" s="667" t="s">
        <v>1033</v>
      </c>
      <c r="H101" s="667">
        <v>54522</v>
      </c>
      <c r="I101" s="667" t="s">
        <v>1034</v>
      </c>
      <c r="J101" s="667">
        <v>40</v>
      </c>
    </row>
    <row r="102" spans="1:10">
      <c r="A102" s="667" t="s">
        <v>1030</v>
      </c>
      <c r="B102" s="667" t="s">
        <v>1035</v>
      </c>
      <c r="C102" s="667" t="s">
        <v>1036</v>
      </c>
      <c r="E102" s="667" t="s">
        <v>791</v>
      </c>
      <c r="F102" s="667" t="s">
        <v>792</v>
      </c>
      <c r="G102" s="667" t="s">
        <v>1033</v>
      </c>
      <c r="H102" s="667">
        <v>54523</v>
      </c>
      <c r="I102" s="667" t="s">
        <v>1037</v>
      </c>
      <c r="J102" s="667">
        <v>40</v>
      </c>
    </row>
    <row r="103" spans="1:10">
      <c r="A103" s="667" t="s">
        <v>1030</v>
      </c>
      <c r="B103" s="667" t="s">
        <v>1038</v>
      </c>
      <c r="C103" s="667" t="s">
        <v>1039</v>
      </c>
      <c r="E103" s="667" t="s">
        <v>791</v>
      </c>
      <c r="F103" s="667" t="s">
        <v>792</v>
      </c>
      <c r="G103" s="667" t="s">
        <v>1033</v>
      </c>
      <c r="H103" s="667">
        <v>54524</v>
      </c>
      <c r="I103" s="667" t="s">
        <v>1037</v>
      </c>
      <c r="J103" s="667">
        <v>40</v>
      </c>
    </row>
    <row r="104" spans="1:10">
      <c r="A104" s="667" t="s">
        <v>1040</v>
      </c>
      <c r="B104" s="667">
        <v>957807</v>
      </c>
      <c r="C104" s="667" t="s">
        <v>1041</v>
      </c>
      <c r="D104" s="667" t="s">
        <v>1009</v>
      </c>
      <c r="E104" s="667" t="s">
        <v>791</v>
      </c>
      <c r="F104" s="667" t="s">
        <v>792</v>
      </c>
      <c r="G104" s="667" t="s">
        <v>1042</v>
      </c>
      <c r="H104" s="667">
        <v>59188</v>
      </c>
      <c r="I104" s="667" t="s">
        <v>1043</v>
      </c>
      <c r="J104" s="667">
        <v>3</v>
      </c>
    </row>
    <row r="105" spans="1:10">
      <c r="A105" s="667" t="s">
        <v>1040</v>
      </c>
      <c r="B105" s="667" t="s">
        <v>1044</v>
      </c>
      <c r="C105" s="667" t="s">
        <v>1045</v>
      </c>
      <c r="D105" s="667" t="s">
        <v>1046</v>
      </c>
      <c r="E105" s="667" t="s">
        <v>791</v>
      </c>
      <c r="F105" s="667" t="s">
        <v>792</v>
      </c>
      <c r="G105" s="667" t="s">
        <v>1042</v>
      </c>
      <c r="H105" s="667">
        <v>60433</v>
      </c>
      <c r="I105" s="667" t="s">
        <v>1047</v>
      </c>
      <c r="J105" s="667">
        <v>90</v>
      </c>
    </row>
    <row r="106" spans="1:10">
      <c r="A106" s="667" t="s">
        <v>1040</v>
      </c>
      <c r="B106" s="667" t="s">
        <v>1048</v>
      </c>
      <c r="C106" s="667" t="s">
        <v>1049</v>
      </c>
      <c r="D106" s="667" t="s">
        <v>1046</v>
      </c>
      <c r="E106" s="667" t="s">
        <v>791</v>
      </c>
      <c r="F106" s="667" t="s">
        <v>792</v>
      </c>
      <c r="G106" s="667" t="s">
        <v>1042</v>
      </c>
      <c r="H106" s="667">
        <v>60435</v>
      </c>
      <c r="I106" s="667" t="s">
        <v>1050</v>
      </c>
      <c r="J106" s="670">
        <v>81.8</v>
      </c>
    </row>
    <row r="107" spans="1:10">
      <c r="A107" s="667" t="s">
        <v>1040</v>
      </c>
      <c r="B107" s="667" t="s">
        <v>1051</v>
      </c>
      <c r="C107" s="667" t="s">
        <v>1052</v>
      </c>
      <c r="D107" s="667" t="s">
        <v>1046</v>
      </c>
      <c r="E107" s="667" t="s">
        <v>791</v>
      </c>
      <c r="F107" s="667" t="s">
        <v>792</v>
      </c>
      <c r="G107" s="667" t="s">
        <v>1042</v>
      </c>
      <c r="H107" s="667">
        <v>60436</v>
      </c>
      <c r="I107" s="667" t="s">
        <v>1053</v>
      </c>
      <c r="J107" s="670">
        <v>81.8</v>
      </c>
    </row>
    <row r="108" spans="1:10">
      <c r="A108" s="667" t="s">
        <v>1040</v>
      </c>
      <c r="B108" s="667" t="s">
        <v>1054</v>
      </c>
      <c r="C108" s="667" t="s">
        <v>1055</v>
      </c>
      <c r="D108" s="667" t="s">
        <v>1046</v>
      </c>
      <c r="E108" s="667" t="s">
        <v>791</v>
      </c>
      <c r="F108" s="667" t="s">
        <v>792</v>
      </c>
      <c r="G108" s="667" t="s">
        <v>1042</v>
      </c>
      <c r="H108" s="667">
        <v>60437</v>
      </c>
      <c r="I108" s="667" t="s">
        <v>1056</v>
      </c>
      <c r="J108" s="670">
        <v>81.8</v>
      </c>
    </row>
    <row r="109" spans="1:10">
      <c r="A109" s="667" t="s">
        <v>1040</v>
      </c>
      <c r="B109" s="667" t="s">
        <v>1057</v>
      </c>
      <c r="C109" s="667" t="s">
        <v>1058</v>
      </c>
      <c r="D109" s="667" t="s">
        <v>1059</v>
      </c>
      <c r="E109" s="667" t="s">
        <v>791</v>
      </c>
      <c r="F109" s="667" t="s">
        <v>792</v>
      </c>
      <c r="G109" s="667" t="s">
        <v>1042</v>
      </c>
      <c r="H109" s="667">
        <v>60438</v>
      </c>
      <c r="I109" s="667" t="s">
        <v>1060</v>
      </c>
      <c r="J109" s="670">
        <v>81.8</v>
      </c>
    </row>
    <row r="110" spans="1:10">
      <c r="A110" s="667" t="s">
        <v>1040</v>
      </c>
      <c r="B110" s="667" t="s">
        <v>1061</v>
      </c>
      <c r="C110" s="667" t="s">
        <v>1062</v>
      </c>
      <c r="D110" s="667" t="s">
        <v>1059</v>
      </c>
      <c r="E110" s="667" t="s">
        <v>791</v>
      </c>
      <c r="F110" s="667" t="s">
        <v>792</v>
      </c>
      <c r="G110" s="667" t="s">
        <v>1042</v>
      </c>
      <c r="H110" s="667">
        <v>60439</v>
      </c>
      <c r="I110" s="667" t="s">
        <v>1063</v>
      </c>
      <c r="J110" s="670">
        <v>81.8</v>
      </c>
    </row>
    <row r="111" spans="1:10">
      <c r="A111" s="667" t="s">
        <v>1040</v>
      </c>
      <c r="B111" s="667" t="s">
        <v>1064</v>
      </c>
      <c r="C111" s="667" t="s">
        <v>1065</v>
      </c>
      <c r="D111" s="667" t="s">
        <v>1059</v>
      </c>
      <c r="E111" s="667" t="s">
        <v>791</v>
      </c>
      <c r="F111" s="667" t="s">
        <v>792</v>
      </c>
      <c r="G111" s="667" t="s">
        <v>1042</v>
      </c>
      <c r="H111" s="667">
        <v>60440</v>
      </c>
      <c r="I111" s="667" t="s">
        <v>1066</v>
      </c>
      <c r="J111" s="670">
        <v>81.8</v>
      </c>
    </row>
    <row r="112" spans="1:10">
      <c r="A112" s="667" t="s">
        <v>1040</v>
      </c>
      <c r="B112" s="667" t="s">
        <v>1067</v>
      </c>
      <c r="C112" s="667" t="s">
        <v>1068</v>
      </c>
      <c r="D112" s="667" t="s">
        <v>1059</v>
      </c>
      <c r="E112" s="667" t="s">
        <v>791</v>
      </c>
      <c r="F112" s="667" t="s">
        <v>792</v>
      </c>
      <c r="G112" s="667" t="s">
        <v>1042</v>
      </c>
      <c r="H112" s="667">
        <v>60441</v>
      </c>
      <c r="I112" s="667" t="s">
        <v>1069</v>
      </c>
      <c r="J112" s="670">
        <v>81.8</v>
      </c>
    </row>
    <row r="113" spans="1:11">
      <c r="A113" s="667" t="s">
        <v>1040</v>
      </c>
      <c r="B113" s="667" t="s">
        <v>1070</v>
      </c>
      <c r="C113" s="667" t="s">
        <v>1071</v>
      </c>
      <c r="D113" s="667" t="s">
        <v>1072</v>
      </c>
      <c r="E113" s="667" t="s">
        <v>791</v>
      </c>
      <c r="F113" s="667" t="s">
        <v>792</v>
      </c>
      <c r="G113" s="667" t="s">
        <v>1042</v>
      </c>
      <c r="H113" s="667">
        <v>60442</v>
      </c>
      <c r="I113" s="667" t="s">
        <v>1073</v>
      </c>
      <c r="J113" s="670">
        <v>81.8</v>
      </c>
    </row>
    <row r="114" spans="1:11">
      <c r="A114" s="667" t="s">
        <v>1040</v>
      </c>
      <c r="B114" s="667" t="s">
        <v>1074</v>
      </c>
      <c r="C114" s="667" t="s">
        <v>1075</v>
      </c>
      <c r="D114" s="667" t="s">
        <v>1072</v>
      </c>
      <c r="E114" s="667" t="s">
        <v>791</v>
      </c>
      <c r="F114" s="667" t="s">
        <v>792</v>
      </c>
      <c r="G114" s="667" t="s">
        <v>1042</v>
      </c>
      <c r="H114" s="667">
        <v>60444</v>
      </c>
      <c r="I114" s="667" t="s">
        <v>1076</v>
      </c>
      <c r="J114" s="670">
        <v>81.8</v>
      </c>
    </row>
    <row r="115" spans="1:11">
      <c r="A115" s="667" t="s">
        <v>1040</v>
      </c>
      <c r="B115" s="667" t="s">
        <v>1077</v>
      </c>
      <c r="C115" s="667" t="s">
        <v>1078</v>
      </c>
      <c r="D115" s="667" t="s">
        <v>1072</v>
      </c>
      <c r="E115" s="667" t="s">
        <v>791</v>
      </c>
      <c r="F115" s="667" t="s">
        <v>792</v>
      </c>
      <c r="G115" s="667" t="s">
        <v>1042</v>
      </c>
      <c r="H115" s="667">
        <v>60445</v>
      </c>
      <c r="I115" s="667" t="s">
        <v>1079</v>
      </c>
      <c r="J115" s="670">
        <v>81.8</v>
      </c>
    </row>
    <row r="116" spans="1:11">
      <c r="A116" s="667" t="s">
        <v>1040</v>
      </c>
      <c r="B116" s="667" t="s">
        <v>1080</v>
      </c>
      <c r="C116" s="667" t="s">
        <v>1081</v>
      </c>
      <c r="D116" s="667" t="s">
        <v>1072</v>
      </c>
      <c r="E116" s="667" t="s">
        <v>791</v>
      </c>
      <c r="F116" s="667" t="s">
        <v>792</v>
      </c>
      <c r="G116" s="667" t="s">
        <v>1042</v>
      </c>
      <c r="H116" s="667">
        <v>60443</v>
      </c>
      <c r="I116" s="667" t="s">
        <v>1082</v>
      </c>
      <c r="J116" s="670">
        <v>81.8</v>
      </c>
    </row>
    <row r="117" spans="1:11">
      <c r="A117" s="667" t="s">
        <v>814</v>
      </c>
      <c r="B117" s="667">
        <v>15468</v>
      </c>
      <c r="C117" s="667" t="s">
        <v>1083</v>
      </c>
      <c r="E117" s="667" t="s">
        <v>791</v>
      </c>
      <c r="F117" s="667" t="s">
        <v>792</v>
      </c>
      <c r="G117" s="667" t="s">
        <v>1084</v>
      </c>
      <c r="H117" s="667">
        <v>54123</v>
      </c>
      <c r="I117" s="667" t="s">
        <v>1085</v>
      </c>
      <c r="J117" s="667">
        <v>7</v>
      </c>
    </row>
    <row r="118" spans="1:11">
      <c r="A118" s="667" t="s">
        <v>814</v>
      </c>
      <c r="B118" s="667">
        <v>15469</v>
      </c>
      <c r="C118" s="667" t="s">
        <v>1086</v>
      </c>
      <c r="D118" s="667" t="s">
        <v>1087</v>
      </c>
      <c r="E118" s="667" t="s">
        <v>791</v>
      </c>
      <c r="F118" s="667" t="s">
        <v>1088</v>
      </c>
      <c r="G118" s="667" t="s">
        <v>1084</v>
      </c>
      <c r="H118" s="667">
        <v>54124</v>
      </c>
      <c r="I118" s="667" t="s">
        <v>1089</v>
      </c>
      <c r="J118" s="667">
        <v>7</v>
      </c>
    </row>
    <row r="119" spans="1:11">
      <c r="A119" s="667" t="s">
        <v>814</v>
      </c>
      <c r="B119" s="667">
        <v>119207</v>
      </c>
      <c r="C119" s="667" t="s">
        <v>827</v>
      </c>
      <c r="D119" s="667" t="s">
        <v>1090</v>
      </c>
      <c r="E119" s="667" t="s">
        <v>791</v>
      </c>
      <c r="F119" s="667" t="s">
        <v>792</v>
      </c>
      <c r="G119" s="667" t="s">
        <v>1084</v>
      </c>
      <c r="H119" s="667">
        <v>54117</v>
      </c>
      <c r="I119" s="667" t="s">
        <v>1091</v>
      </c>
      <c r="J119" s="667">
        <v>75</v>
      </c>
    </row>
    <row r="120" spans="1:11">
      <c r="A120" s="667" t="s">
        <v>814</v>
      </c>
      <c r="B120" s="667">
        <v>119208</v>
      </c>
      <c r="C120" s="667" t="s">
        <v>831</v>
      </c>
      <c r="D120" s="667" t="s">
        <v>1090</v>
      </c>
      <c r="E120" s="667" t="s">
        <v>791</v>
      </c>
      <c r="F120" s="667" t="s">
        <v>792</v>
      </c>
      <c r="G120" s="667" t="s">
        <v>1084</v>
      </c>
      <c r="H120" s="667">
        <v>54118</v>
      </c>
      <c r="I120" s="667" t="s">
        <v>1092</v>
      </c>
      <c r="J120" s="667">
        <v>75</v>
      </c>
    </row>
    <row r="121" spans="1:11">
      <c r="A121" s="667" t="s">
        <v>814</v>
      </c>
      <c r="B121" s="667">
        <v>119209</v>
      </c>
      <c r="C121" s="667" t="s">
        <v>832</v>
      </c>
      <c r="D121" s="667" t="s">
        <v>1090</v>
      </c>
      <c r="E121" s="667" t="s">
        <v>791</v>
      </c>
      <c r="F121" s="667" t="s">
        <v>792</v>
      </c>
      <c r="G121" s="667" t="s">
        <v>1084</v>
      </c>
      <c r="H121" s="667">
        <v>54119</v>
      </c>
      <c r="I121" s="667" t="s">
        <v>1092</v>
      </c>
      <c r="J121" s="667">
        <v>75</v>
      </c>
    </row>
    <row r="122" spans="1:11">
      <c r="A122" s="667" t="s">
        <v>814</v>
      </c>
      <c r="B122" s="667">
        <v>119223</v>
      </c>
      <c r="C122" s="667" t="s">
        <v>1093</v>
      </c>
      <c r="D122" s="667" t="s">
        <v>923</v>
      </c>
      <c r="E122" s="667" t="s">
        <v>791</v>
      </c>
      <c r="F122" s="667" t="s">
        <v>1088</v>
      </c>
      <c r="G122" s="667" t="s">
        <v>1084</v>
      </c>
      <c r="H122" s="667">
        <v>54120</v>
      </c>
      <c r="I122" s="667" t="s">
        <v>1094</v>
      </c>
      <c r="J122" s="667">
        <v>75</v>
      </c>
    </row>
    <row r="123" spans="1:11">
      <c r="A123" s="667" t="s">
        <v>814</v>
      </c>
      <c r="B123" s="667">
        <v>119224</v>
      </c>
      <c r="C123" s="667" t="s">
        <v>1095</v>
      </c>
      <c r="D123" s="667" t="s">
        <v>923</v>
      </c>
      <c r="E123" s="667" t="s">
        <v>791</v>
      </c>
      <c r="F123" s="667" t="s">
        <v>1088</v>
      </c>
      <c r="G123" s="667" t="s">
        <v>1084</v>
      </c>
      <c r="H123" s="667">
        <v>54121</v>
      </c>
      <c r="I123" s="667" t="s">
        <v>1096</v>
      </c>
      <c r="J123" s="667">
        <v>75</v>
      </c>
    </row>
    <row r="124" spans="1:11">
      <c r="A124" s="667" t="s">
        <v>814</v>
      </c>
      <c r="B124" s="667">
        <v>119225</v>
      </c>
      <c r="C124" s="667" t="s">
        <v>1097</v>
      </c>
      <c r="D124" s="667" t="s">
        <v>923</v>
      </c>
      <c r="E124" s="667" t="s">
        <v>791</v>
      </c>
      <c r="F124" s="667" t="s">
        <v>1088</v>
      </c>
      <c r="G124" s="667" t="s">
        <v>1084</v>
      </c>
      <c r="H124" s="667">
        <v>54122</v>
      </c>
      <c r="I124" s="667" t="s">
        <v>1094</v>
      </c>
      <c r="J124" s="667">
        <v>75</v>
      </c>
    </row>
    <row r="125" spans="1:11">
      <c r="A125" s="739" t="s">
        <v>1098</v>
      </c>
      <c r="B125" s="739" t="s">
        <v>1099</v>
      </c>
      <c r="C125" s="739" t="s">
        <v>1100</v>
      </c>
      <c r="D125" s="739" t="s">
        <v>1101</v>
      </c>
      <c r="E125" s="739" t="s">
        <v>791</v>
      </c>
      <c r="F125" s="739" t="s">
        <v>792</v>
      </c>
      <c r="G125" s="739" t="s">
        <v>1102</v>
      </c>
      <c r="H125" s="739">
        <v>51684</v>
      </c>
      <c r="I125" s="739" t="s">
        <v>1103</v>
      </c>
      <c r="J125" s="739">
        <v>18</v>
      </c>
      <c r="K125" s="739"/>
    </row>
    <row r="126" spans="1:11">
      <c r="A126" s="739" t="s">
        <v>1098</v>
      </c>
      <c r="B126" s="739" t="s">
        <v>1104</v>
      </c>
      <c r="C126" s="739" t="s">
        <v>1105</v>
      </c>
      <c r="D126" s="739" t="s">
        <v>1101</v>
      </c>
      <c r="E126" s="739" t="s">
        <v>791</v>
      </c>
      <c r="F126" s="739" t="s">
        <v>792</v>
      </c>
      <c r="G126" s="739" t="s">
        <v>1102</v>
      </c>
      <c r="H126" s="739">
        <v>51675</v>
      </c>
      <c r="I126" s="739" t="s">
        <v>1103</v>
      </c>
      <c r="J126" s="739">
        <v>18</v>
      </c>
      <c r="K126" s="739"/>
    </row>
    <row r="127" spans="1:11">
      <c r="A127" s="739" t="s">
        <v>1098</v>
      </c>
      <c r="B127" s="739" t="s">
        <v>1106</v>
      </c>
      <c r="C127" s="739" t="s">
        <v>1107</v>
      </c>
      <c r="D127" s="739" t="s">
        <v>1101</v>
      </c>
      <c r="E127" s="739" t="s">
        <v>791</v>
      </c>
      <c r="F127" s="739" t="s">
        <v>792</v>
      </c>
      <c r="G127" s="739" t="s">
        <v>1102</v>
      </c>
      <c r="H127" s="739">
        <v>51674</v>
      </c>
      <c r="I127" s="739" t="s">
        <v>1103</v>
      </c>
      <c r="J127" s="739">
        <v>18</v>
      </c>
      <c r="K127" s="739"/>
    </row>
    <row r="128" spans="1:11">
      <c r="A128" s="739" t="s">
        <v>1098</v>
      </c>
      <c r="B128" s="739" t="s">
        <v>1108</v>
      </c>
      <c r="C128" s="739" t="s">
        <v>1109</v>
      </c>
      <c r="D128" s="739" t="s">
        <v>1101</v>
      </c>
      <c r="E128" s="739" t="s">
        <v>791</v>
      </c>
      <c r="F128" s="739" t="s">
        <v>792</v>
      </c>
      <c r="G128" s="739" t="s">
        <v>1102</v>
      </c>
      <c r="H128" s="739">
        <v>51673</v>
      </c>
      <c r="I128" s="739" t="s">
        <v>1110</v>
      </c>
      <c r="J128" s="739">
        <v>18</v>
      </c>
      <c r="K128" s="739"/>
    </row>
    <row r="129" spans="1:10">
      <c r="A129" s="667" t="s">
        <v>1030</v>
      </c>
      <c r="B129" s="667">
        <v>50951</v>
      </c>
      <c r="C129" s="667" t="s">
        <v>1111</v>
      </c>
      <c r="D129" s="667" t="s">
        <v>1112</v>
      </c>
      <c r="E129" s="667" t="s">
        <v>791</v>
      </c>
      <c r="F129" s="667" t="s">
        <v>792</v>
      </c>
      <c r="G129" s="667" t="s">
        <v>1113</v>
      </c>
      <c r="H129" s="667">
        <v>60654</v>
      </c>
      <c r="I129" s="667" t="s">
        <v>1114</v>
      </c>
      <c r="J129" s="667">
        <v>3.5</v>
      </c>
    </row>
    <row r="130" spans="1:10">
      <c r="A130" s="667" t="s">
        <v>1030</v>
      </c>
      <c r="B130" s="667">
        <v>50952</v>
      </c>
      <c r="C130" s="667" t="s">
        <v>1111</v>
      </c>
      <c r="D130" s="667" t="s">
        <v>1112</v>
      </c>
      <c r="E130" s="667" t="s">
        <v>791</v>
      </c>
      <c r="F130" s="667" t="s">
        <v>792</v>
      </c>
      <c r="G130" s="667" t="s">
        <v>1113</v>
      </c>
      <c r="H130" s="667">
        <v>60653</v>
      </c>
      <c r="I130" s="667" t="s">
        <v>1114</v>
      </c>
      <c r="J130" s="667">
        <v>3.5</v>
      </c>
    </row>
    <row r="131" spans="1:10">
      <c r="A131" s="667" t="s">
        <v>1030</v>
      </c>
      <c r="B131" s="667">
        <v>50953</v>
      </c>
      <c r="C131" s="667" t="s">
        <v>1111</v>
      </c>
      <c r="D131" s="667" t="s">
        <v>1112</v>
      </c>
      <c r="E131" s="667" t="s">
        <v>791</v>
      </c>
      <c r="F131" s="667" t="s">
        <v>792</v>
      </c>
      <c r="G131" s="667" t="s">
        <v>1113</v>
      </c>
      <c r="H131" s="667">
        <v>60652</v>
      </c>
      <c r="I131" s="667" t="s">
        <v>1114</v>
      </c>
      <c r="J131" s="667">
        <v>3.5</v>
      </c>
    </row>
    <row r="132" spans="1:10">
      <c r="A132" s="667" t="s">
        <v>1030</v>
      </c>
      <c r="B132" s="667">
        <v>50954</v>
      </c>
      <c r="C132" s="667" t="s">
        <v>1111</v>
      </c>
      <c r="D132" s="667" t="s">
        <v>1112</v>
      </c>
      <c r="E132" s="667" t="s">
        <v>791</v>
      </c>
      <c r="F132" s="667" t="s">
        <v>792</v>
      </c>
      <c r="G132" s="667" t="s">
        <v>1113</v>
      </c>
      <c r="H132" s="667">
        <v>60658</v>
      </c>
      <c r="I132" s="667" t="s">
        <v>1115</v>
      </c>
      <c r="J132" s="667">
        <v>5</v>
      </c>
    </row>
    <row r="133" spans="1:10">
      <c r="A133" s="667" t="s">
        <v>1030</v>
      </c>
      <c r="B133" s="667">
        <v>50957</v>
      </c>
      <c r="C133" s="667" t="s">
        <v>1111</v>
      </c>
      <c r="D133" s="667" t="s">
        <v>1112</v>
      </c>
      <c r="E133" s="667" t="s">
        <v>791</v>
      </c>
      <c r="F133" s="667" t="s">
        <v>792</v>
      </c>
      <c r="G133" s="667" t="s">
        <v>1113</v>
      </c>
      <c r="H133" s="667">
        <v>60655</v>
      </c>
      <c r="I133" s="667" t="s">
        <v>1114</v>
      </c>
      <c r="J133" s="667">
        <v>3.5</v>
      </c>
    </row>
    <row r="134" spans="1:10">
      <c r="A134" s="667" t="s">
        <v>1030</v>
      </c>
      <c r="B134" s="667">
        <v>50958</v>
      </c>
      <c r="C134" s="667" t="s">
        <v>1111</v>
      </c>
      <c r="D134" s="667" t="s">
        <v>1112</v>
      </c>
      <c r="E134" s="667" t="s">
        <v>791</v>
      </c>
      <c r="F134" s="667" t="s">
        <v>792</v>
      </c>
      <c r="G134" s="667" t="s">
        <v>1113</v>
      </c>
      <c r="H134" s="667">
        <v>60656</v>
      </c>
      <c r="I134" s="667" t="s">
        <v>1116</v>
      </c>
      <c r="J134" s="667">
        <v>8</v>
      </c>
    </row>
    <row r="135" spans="1:10">
      <c r="A135" s="667" t="s">
        <v>1030</v>
      </c>
      <c r="B135" s="667">
        <v>50959</v>
      </c>
      <c r="C135" s="667" t="s">
        <v>1111</v>
      </c>
      <c r="D135" s="667" t="s">
        <v>1112</v>
      </c>
      <c r="E135" s="667" t="s">
        <v>791</v>
      </c>
      <c r="F135" s="667" t="s">
        <v>792</v>
      </c>
      <c r="G135" s="667" t="s">
        <v>1113</v>
      </c>
      <c r="H135" s="667">
        <v>60657</v>
      </c>
      <c r="I135" s="667" t="s">
        <v>1116</v>
      </c>
      <c r="J135" s="667">
        <v>8</v>
      </c>
    </row>
    <row r="136" spans="1:10">
      <c r="A136" s="667" t="s">
        <v>1030</v>
      </c>
      <c r="B136" s="667">
        <v>50960</v>
      </c>
      <c r="C136" s="667" t="s">
        <v>1111</v>
      </c>
      <c r="D136" s="667" t="s">
        <v>1112</v>
      </c>
      <c r="E136" s="667" t="s">
        <v>791</v>
      </c>
      <c r="F136" s="667" t="s">
        <v>792</v>
      </c>
      <c r="G136" s="667" t="s">
        <v>1113</v>
      </c>
      <c r="H136" s="667">
        <v>60659</v>
      </c>
      <c r="I136" s="667" t="s">
        <v>1115</v>
      </c>
      <c r="J136" s="667">
        <v>5</v>
      </c>
    </row>
    <row r="137" spans="1:10">
      <c r="A137" s="667" t="s">
        <v>1030</v>
      </c>
      <c r="B137" s="667">
        <v>50961</v>
      </c>
      <c r="C137" s="667" t="s">
        <v>1111</v>
      </c>
      <c r="D137" s="667" t="s">
        <v>1112</v>
      </c>
      <c r="E137" s="667" t="s">
        <v>791</v>
      </c>
      <c r="F137" s="667" t="s">
        <v>792</v>
      </c>
      <c r="G137" s="667" t="s">
        <v>1113</v>
      </c>
      <c r="H137" s="667">
        <v>60660</v>
      </c>
      <c r="I137" s="667" t="s">
        <v>1117</v>
      </c>
      <c r="J137" s="667">
        <v>5</v>
      </c>
    </row>
    <row r="138" spans="1:10">
      <c r="A138" s="667" t="s">
        <v>1030</v>
      </c>
      <c r="B138" s="667">
        <v>50962</v>
      </c>
      <c r="C138" s="667" t="s">
        <v>1111</v>
      </c>
      <c r="D138" s="667" t="s">
        <v>1112</v>
      </c>
      <c r="E138" s="667" t="s">
        <v>791</v>
      </c>
      <c r="F138" s="667" t="s">
        <v>792</v>
      </c>
      <c r="G138" s="667" t="s">
        <v>1113</v>
      </c>
      <c r="H138" s="667">
        <v>60664</v>
      </c>
      <c r="I138" s="667" t="s">
        <v>1118</v>
      </c>
      <c r="J138" s="667">
        <v>8</v>
      </c>
    </row>
    <row r="139" spans="1:10">
      <c r="A139" s="667" t="s">
        <v>1030</v>
      </c>
      <c r="B139" s="667">
        <v>50963</v>
      </c>
      <c r="C139" s="667" t="s">
        <v>1111</v>
      </c>
      <c r="D139" s="667" t="s">
        <v>1112</v>
      </c>
      <c r="E139" s="667" t="s">
        <v>791</v>
      </c>
      <c r="F139" s="667" t="s">
        <v>792</v>
      </c>
      <c r="G139" s="667" t="s">
        <v>1113</v>
      </c>
      <c r="H139" s="667">
        <v>60661</v>
      </c>
      <c r="I139" s="667" t="s">
        <v>1119</v>
      </c>
      <c r="J139" s="667">
        <v>5</v>
      </c>
    </row>
    <row r="140" spans="1:10">
      <c r="A140" s="667" t="s">
        <v>1030</v>
      </c>
      <c r="B140" s="667">
        <v>50965</v>
      </c>
      <c r="C140" s="667" t="s">
        <v>1111</v>
      </c>
      <c r="D140" s="667" t="s">
        <v>1112</v>
      </c>
      <c r="E140" s="667" t="s">
        <v>791</v>
      </c>
      <c r="F140" s="667" t="s">
        <v>792</v>
      </c>
      <c r="G140" s="667" t="s">
        <v>1113</v>
      </c>
      <c r="H140" s="667">
        <v>60662</v>
      </c>
      <c r="I140" s="667" t="s">
        <v>1119</v>
      </c>
      <c r="J140" s="667">
        <v>5</v>
      </c>
    </row>
    <row r="141" spans="1:10">
      <c r="A141" s="667" t="s">
        <v>1030</v>
      </c>
      <c r="B141" s="667">
        <v>50966</v>
      </c>
      <c r="C141" s="667" t="s">
        <v>1111</v>
      </c>
      <c r="D141" s="667" t="s">
        <v>1112</v>
      </c>
      <c r="E141" s="667" t="s">
        <v>791</v>
      </c>
      <c r="F141" s="667" t="s">
        <v>792</v>
      </c>
      <c r="G141" s="667" t="s">
        <v>1113</v>
      </c>
      <c r="H141" s="667">
        <v>60663</v>
      </c>
      <c r="I141" s="667" t="s">
        <v>1120</v>
      </c>
      <c r="J141" s="667">
        <v>7</v>
      </c>
    </row>
    <row r="142" spans="1:10">
      <c r="A142" s="667" t="s">
        <v>1030</v>
      </c>
      <c r="B142" s="667" t="s">
        <v>1121</v>
      </c>
      <c r="C142" s="667" t="s">
        <v>1036</v>
      </c>
      <c r="D142" s="667" t="s">
        <v>1122</v>
      </c>
      <c r="E142" s="667" t="s">
        <v>791</v>
      </c>
      <c r="F142" s="667" t="s">
        <v>829</v>
      </c>
      <c r="G142" s="667" t="s">
        <v>1113</v>
      </c>
      <c r="H142" s="667">
        <v>54738</v>
      </c>
      <c r="I142" s="667" t="s">
        <v>1123</v>
      </c>
      <c r="J142" s="667">
        <v>78</v>
      </c>
    </row>
    <row r="143" spans="1:10">
      <c r="A143" s="667" t="s">
        <v>1030</v>
      </c>
      <c r="B143" s="667" t="s">
        <v>1124</v>
      </c>
      <c r="C143" s="667" t="s">
        <v>1032</v>
      </c>
      <c r="D143" s="667" t="s">
        <v>1122</v>
      </c>
      <c r="E143" s="667" t="s">
        <v>791</v>
      </c>
      <c r="F143" s="667" t="s">
        <v>829</v>
      </c>
      <c r="G143" s="667" t="s">
        <v>1113</v>
      </c>
      <c r="H143" s="667">
        <v>54737</v>
      </c>
      <c r="I143" s="667" t="s">
        <v>1123</v>
      </c>
      <c r="J143" s="667">
        <v>78</v>
      </c>
    </row>
    <row r="144" spans="1:10">
      <c r="A144" s="667" t="s">
        <v>1030</v>
      </c>
      <c r="B144" s="667" t="s">
        <v>1125</v>
      </c>
      <c r="C144" s="667" t="s">
        <v>1039</v>
      </c>
      <c r="D144" s="667" t="s">
        <v>1122</v>
      </c>
      <c r="E144" s="667" t="s">
        <v>791</v>
      </c>
      <c r="F144" s="667" t="s">
        <v>829</v>
      </c>
      <c r="G144" s="667" t="s">
        <v>1113</v>
      </c>
      <c r="H144" s="667">
        <v>54739</v>
      </c>
      <c r="I144" s="667" t="s">
        <v>1123</v>
      </c>
      <c r="J144" s="667">
        <v>78</v>
      </c>
    </row>
    <row r="145" spans="1:11">
      <c r="A145" s="667" t="s">
        <v>1030</v>
      </c>
      <c r="B145" s="667" t="s">
        <v>1126</v>
      </c>
      <c r="C145" s="667" t="s">
        <v>1127</v>
      </c>
      <c r="D145" s="667" t="s">
        <v>1122</v>
      </c>
      <c r="E145" s="667" t="s">
        <v>791</v>
      </c>
      <c r="F145" s="667" t="s">
        <v>829</v>
      </c>
      <c r="G145" s="667" t="s">
        <v>1113</v>
      </c>
      <c r="H145" s="667">
        <v>54741</v>
      </c>
      <c r="I145" s="667" t="s">
        <v>1123</v>
      </c>
      <c r="J145" s="667">
        <v>78</v>
      </c>
    </row>
    <row r="146" spans="1:11">
      <c r="A146" s="667" t="s">
        <v>1030</v>
      </c>
      <c r="B146" s="667" t="s">
        <v>1128</v>
      </c>
      <c r="C146" s="667" t="s">
        <v>1129</v>
      </c>
      <c r="D146" s="667" t="s">
        <v>1122</v>
      </c>
      <c r="E146" s="667" t="s">
        <v>791</v>
      </c>
      <c r="F146" s="667" t="s">
        <v>829</v>
      </c>
      <c r="G146" s="667" t="s">
        <v>1113</v>
      </c>
      <c r="H146" s="667">
        <v>54743</v>
      </c>
      <c r="I146" s="667" t="s">
        <v>1123</v>
      </c>
      <c r="J146" s="667">
        <v>78</v>
      </c>
    </row>
    <row r="147" spans="1:11">
      <c r="A147" s="667" t="s">
        <v>1030</v>
      </c>
      <c r="B147" s="667" t="s">
        <v>1128</v>
      </c>
      <c r="C147" s="667" t="s">
        <v>1129</v>
      </c>
      <c r="D147" s="667" t="s">
        <v>1122</v>
      </c>
      <c r="E147" s="667" t="s">
        <v>791</v>
      </c>
      <c r="F147" s="667" t="s">
        <v>829</v>
      </c>
      <c r="G147" s="667" t="s">
        <v>1113</v>
      </c>
      <c r="H147" s="667">
        <v>519311</v>
      </c>
      <c r="I147" s="667" t="s">
        <v>1123</v>
      </c>
      <c r="J147" s="667">
        <v>78</v>
      </c>
    </row>
    <row r="148" spans="1:11">
      <c r="A148" s="667" t="s">
        <v>1030</v>
      </c>
      <c r="B148" s="667" t="s">
        <v>1130</v>
      </c>
      <c r="C148" s="667" t="s">
        <v>1131</v>
      </c>
      <c r="E148" s="667" t="s">
        <v>791</v>
      </c>
      <c r="F148" s="667" t="s">
        <v>792</v>
      </c>
      <c r="G148" s="667" t="s">
        <v>1113</v>
      </c>
      <c r="H148" s="667">
        <v>54745</v>
      </c>
      <c r="I148" s="667" t="s">
        <v>881</v>
      </c>
      <c r="J148" s="667">
        <v>99</v>
      </c>
      <c r="K148" s="667" t="s">
        <v>1132</v>
      </c>
    </row>
    <row r="149" spans="1:11">
      <c r="A149" s="667" t="s">
        <v>969</v>
      </c>
      <c r="B149" s="667" t="s">
        <v>1133</v>
      </c>
      <c r="C149" s="667" t="s">
        <v>827</v>
      </c>
      <c r="D149" s="667" t="s">
        <v>1134</v>
      </c>
      <c r="E149" s="667" t="s">
        <v>791</v>
      </c>
      <c r="F149" s="667" t="s">
        <v>792</v>
      </c>
      <c r="G149" s="667" t="s">
        <v>1135</v>
      </c>
      <c r="H149" s="667">
        <v>60080</v>
      </c>
      <c r="I149" s="667" t="s">
        <v>1136</v>
      </c>
      <c r="J149" s="667">
        <v>78</v>
      </c>
    </row>
    <row r="150" spans="1:11">
      <c r="A150" s="667" t="s">
        <v>969</v>
      </c>
      <c r="B150" s="667" t="s">
        <v>1137</v>
      </c>
      <c r="C150" s="667" t="s">
        <v>831</v>
      </c>
      <c r="D150" s="667" t="s">
        <v>1134</v>
      </c>
      <c r="E150" s="667" t="s">
        <v>791</v>
      </c>
      <c r="F150" s="667" t="s">
        <v>792</v>
      </c>
      <c r="G150" s="667" t="s">
        <v>1135</v>
      </c>
      <c r="H150" s="667">
        <v>60081</v>
      </c>
      <c r="I150" s="667" t="s">
        <v>1136</v>
      </c>
      <c r="J150" s="667">
        <v>78</v>
      </c>
    </row>
    <row r="151" spans="1:11">
      <c r="A151" s="667" t="s">
        <v>969</v>
      </c>
      <c r="B151" s="667" t="s">
        <v>1138</v>
      </c>
      <c r="C151" s="667" t="s">
        <v>832</v>
      </c>
      <c r="D151" s="667" t="s">
        <v>1134</v>
      </c>
      <c r="E151" s="667" t="s">
        <v>791</v>
      </c>
      <c r="F151" s="667" t="s">
        <v>792</v>
      </c>
      <c r="G151" s="667" t="s">
        <v>1135</v>
      </c>
      <c r="H151" s="667">
        <v>60082</v>
      </c>
      <c r="I151" s="667" t="s">
        <v>1136</v>
      </c>
      <c r="J151" s="667">
        <v>78</v>
      </c>
    </row>
    <row r="152" spans="1:11">
      <c r="A152" s="667" t="s">
        <v>969</v>
      </c>
      <c r="B152" s="667" t="s">
        <v>1139</v>
      </c>
      <c r="C152" s="667" t="s">
        <v>833</v>
      </c>
      <c r="D152" s="667" t="s">
        <v>1134</v>
      </c>
      <c r="E152" s="667" t="s">
        <v>791</v>
      </c>
      <c r="F152" s="667" t="s">
        <v>792</v>
      </c>
      <c r="G152" s="667" t="s">
        <v>1135</v>
      </c>
      <c r="H152" s="667">
        <v>60083</v>
      </c>
      <c r="I152" s="667" t="s">
        <v>1136</v>
      </c>
      <c r="J152" s="667">
        <v>78</v>
      </c>
    </row>
    <row r="153" spans="1:11">
      <c r="A153" s="667" t="s">
        <v>969</v>
      </c>
      <c r="B153" s="667" t="s">
        <v>1140</v>
      </c>
      <c r="C153" s="667" t="s">
        <v>836</v>
      </c>
      <c r="D153" s="667" t="s">
        <v>1134</v>
      </c>
      <c r="E153" s="667" t="s">
        <v>791</v>
      </c>
      <c r="F153" s="667" t="s">
        <v>792</v>
      </c>
      <c r="G153" s="667" t="s">
        <v>1135</v>
      </c>
      <c r="H153" s="667">
        <v>60084</v>
      </c>
      <c r="I153" s="667" t="s">
        <v>1136</v>
      </c>
      <c r="J153" s="667">
        <v>78</v>
      </c>
    </row>
    <row r="154" spans="1:11">
      <c r="A154" s="667" t="s">
        <v>969</v>
      </c>
      <c r="B154" s="667" t="s">
        <v>1141</v>
      </c>
      <c r="C154" s="667" t="s">
        <v>837</v>
      </c>
      <c r="D154" s="667" t="s">
        <v>1134</v>
      </c>
      <c r="E154" s="667" t="s">
        <v>791</v>
      </c>
      <c r="F154" s="667" t="s">
        <v>792</v>
      </c>
      <c r="G154" s="667" t="s">
        <v>1135</v>
      </c>
      <c r="H154" s="667">
        <v>60085</v>
      </c>
      <c r="I154" s="667" t="s">
        <v>1136</v>
      </c>
      <c r="J154" s="667">
        <v>78</v>
      </c>
    </row>
    <row r="155" spans="1:11">
      <c r="A155" s="667" t="s">
        <v>969</v>
      </c>
      <c r="B155" s="667" t="s">
        <v>1142</v>
      </c>
      <c r="C155" s="667" t="s">
        <v>838</v>
      </c>
      <c r="D155" s="667" t="s">
        <v>1134</v>
      </c>
      <c r="E155" s="667" t="s">
        <v>791</v>
      </c>
      <c r="F155" s="667" t="s">
        <v>792</v>
      </c>
      <c r="G155" s="667" t="s">
        <v>1135</v>
      </c>
      <c r="H155" s="667">
        <v>60086</v>
      </c>
      <c r="I155" s="667" t="s">
        <v>1136</v>
      </c>
      <c r="J155" s="667">
        <v>78</v>
      </c>
    </row>
    <row r="156" spans="1:11">
      <c r="A156" s="667" t="s">
        <v>969</v>
      </c>
      <c r="B156" s="667" t="s">
        <v>1143</v>
      </c>
      <c r="C156" s="667" t="s">
        <v>839</v>
      </c>
      <c r="D156" s="667" t="s">
        <v>1134</v>
      </c>
      <c r="E156" s="667" t="s">
        <v>791</v>
      </c>
      <c r="F156" s="667" t="s">
        <v>792</v>
      </c>
      <c r="G156" s="667" t="s">
        <v>1135</v>
      </c>
      <c r="H156" s="667">
        <v>60087</v>
      </c>
      <c r="I156" s="667" t="s">
        <v>1144</v>
      </c>
      <c r="J156" s="667">
        <v>78</v>
      </c>
    </row>
    <row r="157" spans="1:11">
      <c r="A157" s="667" t="s">
        <v>969</v>
      </c>
      <c r="C157" s="667" t="s">
        <v>840</v>
      </c>
      <c r="D157" s="667" t="s">
        <v>1134</v>
      </c>
      <c r="E157" s="667" t="s">
        <v>791</v>
      </c>
      <c r="F157" s="667" t="s">
        <v>792</v>
      </c>
      <c r="G157" s="667" t="s">
        <v>1135</v>
      </c>
      <c r="J157" s="667">
        <v>78</v>
      </c>
    </row>
    <row r="158" spans="1:11">
      <c r="A158" s="667" t="s">
        <v>969</v>
      </c>
      <c r="B158" s="667" t="s">
        <v>1145</v>
      </c>
      <c r="C158" s="667" t="s">
        <v>922</v>
      </c>
      <c r="D158" s="667" t="s">
        <v>1146</v>
      </c>
      <c r="E158" s="667" t="s">
        <v>791</v>
      </c>
      <c r="F158" s="667" t="s">
        <v>817</v>
      </c>
      <c r="G158" s="667" t="s">
        <v>1135</v>
      </c>
      <c r="H158" s="667">
        <v>60088</v>
      </c>
      <c r="I158" s="667" t="s">
        <v>1147</v>
      </c>
      <c r="J158" s="667">
        <v>78</v>
      </c>
    </row>
    <row r="159" spans="1:11">
      <c r="A159" s="667" t="s">
        <v>969</v>
      </c>
      <c r="B159" s="667" t="s">
        <v>1148</v>
      </c>
      <c r="C159" s="667" t="s">
        <v>927</v>
      </c>
      <c r="D159" s="667" t="s">
        <v>1146</v>
      </c>
      <c r="E159" s="667" t="s">
        <v>791</v>
      </c>
      <c r="F159" s="667" t="s">
        <v>817</v>
      </c>
      <c r="G159" s="667" t="s">
        <v>1135</v>
      </c>
      <c r="H159" s="667">
        <v>60089</v>
      </c>
      <c r="I159" s="667" t="s">
        <v>1147</v>
      </c>
      <c r="J159" s="667">
        <v>78</v>
      </c>
    </row>
    <row r="160" spans="1:11" s="739" customFormat="1">
      <c r="A160" s="667" t="s">
        <v>969</v>
      </c>
      <c r="B160" s="667" t="s">
        <v>1149</v>
      </c>
      <c r="C160" s="667" t="s">
        <v>993</v>
      </c>
      <c r="D160" s="667" t="s">
        <v>1146</v>
      </c>
      <c r="E160" s="667" t="s">
        <v>791</v>
      </c>
      <c r="F160" s="667" t="s">
        <v>817</v>
      </c>
      <c r="G160" s="667" t="s">
        <v>1135</v>
      </c>
      <c r="H160" s="667">
        <v>60090</v>
      </c>
      <c r="I160" s="667" t="s">
        <v>1147</v>
      </c>
      <c r="J160" s="667">
        <v>78</v>
      </c>
      <c r="K160" s="667"/>
    </row>
    <row r="161" spans="1:11" s="739" customFormat="1">
      <c r="A161" s="667" t="s">
        <v>969</v>
      </c>
      <c r="B161" s="667" t="s">
        <v>1150</v>
      </c>
      <c r="C161" s="667" t="s">
        <v>1151</v>
      </c>
      <c r="D161" s="667" t="s">
        <v>1146</v>
      </c>
      <c r="E161" s="667" t="s">
        <v>791</v>
      </c>
      <c r="F161" s="667" t="s">
        <v>817</v>
      </c>
      <c r="G161" s="667" t="s">
        <v>1135</v>
      </c>
      <c r="H161" s="667">
        <v>60091</v>
      </c>
      <c r="I161" s="667" t="s">
        <v>1147</v>
      </c>
      <c r="J161" s="667">
        <v>78</v>
      </c>
      <c r="K161" s="667"/>
    </row>
    <row r="162" spans="1:11" s="739" customFormat="1">
      <c r="A162" s="667" t="s">
        <v>969</v>
      </c>
      <c r="B162" s="667" t="s">
        <v>1152</v>
      </c>
      <c r="C162" s="667" t="s">
        <v>1153</v>
      </c>
      <c r="D162" s="667" t="s">
        <v>1146</v>
      </c>
      <c r="E162" s="667" t="s">
        <v>791</v>
      </c>
      <c r="F162" s="667" t="s">
        <v>817</v>
      </c>
      <c r="G162" s="667" t="s">
        <v>1135</v>
      </c>
      <c r="H162" s="667">
        <v>60092</v>
      </c>
      <c r="I162" s="667" t="s">
        <v>1147</v>
      </c>
      <c r="J162" s="667">
        <v>78</v>
      </c>
      <c r="K162" s="667"/>
    </row>
    <row r="163" spans="1:11" s="739" customFormat="1">
      <c r="A163" s="667" t="s">
        <v>969</v>
      </c>
      <c r="B163" s="667" t="s">
        <v>1154</v>
      </c>
      <c r="C163" s="667" t="s">
        <v>1155</v>
      </c>
      <c r="D163" s="667" t="s">
        <v>1146</v>
      </c>
      <c r="E163" s="667" t="s">
        <v>791</v>
      </c>
      <c r="F163" s="667" t="s">
        <v>817</v>
      </c>
      <c r="G163" s="667" t="s">
        <v>1135</v>
      </c>
      <c r="H163" s="667">
        <v>60093</v>
      </c>
      <c r="I163" s="667" t="s">
        <v>1147</v>
      </c>
      <c r="J163" s="667">
        <v>78</v>
      </c>
      <c r="K163" s="667"/>
    </row>
    <row r="164" spans="1:11">
      <c r="A164" s="667" t="s">
        <v>969</v>
      </c>
      <c r="B164" s="667" t="s">
        <v>1156</v>
      </c>
      <c r="C164" s="667" t="s">
        <v>1157</v>
      </c>
      <c r="D164" s="667" t="s">
        <v>1146</v>
      </c>
      <c r="E164" s="667" t="s">
        <v>791</v>
      </c>
      <c r="F164" s="667" t="s">
        <v>817</v>
      </c>
      <c r="G164" s="667" t="s">
        <v>1135</v>
      </c>
      <c r="H164" s="667">
        <v>60094</v>
      </c>
      <c r="I164" s="667" t="s">
        <v>1147</v>
      </c>
      <c r="J164" s="667">
        <v>78</v>
      </c>
    </row>
    <row r="165" spans="1:11">
      <c r="A165" s="667" t="s">
        <v>969</v>
      </c>
      <c r="B165" s="667" t="s">
        <v>1156</v>
      </c>
      <c r="C165" s="667" t="s">
        <v>1158</v>
      </c>
      <c r="D165" s="667" t="s">
        <v>1146</v>
      </c>
      <c r="E165" s="667" t="s">
        <v>791</v>
      </c>
      <c r="F165" s="667" t="s">
        <v>817</v>
      </c>
      <c r="G165" s="667" t="s">
        <v>1135</v>
      </c>
      <c r="J165" s="667">
        <v>78</v>
      </c>
    </row>
    <row r="166" spans="1:11">
      <c r="A166" s="667" t="s">
        <v>814</v>
      </c>
      <c r="B166" s="667">
        <v>15363</v>
      </c>
      <c r="C166" s="667" t="s">
        <v>827</v>
      </c>
      <c r="D166" s="667" t="s">
        <v>828</v>
      </c>
      <c r="E166" s="667" t="s">
        <v>791</v>
      </c>
      <c r="F166" s="667" t="s">
        <v>829</v>
      </c>
      <c r="G166" s="667" t="s">
        <v>1159</v>
      </c>
      <c r="H166" s="667">
        <v>53736</v>
      </c>
      <c r="I166" s="667" t="s">
        <v>1123</v>
      </c>
      <c r="J166" s="667">
        <v>78</v>
      </c>
    </row>
    <row r="167" spans="1:11">
      <c r="A167" s="667" t="s">
        <v>814</v>
      </c>
      <c r="B167" s="667">
        <v>15364</v>
      </c>
      <c r="C167" s="667" t="s">
        <v>831</v>
      </c>
      <c r="D167" s="667" t="s">
        <v>828</v>
      </c>
      <c r="E167" s="667" t="s">
        <v>791</v>
      </c>
      <c r="F167" s="667" t="s">
        <v>829</v>
      </c>
      <c r="G167" s="667" t="s">
        <v>1159</v>
      </c>
      <c r="H167" s="667">
        <v>53737</v>
      </c>
      <c r="I167" s="667" t="s">
        <v>1123</v>
      </c>
      <c r="J167" s="667">
        <v>78</v>
      </c>
    </row>
    <row r="168" spans="1:11">
      <c r="A168" s="667" t="s">
        <v>814</v>
      </c>
      <c r="B168" s="667">
        <v>15365</v>
      </c>
      <c r="C168" s="667" t="s">
        <v>832</v>
      </c>
      <c r="D168" s="667" t="s">
        <v>828</v>
      </c>
      <c r="E168" s="667" t="s">
        <v>791</v>
      </c>
      <c r="F168" s="667" t="s">
        <v>829</v>
      </c>
      <c r="G168" s="667" t="s">
        <v>1159</v>
      </c>
      <c r="H168" s="667">
        <v>53738</v>
      </c>
      <c r="I168" s="667" t="s">
        <v>1123</v>
      </c>
      <c r="J168" s="667">
        <v>78</v>
      </c>
    </row>
    <row r="169" spans="1:11">
      <c r="A169" s="667" t="s">
        <v>814</v>
      </c>
      <c r="B169" s="667">
        <v>15366</v>
      </c>
      <c r="C169" s="667" t="s">
        <v>833</v>
      </c>
      <c r="D169" s="667" t="s">
        <v>828</v>
      </c>
      <c r="E169" s="667" t="s">
        <v>791</v>
      </c>
      <c r="F169" s="667" t="s">
        <v>829</v>
      </c>
      <c r="G169" s="667" t="s">
        <v>1159</v>
      </c>
      <c r="H169" s="667">
        <v>53739</v>
      </c>
      <c r="I169" s="667" t="s">
        <v>1123</v>
      </c>
      <c r="J169" s="667">
        <v>78</v>
      </c>
    </row>
    <row r="170" spans="1:11">
      <c r="A170" s="667" t="s">
        <v>814</v>
      </c>
      <c r="B170" s="667">
        <v>15367</v>
      </c>
      <c r="C170" s="667" t="s">
        <v>836</v>
      </c>
      <c r="D170" s="667" t="s">
        <v>828</v>
      </c>
      <c r="E170" s="667" t="s">
        <v>791</v>
      </c>
      <c r="F170" s="667" t="s">
        <v>829</v>
      </c>
      <c r="G170" s="667" t="s">
        <v>1159</v>
      </c>
      <c r="H170" s="667">
        <v>53740</v>
      </c>
      <c r="I170" s="667" t="s">
        <v>1123</v>
      </c>
      <c r="J170" s="667">
        <v>78</v>
      </c>
    </row>
    <row r="171" spans="1:11">
      <c r="A171" s="667" t="s">
        <v>814</v>
      </c>
      <c r="B171" s="667">
        <v>15368</v>
      </c>
      <c r="C171" s="667" t="s">
        <v>837</v>
      </c>
      <c r="D171" s="667" t="s">
        <v>828</v>
      </c>
      <c r="E171" s="667" t="s">
        <v>791</v>
      </c>
      <c r="F171" s="667" t="s">
        <v>829</v>
      </c>
      <c r="G171" s="667" t="s">
        <v>1159</v>
      </c>
      <c r="H171" s="667">
        <v>53741</v>
      </c>
      <c r="I171" s="667" t="s">
        <v>1123</v>
      </c>
      <c r="J171" s="667">
        <v>78</v>
      </c>
    </row>
    <row r="172" spans="1:11">
      <c r="A172" s="667" t="s">
        <v>814</v>
      </c>
      <c r="B172" s="667">
        <v>15369</v>
      </c>
      <c r="C172" s="667" t="s">
        <v>838</v>
      </c>
      <c r="D172" s="667" t="s">
        <v>828</v>
      </c>
      <c r="E172" s="667" t="s">
        <v>791</v>
      </c>
      <c r="F172" s="667" t="s">
        <v>829</v>
      </c>
      <c r="G172" s="667" t="s">
        <v>1159</v>
      </c>
      <c r="H172" s="667">
        <v>53742</v>
      </c>
      <c r="I172" s="667" t="s">
        <v>1123</v>
      </c>
      <c r="J172" s="667">
        <v>78</v>
      </c>
    </row>
    <row r="173" spans="1:11">
      <c r="A173" s="667" t="s">
        <v>814</v>
      </c>
      <c r="B173" s="667">
        <v>15370</v>
      </c>
      <c r="C173" s="667" t="s">
        <v>839</v>
      </c>
      <c r="D173" s="667" t="s">
        <v>828</v>
      </c>
      <c r="E173" s="667" t="s">
        <v>791</v>
      </c>
      <c r="F173" s="667" t="s">
        <v>829</v>
      </c>
      <c r="G173" s="667" t="s">
        <v>1159</v>
      </c>
      <c r="H173" s="667">
        <v>53743</v>
      </c>
      <c r="I173" s="667" t="s">
        <v>1123</v>
      </c>
      <c r="J173" s="667">
        <v>78</v>
      </c>
    </row>
    <row r="174" spans="1:11">
      <c r="A174" s="667" t="s">
        <v>814</v>
      </c>
      <c r="B174" s="667">
        <v>15371</v>
      </c>
      <c r="C174" s="667" t="s">
        <v>815</v>
      </c>
      <c r="D174" s="667" t="s">
        <v>1101</v>
      </c>
      <c r="E174" s="667" t="s">
        <v>791</v>
      </c>
      <c r="F174" s="667" t="s">
        <v>817</v>
      </c>
      <c r="G174" s="667" t="s">
        <v>1159</v>
      </c>
      <c r="H174" s="667">
        <v>53662</v>
      </c>
      <c r="I174" s="667" t="s">
        <v>1160</v>
      </c>
      <c r="J174" s="667">
        <v>78</v>
      </c>
    </row>
    <row r="175" spans="1:11">
      <c r="A175" s="667" t="s">
        <v>814</v>
      </c>
      <c r="B175" s="667">
        <v>15372</v>
      </c>
      <c r="C175" s="667" t="s">
        <v>820</v>
      </c>
      <c r="D175" s="667" t="s">
        <v>1101</v>
      </c>
      <c r="E175" s="667" t="s">
        <v>791</v>
      </c>
      <c r="F175" s="667" t="s">
        <v>817</v>
      </c>
      <c r="G175" s="667" t="s">
        <v>1159</v>
      </c>
      <c r="H175" s="667">
        <v>53706</v>
      </c>
      <c r="I175" s="667" t="s">
        <v>1160</v>
      </c>
      <c r="J175" s="667">
        <v>78</v>
      </c>
    </row>
    <row r="176" spans="1:11">
      <c r="A176" s="667" t="s">
        <v>814</v>
      </c>
      <c r="B176" s="667">
        <v>15373</v>
      </c>
      <c r="C176" s="667" t="s">
        <v>821</v>
      </c>
      <c r="D176" s="667" t="s">
        <v>1101</v>
      </c>
      <c r="E176" s="667" t="s">
        <v>791</v>
      </c>
      <c r="F176" s="667" t="s">
        <v>817</v>
      </c>
      <c r="G176" s="667" t="s">
        <v>1159</v>
      </c>
      <c r="H176" s="667">
        <v>53707</v>
      </c>
      <c r="I176" s="667" t="s">
        <v>1160</v>
      </c>
      <c r="J176" s="667">
        <v>78</v>
      </c>
    </row>
    <row r="177" spans="1:11">
      <c r="A177" s="667" t="s">
        <v>814</v>
      </c>
      <c r="B177" s="667">
        <v>15374</v>
      </c>
      <c r="C177" s="667" t="s">
        <v>822</v>
      </c>
      <c r="D177" s="667" t="s">
        <v>1101</v>
      </c>
      <c r="E177" s="667" t="s">
        <v>791</v>
      </c>
      <c r="F177" s="667" t="s">
        <v>817</v>
      </c>
      <c r="G177" s="667" t="s">
        <v>1159</v>
      </c>
      <c r="H177" s="667">
        <v>53708</v>
      </c>
      <c r="I177" s="667" t="s">
        <v>1160</v>
      </c>
      <c r="J177" s="667">
        <v>78</v>
      </c>
    </row>
    <row r="178" spans="1:11">
      <c r="A178" s="667" t="s">
        <v>814</v>
      </c>
      <c r="B178" s="667">
        <v>15375</v>
      </c>
      <c r="C178" s="667" t="s">
        <v>823</v>
      </c>
      <c r="D178" s="667" t="s">
        <v>1101</v>
      </c>
      <c r="E178" s="667" t="s">
        <v>791</v>
      </c>
      <c r="F178" s="667" t="s">
        <v>817</v>
      </c>
      <c r="G178" s="667" t="s">
        <v>1159</v>
      </c>
      <c r="H178" s="667">
        <v>53709</v>
      </c>
      <c r="I178" s="667" t="s">
        <v>1160</v>
      </c>
      <c r="J178" s="667">
        <v>78</v>
      </c>
    </row>
    <row r="179" spans="1:11">
      <c r="A179" s="667" t="s">
        <v>814</v>
      </c>
      <c r="B179" s="667">
        <v>15376</v>
      </c>
      <c r="C179" s="667" t="s">
        <v>824</v>
      </c>
      <c r="D179" s="667" t="s">
        <v>1101</v>
      </c>
      <c r="E179" s="667" t="s">
        <v>791</v>
      </c>
      <c r="F179" s="667" t="s">
        <v>817</v>
      </c>
      <c r="G179" s="667" t="s">
        <v>1159</v>
      </c>
      <c r="H179" s="667">
        <v>53711</v>
      </c>
      <c r="I179" s="667" t="s">
        <v>1160</v>
      </c>
      <c r="J179" s="667">
        <v>78</v>
      </c>
    </row>
    <row r="180" spans="1:11">
      <c r="A180" s="667" t="s">
        <v>814</v>
      </c>
      <c r="B180" s="667">
        <v>15377</v>
      </c>
      <c r="C180" s="667" t="s">
        <v>825</v>
      </c>
      <c r="D180" s="667" t="s">
        <v>1101</v>
      </c>
      <c r="E180" s="667" t="s">
        <v>791</v>
      </c>
      <c r="F180" s="667" t="s">
        <v>817</v>
      </c>
      <c r="G180" s="667" t="s">
        <v>1159</v>
      </c>
      <c r="H180" s="667">
        <v>53712</v>
      </c>
      <c r="I180" s="667" t="s">
        <v>1160</v>
      </c>
      <c r="J180" s="667">
        <v>78</v>
      </c>
    </row>
    <row r="181" spans="1:11">
      <c r="A181" s="667" t="s">
        <v>814</v>
      </c>
      <c r="B181" s="667">
        <v>15378</v>
      </c>
      <c r="C181" s="667" t="s">
        <v>826</v>
      </c>
      <c r="D181" s="667" t="s">
        <v>1101</v>
      </c>
      <c r="E181" s="667" t="s">
        <v>791</v>
      </c>
      <c r="F181" s="667" t="s">
        <v>817</v>
      </c>
      <c r="G181" s="667" t="s">
        <v>1159</v>
      </c>
      <c r="H181" s="667">
        <v>53713</v>
      </c>
      <c r="I181" s="667" t="s">
        <v>1160</v>
      </c>
      <c r="J181" s="667">
        <v>78</v>
      </c>
    </row>
    <row r="182" spans="1:11">
      <c r="A182" s="667" t="s">
        <v>814</v>
      </c>
      <c r="B182" s="667" t="s">
        <v>1161</v>
      </c>
      <c r="C182" s="667" t="s">
        <v>1162</v>
      </c>
      <c r="D182" s="667" t="s">
        <v>1101</v>
      </c>
      <c r="E182" s="667" t="s">
        <v>791</v>
      </c>
      <c r="F182" s="667" t="s">
        <v>817</v>
      </c>
      <c r="G182" s="667" t="s">
        <v>1159</v>
      </c>
      <c r="I182" s="667" t="s">
        <v>1163</v>
      </c>
      <c r="J182" s="667">
        <v>78</v>
      </c>
      <c r="K182" s="667" t="s">
        <v>1164</v>
      </c>
    </row>
    <row r="183" spans="1:11">
      <c r="A183" s="667" t="s">
        <v>814</v>
      </c>
      <c r="B183" s="667">
        <v>15387</v>
      </c>
      <c r="C183" s="667" t="s">
        <v>1165</v>
      </c>
      <c r="D183" s="667" t="s">
        <v>1025</v>
      </c>
      <c r="E183" s="667" t="s">
        <v>791</v>
      </c>
      <c r="F183" s="667" t="s">
        <v>792</v>
      </c>
      <c r="G183" s="667" t="s">
        <v>1159</v>
      </c>
      <c r="H183" s="667">
        <v>53746</v>
      </c>
      <c r="I183" s="667" t="s">
        <v>1166</v>
      </c>
      <c r="J183" s="667">
        <v>5</v>
      </c>
    </row>
    <row r="184" spans="1:11">
      <c r="A184" s="667" t="s">
        <v>814</v>
      </c>
      <c r="B184" s="667">
        <v>15388</v>
      </c>
      <c r="C184" s="667" t="s">
        <v>1167</v>
      </c>
      <c r="D184" s="667" t="s">
        <v>1025</v>
      </c>
      <c r="E184" s="667" t="s">
        <v>791</v>
      </c>
      <c r="F184" s="667" t="s">
        <v>792</v>
      </c>
      <c r="G184" s="667" t="s">
        <v>1159</v>
      </c>
      <c r="H184" s="667">
        <v>53747</v>
      </c>
      <c r="I184" s="667" t="s">
        <v>1168</v>
      </c>
      <c r="J184" s="667">
        <v>2.5</v>
      </c>
    </row>
    <row r="185" spans="1:11">
      <c r="A185" s="667" t="s">
        <v>814</v>
      </c>
      <c r="B185" s="667">
        <v>15389</v>
      </c>
      <c r="C185" s="667" t="s">
        <v>831</v>
      </c>
      <c r="D185" s="667" t="s">
        <v>1025</v>
      </c>
      <c r="E185" s="667" t="s">
        <v>791</v>
      </c>
      <c r="F185" s="667" t="s">
        <v>792</v>
      </c>
      <c r="G185" s="667" t="s">
        <v>1159</v>
      </c>
      <c r="H185" s="667">
        <v>53748</v>
      </c>
      <c r="I185" s="667" t="s">
        <v>1168</v>
      </c>
      <c r="J185" s="667">
        <v>2</v>
      </c>
    </row>
    <row r="186" spans="1:11">
      <c r="A186" s="667" t="s">
        <v>814</v>
      </c>
      <c r="B186" s="667" t="s">
        <v>1169</v>
      </c>
      <c r="C186" s="667" t="s">
        <v>840</v>
      </c>
      <c r="D186" s="667" t="s">
        <v>828</v>
      </c>
      <c r="E186" s="667" t="s">
        <v>791</v>
      </c>
      <c r="F186" s="667" t="s">
        <v>829</v>
      </c>
      <c r="G186" s="667" t="s">
        <v>1159</v>
      </c>
      <c r="J186" s="667">
        <v>80</v>
      </c>
      <c r="K186" s="667" t="s">
        <v>1170</v>
      </c>
    </row>
    <row r="187" spans="1:11">
      <c r="A187" s="667" t="s">
        <v>814</v>
      </c>
      <c r="B187" s="667">
        <v>121493</v>
      </c>
      <c r="C187" s="667" t="s">
        <v>1095</v>
      </c>
      <c r="D187" s="667" t="s">
        <v>1101</v>
      </c>
      <c r="E187" s="667" t="s">
        <v>791</v>
      </c>
      <c r="F187" s="667" t="s">
        <v>1088</v>
      </c>
      <c r="G187" s="667" t="s">
        <v>1159</v>
      </c>
      <c r="H187" s="667">
        <v>53750</v>
      </c>
      <c r="I187" s="667" t="s">
        <v>1171</v>
      </c>
      <c r="J187" s="667">
        <v>2.5</v>
      </c>
    </row>
    <row r="188" spans="1:11">
      <c r="A188" s="667" t="s">
        <v>814</v>
      </c>
      <c r="B188" s="667">
        <v>121494</v>
      </c>
      <c r="C188" s="667" t="s">
        <v>1093</v>
      </c>
      <c r="D188" s="667" t="s">
        <v>1101</v>
      </c>
      <c r="E188" s="667" t="s">
        <v>791</v>
      </c>
      <c r="F188" s="667" t="s">
        <v>1088</v>
      </c>
      <c r="G188" s="667" t="s">
        <v>1159</v>
      </c>
      <c r="H188" s="667">
        <v>53749</v>
      </c>
      <c r="I188" s="667" t="s">
        <v>1172</v>
      </c>
      <c r="J188" s="667">
        <v>5</v>
      </c>
    </row>
    <row r="189" spans="1:11">
      <c r="A189" s="667" t="s">
        <v>814</v>
      </c>
      <c r="B189" s="667">
        <v>121498</v>
      </c>
      <c r="C189" s="667" t="s">
        <v>1173</v>
      </c>
      <c r="D189" s="667" t="s">
        <v>1101</v>
      </c>
      <c r="E189" s="667" t="s">
        <v>791</v>
      </c>
      <c r="F189" s="667" t="s">
        <v>1088</v>
      </c>
      <c r="G189" s="667" t="s">
        <v>1159</v>
      </c>
      <c r="H189" s="667">
        <v>53745</v>
      </c>
      <c r="I189" s="667" t="s">
        <v>1174</v>
      </c>
      <c r="J189" s="667">
        <v>80</v>
      </c>
    </row>
    <row r="190" spans="1:11">
      <c r="A190" s="667" t="s">
        <v>842</v>
      </c>
      <c r="B190" s="667" t="s">
        <v>1175</v>
      </c>
      <c r="C190" s="667" t="s">
        <v>1176</v>
      </c>
      <c r="D190" s="667" t="s">
        <v>1177</v>
      </c>
      <c r="E190" s="667" t="s">
        <v>791</v>
      </c>
      <c r="F190" s="667" t="s">
        <v>792</v>
      </c>
      <c r="G190" s="667" t="s">
        <v>1178</v>
      </c>
      <c r="H190" s="667">
        <v>65115</v>
      </c>
      <c r="I190" s="667" t="s">
        <v>1179</v>
      </c>
      <c r="J190" s="667">
        <v>10</v>
      </c>
    </row>
    <row r="191" spans="1:11">
      <c r="A191" s="667" t="s">
        <v>842</v>
      </c>
      <c r="B191" s="667" t="s">
        <v>1180</v>
      </c>
      <c r="C191" s="667" t="s">
        <v>1181</v>
      </c>
      <c r="D191" s="667" t="s">
        <v>1182</v>
      </c>
      <c r="E191" s="667" t="s">
        <v>791</v>
      </c>
      <c r="F191" s="667" t="s">
        <v>792</v>
      </c>
      <c r="G191" s="667" t="s">
        <v>1178</v>
      </c>
      <c r="H191" s="667">
        <v>65116</v>
      </c>
      <c r="I191" s="667" t="s">
        <v>1183</v>
      </c>
      <c r="J191" s="667">
        <v>7.2</v>
      </c>
    </row>
    <row r="192" spans="1:11">
      <c r="A192" s="667" t="s">
        <v>842</v>
      </c>
      <c r="B192" s="667" t="s">
        <v>1184</v>
      </c>
      <c r="C192" s="667" t="s">
        <v>1185</v>
      </c>
      <c r="D192" s="667" t="s">
        <v>1186</v>
      </c>
      <c r="E192" s="667" t="s">
        <v>791</v>
      </c>
      <c r="F192" s="667" t="s">
        <v>1187</v>
      </c>
      <c r="G192" s="667" t="s">
        <v>1178</v>
      </c>
      <c r="H192" s="667">
        <v>59788</v>
      </c>
      <c r="K192" s="667" t="s">
        <v>1188</v>
      </c>
    </row>
    <row r="193" spans="1:11">
      <c r="A193" s="667" t="s">
        <v>842</v>
      </c>
      <c r="B193" s="667" t="s">
        <v>1189</v>
      </c>
      <c r="C193" s="667" t="s">
        <v>1190</v>
      </c>
      <c r="D193" s="667" t="s">
        <v>1186</v>
      </c>
      <c r="E193" s="667" t="s">
        <v>791</v>
      </c>
      <c r="F193" s="667" t="s">
        <v>1187</v>
      </c>
      <c r="G193" s="667" t="s">
        <v>1178</v>
      </c>
      <c r="H193" s="667">
        <v>59792</v>
      </c>
      <c r="K193" s="667" t="s">
        <v>1188</v>
      </c>
    </row>
    <row r="194" spans="1:11">
      <c r="A194" s="667" t="s">
        <v>842</v>
      </c>
      <c r="B194" s="667" t="s">
        <v>1191</v>
      </c>
      <c r="C194" s="667" t="s">
        <v>1192</v>
      </c>
      <c r="D194" s="667" t="s">
        <v>1186</v>
      </c>
      <c r="E194" s="667" t="s">
        <v>791</v>
      </c>
      <c r="F194" s="667" t="s">
        <v>1187</v>
      </c>
      <c r="G194" s="667" t="s">
        <v>1178</v>
      </c>
      <c r="H194" s="667">
        <v>59791</v>
      </c>
      <c r="K194" s="667" t="s">
        <v>1188</v>
      </c>
    </row>
    <row r="195" spans="1:11">
      <c r="A195" s="667" t="s">
        <v>842</v>
      </c>
      <c r="B195" s="667" t="s">
        <v>1193</v>
      </c>
      <c r="C195" s="667" t="s">
        <v>1194</v>
      </c>
      <c r="D195" s="667" t="s">
        <v>1186</v>
      </c>
      <c r="E195" s="667" t="s">
        <v>791</v>
      </c>
      <c r="F195" s="667" t="s">
        <v>1187</v>
      </c>
      <c r="G195" s="667" t="s">
        <v>1178</v>
      </c>
      <c r="H195" s="667">
        <v>59800</v>
      </c>
      <c r="J195" s="667" t="s">
        <v>152</v>
      </c>
      <c r="K195" s="667" t="s">
        <v>1188</v>
      </c>
    </row>
    <row r="196" spans="1:11">
      <c r="A196" s="667" t="s">
        <v>842</v>
      </c>
      <c r="B196" s="667" t="s">
        <v>1195</v>
      </c>
      <c r="C196" s="667" t="s">
        <v>1194</v>
      </c>
      <c r="D196" s="667" t="s">
        <v>1186</v>
      </c>
      <c r="E196" s="667" t="s">
        <v>791</v>
      </c>
      <c r="F196" s="667" t="s">
        <v>1187</v>
      </c>
      <c r="G196" s="667" t="s">
        <v>1178</v>
      </c>
      <c r="H196" s="667">
        <v>59801</v>
      </c>
      <c r="J196" s="667" t="s">
        <v>152</v>
      </c>
      <c r="K196" s="667" t="s">
        <v>1188</v>
      </c>
    </row>
    <row r="197" spans="1:11">
      <c r="A197" s="667" t="s">
        <v>842</v>
      </c>
      <c r="B197" s="667" t="s">
        <v>1196</v>
      </c>
      <c r="C197" s="667" t="s">
        <v>1194</v>
      </c>
      <c r="D197" s="667" t="s">
        <v>1186</v>
      </c>
      <c r="E197" s="667" t="s">
        <v>791</v>
      </c>
      <c r="F197" s="667" t="s">
        <v>1187</v>
      </c>
      <c r="G197" s="667" t="s">
        <v>1178</v>
      </c>
      <c r="H197" s="667">
        <v>59802</v>
      </c>
      <c r="J197" s="667" t="s">
        <v>152</v>
      </c>
      <c r="K197" s="667" t="s">
        <v>1188</v>
      </c>
    </row>
    <row r="198" spans="1:11">
      <c r="A198" s="667" t="s">
        <v>842</v>
      </c>
      <c r="B198" s="667" t="s">
        <v>1197</v>
      </c>
      <c r="C198" s="667" t="s">
        <v>1198</v>
      </c>
      <c r="D198" s="667" t="s">
        <v>1186</v>
      </c>
      <c r="E198" s="667" t="s">
        <v>791</v>
      </c>
      <c r="F198" s="667" t="s">
        <v>1199</v>
      </c>
      <c r="G198" s="667" t="s">
        <v>1178</v>
      </c>
      <c r="H198" s="667">
        <v>59808</v>
      </c>
      <c r="I198" s="667" t="s">
        <v>1200</v>
      </c>
      <c r="J198" s="667">
        <v>60</v>
      </c>
      <c r="K198" s="667" t="s">
        <v>1201</v>
      </c>
    </row>
    <row r="199" spans="1:11">
      <c r="A199" s="667" t="s">
        <v>842</v>
      </c>
      <c r="B199" s="667" t="s">
        <v>1202</v>
      </c>
      <c r="C199" s="667" t="s">
        <v>1203</v>
      </c>
      <c r="D199" s="667" t="s">
        <v>1204</v>
      </c>
      <c r="E199" s="667" t="s">
        <v>791</v>
      </c>
      <c r="F199" s="667" t="s">
        <v>1187</v>
      </c>
      <c r="G199" s="667" t="s">
        <v>1178</v>
      </c>
      <c r="H199" s="667">
        <v>59838</v>
      </c>
      <c r="J199" s="667">
        <v>60</v>
      </c>
      <c r="K199" s="667" t="s">
        <v>1205</v>
      </c>
    </row>
    <row r="200" spans="1:11">
      <c r="A200" s="667" t="s">
        <v>842</v>
      </c>
      <c r="B200" s="667" t="s">
        <v>1206</v>
      </c>
      <c r="C200" s="667" t="s">
        <v>1207</v>
      </c>
      <c r="D200" s="667" t="s">
        <v>1204</v>
      </c>
      <c r="E200" s="667" t="s">
        <v>791</v>
      </c>
      <c r="F200" s="667" t="s">
        <v>1187</v>
      </c>
      <c r="G200" s="667" t="s">
        <v>1178</v>
      </c>
      <c r="H200" s="667">
        <v>59839</v>
      </c>
      <c r="J200" s="667">
        <v>60</v>
      </c>
      <c r="K200" s="667" t="s">
        <v>1205</v>
      </c>
    </row>
    <row r="201" spans="1:11">
      <c r="A201" s="667" t="s">
        <v>842</v>
      </c>
      <c r="B201" s="667" t="s">
        <v>1208</v>
      </c>
      <c r="C201" s="667" t="s">
        <v>832</v>
      </c>
      <c r="D201" s="667" t="s">
        <v>1209</v>
      </c>
      <c r="E201" s="667" t="s">
        <v>791</v>
      </c>
      <c r="F201" s="667" t="s">
        <v>792</v>
      </c>
      <c r="G201" s="667" t="s">
        <v>1178</v>
      </c>
      <c r="H201" s="667">
        <v>59893</v>
      </c>
      <c r="I201" s="667" t="s">
        <v>1210</v>
      </c>
      <c r="J201" s="667">
        <v>60</v>
      </c>
    </row>
    <row r="202" spans="1:11">
      <c r="A202" s="667" t="s">
        <v>842</v>
      </c>
      <c r="B202" s="667" t="s">
        <v>1211</v>
      </c>
      <c r="C202" s="667" t="s">
        <v>831</v>
      </c>
      <c r="D202" s="667" t="s">
        <v>1209</v>
      </c>
      <c r="E202" s="667" t="s">
        <v>791</v>
      </c>
      <c r="F202" s="667" t="s">
        <v>792</v>
      </c>
      <c r="G202" s="667" t="s">
        <v>1178</v>
      </c>
      <c r="H202" s="667">
        <v>59894</v>
      </c>
      <c r="I202" s="667" t="s">
        <v>1210</v>
      </c>
      <c r="J202" s="667">
        <v>60</v>
      </c>
    </row>
    <row r="203" spans="1:11">
      <c r="A203" s="667" t="s">
        <v>842</v>
      </c>
      <c r="B203" s="667" t="s">
        <v>1212</v>
      </c>
      <c r="C203" s="667" t="s">
        <v>827</v>
      </c>
      <c r="D203" s="667" t="s">
        <v>1209</v>
      </c>
      <c r="E203" s="667" t="s">
        <v>791</v>
      </c>
      <c r="F203" s="667" t="s">
        <v>792</v>
      </c>
      <c r="G203" s="667" t="s">
        <v>1178</v>
      </c>
      <c r="H203" s="667">
        <v>59895</v>
      </c>
      <c r="I203" s="667" t="s">
        <v>1213</v>
      </c>
      <c r="J203" s="667">
        <v>60</v>
      </c>
    </row>
    <row r="204" spans="1:11">
      <c r="A204" s="667" t="s">
        <v>842</v>
      </c>
      <c r="B204" s="667" t="s">
        <v>1214</v>
      </c>
      <c r="C204" s="667" t="s">
        <v>1215</v>
      </c>
      <c r="D204" s="667" t="s">
        <v>1216</v>
      </c>
      <c r="E204" s="667" t="s">
        <v>791</v>
      </c>
      <c r="F204" s="667" t="s">
        <v>1187</v>
      </c>
      <c r="G204" s="667" t="s">
        <v>1178</v>
      </c>
      <c r="H204" s="667">
        <v>59897</v>
      </c>
      <c r="I204" s="667" t="s">
        <v>1217</v>
      </c>
      <c r="J204" s="667" t="s">
        <v>152</v>
      </c>
      <c r="K204" s="667" t="s">
        <v>1218</v>
      </c>
    </row>
    <row r="205" spans="1:11">
      <c r="A205" s="667" t="s">
        <v>842</v>
      </c>
      <c r="B205" s="667" t="s">
        <v>1219</v>
      </c>
      <c r="C205" s="667" t="s">
        <v>1220</v>
      </c>
      <c r="D205" s="667" t="s">
        <v>1216</v>
      </c>
      <c r="E205" s="667" t="s">
        <v>791</v>
      </c>
      <c r="F205" s="667" t="s">
        <v>792</v>
      </c>
      <c r="G205" s="667" t="s">
        <v>1178</v>
      </c>
      <c r="H205" s="667">
        <v>59900</v>
      </c>
      <c r="I205" s="667" t="s">
        <v>1221</v>
      </c>
      <c r="J205" s="667">
        <v>5</v>
      </c>
    </row>
    <row r="206" spans="1:11">
      <c r="A206" s="667" t="s">
        <v>842</v>
      </c>
      <c r="B206" s="667" t="s">
        <v>1222</v>
      </c>
      <c r="C206" s="667" t="s">
        <v>1223</v>
      </c>
      <c r="D206" s="667" t="s">
        <v>1216</v>
      </c>
      <c r="E206" s="667" t="s">
        <v>791</v>
      </c>
      <c r="F206" s="667" t="s">
        <v>792</v>
      </c>
      <c r="G206" s="667" t="s">
        <v>1178</v>
      </c>
      <c r="H206" s="667">
        <v>59901</v>
      </c>
      <c r="I206" s="667" t="s">
        <v>1221</v>
      </c>
      <c r="J206" s="667">
        <v>5</v>
      </c>
    </row>
    <row r="207" spans="1:11">
      <c r="A207" s="667" t="s">
        <v>842</v>
      </c>
      <c r="B207" s="667" t="s">
        <v>1224</v>
      </c>
      <c r="C207" s="667" t="s">
        <v>1225</v>
      </c>
      <c r="D207" s="667" t="s">
        <v>1226</v>
      </c>
      <c r="E207" s="667" t="s">
        <v>791</v>
      </c>
      <c r="F207" s="667" t="s">
        <v>792</v>
      </c>
      <c r="G207" s="667" t="s">
        <v>1178</v>
      </c>
      <c r="H207" s="667">
        <v>59902</v>
      </c>
      <c r="I207" s="667" t="s">
        <v>1227</v>
      </c>
      <c r="J207" s="667">
        <v>100</v>
      </c>
    </row>
    <row r="208" spans="1:11">
      <c r="A208" s="667" t="s">
        <v>842</v>
      </c>
      <c r="B208" s="667" t="s">
        <v>1228</v>
      </c>
      <c r="C208" s="667" t="s">
        <v>1229</v>
      </c>
      <c r="D208" s="667" t="s">
        <v>1182</v>
      </c>
      <c r="E208" s="667" t="s">
        <v>791</v>
      </c>
      <c r="F208" s="667" t="s">
        <v>792</v>
      </c>
      <c r="G208" s="667" t="s">
        <v>1178</v>
      </c>
      <c r="H208" s="667">
        <v>59903</v>
      </c>
      <c r="I208" s="667" t="s">
        <v>1230</v>
      </c>
      <c r="J208" s="667">
        <v>5</v>
      </c>
    </row>
    <row r="209" spans="1:11">
      <c r="A209" s="667" t="s">
        <v>842</v>
      </c>
      <c r="B209" s="667" t="s">
        <v>1231</v>
      </c>
      <c r="C209" s="667" t="s">
        <v>1232</v>
      </c>
      <c r="D209" s="667" t="s">
        <v>1233</v>
      </c>
      <c r="E209" s="667" t="s">
        <v>791</v>
      </c>
      <c r="F209" s="667" t="s">
        <v>792</v>
      </c>
      <c r="G209" s="667" t="s">
        <v>1178</v>
      </c>
      <c r="H209" s="667">
        <v>59905</v>
      </c>
      <c r="I209" s="667" t="s">
        <v>1234</v>
      </c>
      <c r="J209" s="667">
        <v>3</v>
      </c>
    </row>
    <row r="210" spans="1:11">
      <c r="A210" s="667" t="s">
        <v>842</v>
      </c>
      <c r="B210" s="667" t="s">
        <v>1235</v>
      </c>
      <c r="C210" s="667" t="s">
        <v>1236</v>
      </c>
      <c r="D210" s="667" t="s">
        <v>1182</v>
      </c>
      <c r="E210" s="667" t="s">
        <v>791</v>
      </c>
      <c r="F210" s="667" t="s">
        <v>792</v>
      </c>
      <c r="G210" s="667" t="s">
        <v>1178</v>
      </c>
      <c r="H210" s="667">
        <v>59909</v>
      </c>
      <c r="I210" s="667" t="s">
        <v>1237</v>
      </c>
      <c r="J210" s="667">
        <v>5</v>
      </c>
    </row>
    <row r="211" spans="1:11">
      <c r="A211" s="667" t="s">
        <v>842</v>
      </c>
      <c r="B211" s="667" t="s">
        <v>1238</v>
      </c>
      <c r="C211" s="667" t="s">
        <v>1236</v>
      </c>
      <c r="D211" s="667" t="s">
        <v>1182</v>
      </c>
      <c r="E211" s="667" t="s">
        <v>791</v>
      </c>
      <c r="F211" s="667" t="s">
        <v>792</v>
      </c>
      <c r="G211" s="667" t="s">
        <v>1178</v>
      </c>
      <c r="H211" s="667">
        <v>59910</v>
      </c>
      <c r="I211" s="667" t="s">
        <v>1237</v>
      </c>
      <c r="J211" s="667">
        <v>5</v>
      </c>
    </row>
    <row r="212" spans="1:11">
      <c r="A212" s="667" t="s">
        <v>842</v>
      </c>
      <c r="B212" s="667" t="s">
        <v>1239</v>
      </c>
      <c r="C212" s="667" t="s">
        <v>1232</v>
      </c>
      <c r="D212" s="667" t="s">
        <v>1233</v>
      </c>
      <c r="E212" s="667" t="s">
        <v>791</v>
      </c>
      <c r="F212" s="667" t="s">
        <v>792</v>
      </c>
      <c r="G212" s="667" t="s">
        <v>1178</v>
      </c>
      <c r="H212" s="667">
        <v>59917</v>
      </c>
      <c r="I212" s="667" t="s">
        <v>1240</v>
      </c>
      <c r="J212" s="667">
        <v>5</v>
      </c>
    </row>
    <row r="213" spans="1:11">
      <c r="A213" s="667" t="s">
        <v>842</v>
      </c>
      <c r="B213" s="667" t="s">
        <v>1241</v>
      </c>
      <c r="C213" s="667" t="s">
        <v>1242</v>
      </c>
      <c r="D213" s="667" t="s">
        <v>1243</v>
      </c>
      <c r="E213" s="667" t="s">
        <v>791</v>
      </c>
      <c r="F213" s="667" t="s">
        <v>817</v>
      </c>
      <c r="G213" s="667" t="s">
        <v>1178</v>
      </c>
      <c r="H213" s="667">
        <v>59918</v>
      </c>
      <c r="I213" s="667" t="s">
        <v>1244</v>
      </c>
      <c r="J213" s="667">
        <v>100</v>
      </c>
      <c r="K213" s="667" t="s">
        <v>1245</v>
      </c>
    </row>
    <row r="214" spans="1:11">
      <c r="A214" s="667" t="s">
        <v>842</v>
      </c>
      <c r="B214" s="667" t="s">
        <v>1246</v>
      </c>
      <c r="C214" s="667" t="s">
        <v>1247</v>
      </c>
      <c r="D214" s="667" t="s">
        <v>1248</v>
      </c>
      <c r="E214" s="667" t="s">
        <v>791</v>
      </c>
      <c r="F214" s="667" t="s">
        <v>792</v>
      </c>
      <c r="G214" s="667" t="s">
        <v>1178</v>
      </c>
      <c r="H214" s="667">
        <v>62409</v>
      </c>
      <c r="I214" s="667" t="s">
        <v>1249</v>
      </c>
      <c r="J214" s="667">
        <v>70</v>
      </c>
    </row>
    <row r="215" spans="1:11">
      <c r="A215" s="667" t="s">
        <v>842</v>
      </c>
      <c r="B215" s="667" t="s">
        <v>1250</v>
      </c>
      <c r="C215" s="667" t="s">
        <v>1251</v>
      </c>
      <c r="D215" s="667" t="s">
        <v>1248</v>
      </c>
      <c r="E215" s="667" t="s">
        <v>791</v>
      </c>
      <c r="F215" s="667" t="s">
        <v>792</v>
      </c>
      <c r="G215" s="667" t="s">
        <v>1178</v>
      </c>
      <c r="H215" s="667">
        <v>62410</v>
      </c>
      <c r="I215" s="667" t="s">
        <v>1252</v>
      </c>
      <c r="J215" s="667">
        <v>70</v>
      </c>
    </row>
    <row r="216" spans="1:11">
      <c r="A216" s="667" t="s">
        <v>1098</v>
      </c>
      <c r="B216" s="667" t="s">
        <v>1253</v>
      </c>
      <c r="C216" s="667" t="s">
        <v>827</v>
      </c>
      <c r="D216" s="667" t="s">
        <v>1254</v>
      </c>
      <c r="E216" s="667" t="s">
        <v>791</v>
      </c>
      <c r="F216" s="667" t="s">
        <v>792</v>
      </c>
      <c r="G216" s="667" t="s">
        <v>1255</v>
      </c>
      <c r="H216" s="667">
        <v>54047</v>
      </c>
      <c r="I216" s="667" t="s">
        <v>1256</v>
      </c>
      <c r="J216" s="667">
        <v>43</v>
      </c>
    </row>
    <row r="217" spans="1:11">
      <c r="A217" s="667" t="s">
        <v>1098</v>
      </c>
      <c r="B217" s="667" t="s">
        <v>1257</v>
      </c>
      <c r="C217" s="667" t="s">
        <v>831</v>
      </c>
      <c r="D217" s="667" t="s">
        <v>1254</v>
      </c>
      <c r="E217" s="667" t="s">
        <v>791</v>
      </c>
      <c r="F217" s="667" t="s">
        <v>792</v>
      </c>
      <c r="G217" s="667" t="s">
        <v>1255</v>
      </c>
      <c r="H217" s="667">
        <v>54048</v>
      </c>
      <c r="I217" s="667" t="s">
        <v>1258</v>
      </c>
      <c r="J217" s="667">
        <v>43</v>
      </c>
    </row>
    <row r="218" spans="1:11">
      <c r="A218" s="667" t="s">
        <v>1098</v>
      </c>
      <c r="B218" s="667" t="s">
        <v>1259</v>
      </c>
      <c r="C218" s="667" t="s">
        <v>832</v>
      </c>
      <c r="D218" s="667" t="s">
        <v>1254</v>
      </c>
      <c r="E218" s="667" t="s">
        <v>791</v>
      </c>
      <c r="F218" s="667" t="s">
        <v>792</v>
      </c>
      <c r="G218" s="667" t="s">
        <v>1255</v>
      </c>
      <c r="H218" s="667">
        <v>54049</v>
      </c>
      <c r="I218" s="667" t="s">
        <v>1260</v>
      </c>
      <c r="J218" s="667">
        <v>43</v>
      </c>
    </row>
    <row r="219" spans="1:11">
      <c r="A219" s="667" t="s">
        <v>1098</v>
      </c>
      <c r="B219" s="667" t="s">
        <v>1261</v>
      </c>
      <c r="C219" s="667" t="s">
        <v>1262</v>
      </c>
      <c r="D219" s="667" t="s">
        <v>1263</v>
      </c>
      <c r="E219" s="667" t="s">
        <v>791</v>
      </c>
      <c r="F219" s="667" t="s">
        <v>792</v>
      </c>
      <c r="G219" s="667" t="s">
        <v>1255</v>
      </c>
      <c r="H219" s="667">
        <v>54021</v>
      </c>
      <c r="I219" s="667" t="s">
        <v>1260</v>
      </c>
      <c r="J219" s="667">
        <v>50</v>
      </c>
    </row>
    <row r="220" spans="1:11">
      <c r="A220" s="667" t="s">
        <v>1098</v>
      </c>
      <c r="B220" s="667" t="s">
        <v>1264</v>
      </c>
      <c r="C220" s="667" t="s">
        <v>1265</v>
      </c>
      <c r="D220" s="667" t="s">
        <v>1263</v>
      </c>
      <c r="E220" s="667" t="s">
        <v>791</v>
      </c>
      <c r="F220" s="667" t="s">
        <v>792</v>
      </c>
      <c r="G220" s="667" t="s">
        <v>1255</v>
      </c>
      <c r="H220" s="667">
        <v>54022</v>
      </c>
      <c r="I220" s="667" t="s">
        <v>1260</v>
      </c>
      <c r="J220" s="667">
        <v>50</v>
      </c>
    </row>
    <row r="221" spans="1:11">
      <c r="A221" s="667" t="s">
        <v>1098</v>
      </c>
      <c r="B221" s="667" t="s">
        <v>1266</v>
      </c>
      <c r="C221" s="667" t="s">
        <v>1267</v>
      </c>
      <c r="D221" s="667" t="s">
        <v>1263</v>
      </c>
      <c r="E221" s="667" t="s">
        <v>791</v>
      </c>
      <c r="F221" s="667" t="s">
        <v>846</v>
      </c>
      <c r="G221" s="667" t="s">
        <v>1255</v>
      </c>
      <c r="H221" s="667">
        <v>54023</v>
      </c>
      <c r="I221" s="667" t="s">
        <v>1260</v>
      </c>
      <c r="J221" s="667">
        <v>50</v>
      </c>
    </row>
    <row r="222" spans="1:11">
      <c r="A222" s="667" t="s">
        <v>1098</v>
      </c>
      <c r="B222" s="667" t="s">
        <v>1268</v>
      </c>
      <c r="C222" s="667" t="s">
        <v>1269</v>
      </c>
      <c r="D222" s="667" t="s">
        <v>1270</v>
      </c>
      <c r="E222" s="667" t="s">
        <v>791</v>
      </c>
      <c r="F222" s="667" t="s">
        <v>792</v>
      </c>
      <c r="G222" s="667" t="s">
        <v>1255</v>
      </c>
      <c r="H222" s="667">
        <v>54035</v>
      </c>
      <c r="I222" s="667" t="s">
        <v>1271</v>
      </c>
      <c r="J222" s="667">
        <v>7</v>
      </c>
    </row>
    <row r="223" spans="1:11">
      <c r="A223" s="667" t="s">
        <v>1098</v>
      </c>
      <c r="B223" s="667" t="s">
        <v>1272</v>
      </c>
      <c r="C223" s="667" t="s">
        <v>1273</v>
      </c>
      <c r="D223" s="667" t="s">
        <v>1274</v>
      </c>
      <c r="E223" s="667" t="s">
        <v>791</v>
      </c>
      <c r="F223" s="667" t="s">
        <v>792</v>
      </c>
      <c r="G223" s="667" t="s">
        <v>1255</v>
      </c>
      <c r="H223" s="667">
        <v>55364</v>
      </c>
      <c r="I223" s="667" t="s">
        <v>1275</v>
      </c>
      <c r="J223" s="667">
        <v>53</v>
      </c>
    </row>
    <row r="224" spans="1:11">
      <c r="A224" s="667" t="s">
        <v>1098</v>
      </c>
      <c r="B224" s="667" t="s">
        <v>1276</v>
      </c>
      <c r="C224" s="667" t="s">
        <v>1277</v>
      </c>
      <c r="D224" s="667" t="s">
        <v>1274</v>
      </c>
      <c r="E224" s="667" t="s">
        <v>791</v>
      </c>
      <c r="F224" s="667" t="s">
        <v>792</v>
      </c>
      <c r="G224" s="667" t="s">
        <v>1255</v>
      </c>
      <c r="H224" s="667">
        <v>55363</v>
      </c>
      <c r="I224" s="667" t="s">
        <v>1278</v>
      </c>
      <c r="J224" s="667">
        <v>53</v>
      </c>
    </row>
    <row r="225" spans="1:11">
      <c r="A225" s="667" t="s">
        <v>1098</v>
      </c>
      <c r="B225" s="667" t="s">
        <v>1279</v>
      </c>
      <c r="C225" s="667" t="s">
        <v>1280</v>
      </c>
      <c r="D225" s="667" t="s">
        <v>1274</v>
      </c>
      <c r="E225" s="667" t="s">
        <v>791</v>
      </c>
      <c r="F225" s="667" t="s">
        <v>792</v>
      </c>
      <c r="G225" s="667" t="s">
        <v>1255</v>
      </c>
      <c r="H225" s="667">
        <v>55362</v>
      </c>
      <c r="I225" s="667" t="s">
        <v>1281</v>
      </c>
      <c r="J225" s="667">
        <v>53</v>
      </c>
    </row>
    <row r="226" spans="1:11">
      <c r="A226" s="667" t="s">
        <v>1098</v>
      </c>
      <c r="B226" s="667" t="s">
        <v>1282</v>
      </c>
      <c r="C226" s="667" t="s">
        <v>1283</v>
      </c>
      <c r="D226" s="667" t="s">
        <v>1284</v>
      </c>
      <c r="E226" s="667" t="s">
        <v>791</v>
      </c>
      <c r="F226" s="667" t="s">
        <v>1088</v>
      </c>
      <c r="G226" s="667" t="s">
        <v>1255</v>
      </c>
      <c r="H226" s="667">
        <v>55359</v>
      </c>
      <c r="I226" s="667" t="s">
        <v>1281</v>
      </c>
      <c r="J226" s="667">
        <v>53</v>
      </c>
    </row>
    <row r="227" spans="1:11">
      <c r="A227" s="667" t="s">
        <v>1098</v>
      </c>
      <c r="B227" s="667" t="s">
        <v>1285</v>
      </c>
      <c r="C227" s="667" t="s">
        <v>1286</v>
      </c>
      <c r="D227" s="667" t="s">
        <v>1284</v>
      </c>
      <c r="E227" s="667" t="s">
        <v>791</v>
      </c>
      <c r="F227" s="667" t="s">
        <v>1088</v>
      </c>
      <c r="G227" s="667" t="s">
        <v>1255</v>
      </c>
      <c r="H227" s="667">
        <v>55360</v>
      </c>
      <c r="I227" s="667" t="s">
        <v>1281</v>
      </c>
      <c r="J227" s="667">
        <v>53</v>
      </c>
    </row>
    <row r="228" spans="1:11">
      <c r="A228" s="667" t="s">
        <v>1098</v>
      </c>
      <c r="B228" s="667" t="s">
        <v>1287</v>
      </c>
      <c r="C228" s="667" t="s">
        <v>1288</v>
      </c>
      <c r="D228" s="667" t="s">
        <v>1284</v>
      </c>
      <c r="E228" s="667" t="s">
        <v>791</v>
      </c>
      <c r="F228" s="667" t="s">
        <v>1088</v>
      </c>
      <c r="G228" s="667" t="s">
        <v>1255</v>
      </c>
      <c r="H228" s="667">
        <v>55361</v>
      </c>
      <c r="I228" s="667" t="s">
        <v>1281</v>
      </c>
      <c r="J228" s="667">
        <v>53</v>
      </c>
    </row>
    <row r="229" spans="1:11">
      <c r="A229" s="667" t="s">
        <v>969</v>
      </c>
      <c r="B229" s="667" t="s">
        <v>1289</v>
      </c>
      <c r="C229" s="667" t="s">
        <v>1290</v>
      </c>
      <c r="D229" s="667" t="s">
        <v>1291</v>
      </c>
      <c r="E229" s="667" t="s">
        <v>791</v>
      </c>
      <c r="F229" s="667" t="s">
        <v>817</v>
      </c>
      <c r="G229" s="667" t="s">
        <v>1292</v>
      </c>
      <c r="H229" s="667">
        <v>51639</v>
      </c>
      <c r="I229" s="667" t="s">
        <v>889</v>
      </c>
      <c r="J229" s="667">
        <v>78</v>
      </c>
    </row>
    <row r="230" spans="1:11">
      <c r="A230" s="667" t="s">
        <v>969</v>
      </c>
      <c r="B230" s="667" t="s">
        <v>1293</v>
      </c>
      <c r="C230" s="667" t="s">
        <v>1151</v>
      </c>
      <c r="D230" s="667" t="s">
        <v>1291</v>
      </c>
      <c r="E230" s="667" t="s">
        <v>791</v>
      </c>
      <c r="F230" s="667" t="s">
        <v>817</v>
      </c>
      <c r="G230" s="667" t="s">
        <v>1292</v>
      </c>
      <c r="H230" s="667">
        <v>51699</v>
      </c>
      <c r="I230" s="667" t="s">
        <v>889</v>
      </c>
      <c r="J230" s="667">
        <v>78</v>
      </c>
    </row>
    <row r="231" spans="1:11">
      <c r="A231" s="667" t="s">
        <v>969</v>
      </c>
      <c r="B231" s="667" t="s">
        <v>1294</v>
      </c>
      <c r="C231" s="667" t="s">
        <v>993</v>
      </c>
      <c r="D231" s="667" t="s">
        <v>1291</v>
      </c>
      <c r="E231" s="667" t="s">
        <v>791</v>
      </c>
      <c r="F231" s="667" t="s">
        <v>817</v>
      </c>
      <c r="G231" s="667" t="s">
        <v>1292</v>
      </c>
      <c r="H231" s="667">
        <v>51700</v>
      </c>
      <c r="I231" s="667" t="s">
        <v>889</v>
      </c>
      <c r="J231" s="667">
        <v>78</v>
      </c>
    </row>
    <row r="232" spans="1:11">
      <c r="A232" s="667" t="s">
        <v>969</v>
      </c>
      <c r="B232" s="667" t="s">
        <v>1295</v>
      </c>
      <c r="C232" s="667" t="s">
        <v>1296</v>
      </c>
      <c r="D232" s="667" t="s">
        <v>1291</v>
      </c>
      <c r="E232" s="667" t="s">
        <v>791</v>
      </c>
      <c r="F232" s="667" t="s">
        <v>817</v>
      </c>
      <c r="G232" s="667" t="s">
        <v>1292</v>
      </c>
      <c r="H232" s="667">
        <v>51637</v>
      </c>
      <c r="I232" s="667" t="s">
        <v>889</v>
      </c>
      <c r="J232" s="667">
        <v>78</v>
      </c>
    </row>
    <row r="233" spans="1:11">
      <c r="A233" s="667" t="s">
        <v>969</v>
      </c>
      <c r="B233" s="667" t="s">
        <v>1297</v>
      </c>
      <c r="C233" s="667" t="s">
        <v>1158</v>
      </c>
      <c r="D233" s="667" t="s">
        <v>1291</v>
      </c>
      <c r="E233" s="667" t="s">
        <v>791</v>
      </c>
      <c r="F233" s="667" t="s">
        <v>817</v>
      </c>
      <c r="G233" s="667" t="s">
        <v>1292</v>
      </c>
      <c r="H233" s="667">
        <v>51636</v>
      </c>
      <c r="I233" s="667" t="s">
        <v>889</v>
      </c>
      <c r="J233" s="667">
        <v>78</v>
      </c>
    </row>
    <row r="234" spans="1:11">
      <c r="A234" s="667" t="s">
        <v>969</v>
      </c>
      <c r="B234" s="667" t="s">
        <v>1298</v>
      </c>
      <c r="C234" s="667" t="s">
        <v>1299</v>
      </c>
      <c r="E234" s="667" t="s">
        <v>791</v>
      </c>
      <c r="F234" s="667" t="s">
        <v>792</v>
      </c>
      <c r="G234" s="667" t="s">
        <v>1292</v>
      </c>
      <c r="H234" s="667">
        <v>51635</v>
      </c>
      <c r="I234" s="667" t="s">
        <v>1300</v>
      </c>
      <c r="J234" s="667">
        <v>78</v>
      </c>
    </row>
    <row r="235" spans="1:11">
      <c r="A235" s="667" t="s">
        <v>969</v>
      </c>
      <c r="B235" s="667" t="s">
        <v>1301</v>
      </c>
      <c r="C235" s="667" t="s">
        <v>1155</v>
      </c>
      <c r="D235" s="667" t="s">
        <v>1291</v>
      </c>
      <c r="E235" s="667" t="s">
        <v>791</v>
      </c>
      <c r="F235" s="667" t="s">
        <v>817</v>
      </c>
      <c r="G235" s="667" t="s">
        <v>1292</v>
      </c>
      <c r="H235" s="667">
        <v>51634</v>
      </c>
      <c r="I235" s="667" t="s">
        <v>889</v>
      </c>
      <c r="J235" s="667">
        <v>78</v>
      </c>
    </row>
    <row r="236" spans="1:11">
      <c r="A236" s="667" t="s">
        <v>969</v>
      </c>
      <c r="B236" s="667" t="s">
        <v>1302</v>
      </c>
      <c r="C236" s="667" t="s">
        <v>1303</v>
      </c>
      <c r="E236" s="667" t="s">
        <v>791</v>
      </c>
      <c r="F236" s="667" t="s">
        <v>792</v>
      </c>
      <c r="G236" s="667" t="s">
        <v>1292</v>
      </c>
      <c r="H236" s="667">
        <v>51633</v>
      </c>
      <c r="I236" s="667" t="s">
        <v>1304</v>
      </c>
      <c r="J236" s="667">
        <v>78</v>
      </c>
    </row>
    <row r="237" spans="1:11">
      <c r="A237" s="667" t="s">
        <v>969</v>
      </c>
      <c r="B237" s="667" t="s">
        <v>1305</v>
      </c>
      <c r="C237" s="667" t="s">
        <v>927</v>
      </c>
      <c r="D237" s="667" t="s">
        <v>1291</v>
      </c>
      <c r="E237" s="667" t="s">
        <v>791</v>
      </c>
      <c r="F237" s="667" t="s">
        <v>817</v>
      </c>
      <c r="G237" s="667" t="s">
        <v>1292</v>
      </c>
      <c r="H237" s="667">
        <v>51638</v>
      </c>
      <c r="I237" s="667" t="s">
        <v>889</v>
      </c>
      <c r="J237" s="667">
        <v>78</v>
      </c>
    </row>
    <row r="238" spans="1:11">
      <c r="A238" s="667" t="s">
        <v>969</v>
      </c>
      <c r="B238" s="667" t="s">
        <v>1306</v>
      </c>
      <c r="C238" s="667" t="s">
        <v>922</v>
      </c>
      <c r="D238" s="667" t="s">
        <v>1291</v>
      </c>
      <c r="E238" s="667" t="s">
        <v>791</v>
      </c>
      <c r="F238" s="667" t="s">
        <v>817</v>
      </c>
      <c r="G238" s="667" t="s">
        <v>1292</v>
      </c>
      <c r="H238" s="667">
        <v>51802</v>
      </c>
      <c r="I238" s="667" t="s">
        <v>889</v>
      </c>
      <c r="J238" s="667">
        <v>78</v>
      </c>
    </row>
    <row r="239" spans="1:11">
      <c r="A239" s="667" t="s">
        <v>842</v>
      </c>
      <c r="B239" s="667" t="s">
        <v>1307</v>
      </c>
      <c r="C239" s="667" t="s">
        <v>1308</v>
      </c>
      <c r="D239" s="667" t="s">
        <v>1046</v>
      </c>
      <c r="E239" s="667" t="s">
        <v>791</v>
      </c>
      <c r="F239" s="667" t="s">
        <v>792</v>
      </c>
      <c r="G239" s="667" t="s">
        <v>1309</v>
      </c>
      <c r="H239" s="667">
        <v>51369</v>
      </c>
      <c r="I239" s="667" t="s">
        <v>1310</v>
      </c>
      <c r="J239" s="667">
        <v>67</v>
      </c>
      <c r="K239" s="669" t="s">
        <v>1311</v>
      </c>
    </row>
    <row r="240" spans="1:11">
      <c r="A240" s="667" t="s">
        <v>842</v>
      </c>
      <c r="B240" s="667" t="s">
        <v>1312</v>
      </c>
      <c r="C240" s="667" t="s">
        <v>1313</v>
      </c>
      <c r="D240" s="667" t="s">
        <v>1046</v>
      </c>
      <c r="E240" s="667" t="s">
        <v>791</v>
      </c>
      <c r="F240" s="667" t="s">
        <v>792</v>
      </c>
      <c r="G240" s="667" t="s">
        <v>1309</v>
      </c>
      <c r="H240" s="667">
        <v>51370</v>
      </c>
      <c r="I240" s="667" t="s">
        <v>1310</v>
      </c>
      <c r="J240" s="667">
        <v>67</v>
      </c>
      <c r="K240" s="667" t="s">
        <v>959</v>
      </c>
    </row>
    <row r="241" spans="1:11">
      <c r="A241" s="667" t="s">
        <v>842</v>
      </c>
      <c r="B241" s="667" t="s">
        <v>1314</v>
      </c>
      <c r="C241" s="667" t="s">
        <v>1315</v>
      </c>
      <c r="D241" s="667" t="s">
        <v>1046</v>
      </c>
      <c r="E241" s="667" t="s">
        <v>791</v>
      </c>
      <c r="F241" s="667" t="s">
        <v>792</v>
      </c>
      <c r="G241" s="667" t="s">
        <v>1309</v>
      </c>
      <c r="H241" s="667">
        <v>51371</v>
      </c>
      <c r="I241" s="667" t="s">
        <v>1310</v>
      </c>
      <c r="J241" s="667">
        <v>67</v>
      </c>
      <c r="K241" s="667" t="s">
        <v>959</v>
      </c>
    </row>
    <row r="242" spans="1:11">
      <c r="A242" s="667" t="s">
        <v>842</v>
      </c>
      <c r="B242" s="667" t="s">
        <v>1316</v>
      </c>
      <c r="C242" s="667" t="s">
        <v>1317</v>
      </c>
      <c r="D242" s="667" t="s">
        <v>1046</v>
      </c>
      <c r="E242" s="667" t="s">
        <v>791</v>
      </c>
      <c r="F242" s="667" t="s">
        <v>792</v>
      </c>
      <c r="G242" s="667" t="s">
        <v>1309</v>
      </c>
      <c r="H242" s="667">
        <v>51372</v>
      </c>
      <c r="I242" s="667" t="s">
        <v>1318</v>
      </c>
      <c r="J242" s="667">
        <v>67</v>
      </c>
      <c r="K242" s="667" t="s">
        <v>1319</v>
      </c>
    </row>
    <row r="243" spans="1:11">
      <c r="A243" s="667" t="s">
        <v>842</v>
      </c>
      <c r="B243" s="667" t="s">
        <v>1320</v>
      </c>
      <c r="C243" s="667" t="s">
        <v>1321</v>
      </c>
      <c r="D243" s="667" t="s">
        <v>1046</v>
      </c>
      <c r="E243" s="667" t="s">
        <v>791</v>
      </c>
      <c r="F243" s="667" t="s">
        <v>792</v>
      </c>
      <c r="G243" s="667" t="s">
        <v>1309</v>
      </c>
      <c r="H243" s="667">
        <v>51374</v>
      </c>
      <c r="I243" s="667" t="s">
        <v>1322</v>
      </c>
      <c r="J243" s="667">
        <v>67</v>
      </c>
      <c r="K243" s="667" t="s">
        <v>1319</v>
      </c>
    </row>
    <row r="244" spans="1:11">
      <c r="A244" s="667" t="s">
        <v>842</v>
      </c>
      <c r="B244" s="667" t="s">
        <v>1323</v>
      </c>
      <c r="C244" s="667" t="s">
        <v>1324</v>
      </c>
      <c r="D244" s="667" t="s">
        <v>1325</v>
      </c>
      <c r="E244" s="667" t="s">
        <v>791</v>
      </c>
      <c r="F244" s="667" t="s">
        <v>1187</v>
      </c>
      <c r="G244" s="667" t="s">
        <v>1309</v>
      </c>
      <c r="H244" s="667">
        <v>51236</v>
      </c>
      <c r="I244" s="667" t="s">
        <v>852</v>
      </c>
      <c r="J244" s="667">
        <v>3</v>
      </c>
      <c r="K244" s="667" t="s">
        <v>959</v>
      </c>
    </row>
    <row r="245" spans="1:11">
      <c r="A245" s="667" t="s">
        <v>842</v>
      </c>
      <c r="B245" s="667" t="s">
        <v>1326</v>
      </c>
      <c r="C245" s="667" t="s">
        <v>1327</v>
      </c>
      <c r="D245" s="667" t="s">
        <v>1325</v>
      </c>
      <c r="E245" s="667" t="s">
        <v>791</v>
      </c>
      <c r="F245" s="667" t="s">
        <v>1187</v>
      </c>
      <c r="G245" s="667" t="s">
        <v>1309</v>
      </c>
      <c r="H245" s="667">
        <v>51237</v>
      </c>
      <c r="I245" s="667" t="s">
        <v>852</v>
      </c>
      <c r="J245" s="667">
        <v>3</v>
      </c>
      <c r="K245" s="667" t="s">
        <v>959</v>
      </c>
    </row>
    <row r="246" spans="1:11">
      <c r="A246" s="667" t="s">
        <v>842</v>
      </c>
      <c r="B246" s="667" t="s">
        <v>1328</v>
      </c>
      <c r="C246" s="667" t="s">
        <v>1329</v>
      </c>
      <c r="D246" s="667" t="s">
        <v>1325</v>
      </c>
      <c r="E246" s="667" t="s">
        <v>791</v>
      </c>
      <c r="F246" s="667" t="s">
        <v>1187</v>
      </c>
      <c r="G246" s="667" t="s">
        <v>1309</v>
      </c>
      <c r="H246" s="667">
        <v>51235</v>
      </c>
      <c r="I246" s="667" t="s">
        <v>852</v>
      </c>
      <c r="J246" s="667">
        <v>3</v>
      </c>
      <c r="K246" s="667" t="s">
        <v>959</v>
      </c>
    </row>
    <row r="247" spans="1:11">
      <c r="A247" s="667" t="s">
        <v>842</v>
      </c>
      <c r="B247" s="667" t="s">
        <v>1330</v>
      </c>
      <c r="C247" s="667" t="s">
        <v>1331</v>
      </c>
      <c r="D247" s="667" t="s">
        <v>1325</v>
      </c>
      <c r="E247" s="667" t="s">
        <v>791</v>
      </c>
      <c r="F247" s="667" t="s">
        <v>829</v>
      </c>
      <c r="G247" s="667" t="s">
        <v>1309</v>
      </c>
      <c r="H247" s="667">
        <v>51238</v>
      </c>
      <c r="J247" s="667">
        <v>3</v>
      </c>
      <c r="K247" s="667" t="s">
        <v>1332</v>
      </c>
    </row>
    <row r="248" spans="1:11">
      <c r="A248" s="667" t="s">
        <v>842</v>
      </c>
      <c r="B248" s="667" t="s">
        <v>1333</v>
      </c>
      <c r="C248" s="667" t="s">
        <v>1334</v>
      </c>
      <c r="D248" s="667" t="s">
        <v>1325</v>
      </c>
      <c r="E248" s="667" t="s">
        <v>791</v>
      </c>
      <c r="F248" s="667" t="s">
        <v>829</v>
      </c>
      <c r="G248" s="667" t="s">
        <v>1309</v>
      </c>
      <c r="H248" s="667">
        <v>51239</v>
      </c>
      <c r="J248" s="667">
        <v>3</v>
      </c>
      <c r="K248" s="667" t="s">
        <v>1332</v>
      </c>
    </row>
    <row r="249" spans="1:11">
      <c r="A249" s="667" t="s">
        <v>842</v>
      </c>
      <c r="B249" s="667" t="s">
        <v>1335</v>
      </c>
      <c r="C249" s="667" t="s">
        <v>1334</v>
      </c>
      <c r="D249" s="667" t="s">
        <v>1325</v>
      </c>
      <c r="E249" s="667" t="s">
        <v>791</v>
      </c>
      <c r="F249" s="667" t="s">
        <v>829</v>
      </c>
      <c r="G249" s="667" t="s">
        <v>1309</v>
      </c>
      <c r="H249" s="667">
        <v>51240</v>
      </c>
      <c r="J249" s="667">
        <v>3</v>
      </c>
      <c r="K249" s="667" t="s">
        <v>1332</v>
      </c>
    </row>
    <row r="250" spans="1:11">
      <c r="A250" s="667" t="s">
        <v>842</v>
      </c>
      <c r="B250" s="667" t="s">
        <v>1336</v>
      </c>
      <c r="C250" s="667" t="s">
        <v>1337</v>
      </c>
      <c r="D250" s="667" t="s">
        <v>1338</v>
      </c>
      <c r="E250" s="667" t="s">
        <v>791</v>
      </c>
      <c r="F250" s="667" t="s">
        <v>1187</v>
      </c>
      <c r="G250" s="667" t="s">
        <v>1309</v>
      </c>
      <c r="H250" s="667">
        <v>57807</v>
      </c>
      <c r="J250" s="667">
        <v>20</v>
      </c>
      <c r="K250" s="667" t="s">
        <v>959</v>
      </c>
    </row>
    <row r="251" spans="1:11">
      <c r="A251" s="667" t="s">
        <v>842</v>
      </c>
      <c r="B251" s="667" t="s">
        <v>1339</v>
      </c>
      <c r="C251" s="667" t="s">
        <v>1340</v>
      </c>
      <c r="D251" s="667" t="s">
        <v>1338</v>
      </c>
      <c r="E251" s="667" t="s">
        <v>791</v>
      </c>
      <c r="F251" s="667" t="s">
        <v>1187</v>
      </c>
      <c r="G251" s="667" t="s">
        <v>1309</v>
      </c>
      <c r="H251" s="667">
        <v>57808</v>
      </c>
      <c r="J251" s="667">
        <v>50</v>
      </c>
      <c r="K251" s="667" t="s">
        <v>959</v>
      </c>
    </row>
    <row r="252" spans="1:11">
      <c r="A252" s="667" t="s">
        <v>842</v>
      </c>
      <c r="B252" s="667" t="s">
        <v>1341</v>
      </c>
      <c r="C252" s="667" t="s">
        <v>1342</v>
      </c>
      <c r="D252" s="667" t="s">
        <v>1338</v>
      </c>
      <c r="E252" s="667" t="s">
        <v>791</v>
      </c>
      <c r="F252" s="667" t="s">
        <v>1187</v>
      </c>
      <c r="G252" s="667" t="s">
        <v>1309</v>
      </c>
      <c r="H252" s="667">
        <v>57809</v>
      </c>
      <c r="J252" s="667">
        <v>20</v>
      </c>
      <c r="K252" s="667" t="s">
        <v>959</v>
      </c>
    </row>
    <row r="253" spans="1:11">
      <c r="A253" s="667" t="s">
        <v>842</v>
      </c>
      <c r="B253" s="667" t="s">
        <v>1343</v>
      </c>
      <c r="C253" s="667" t="s">
        <v>1344</v>
      </c>
      <c r="D253" s="667" t="s">
        <v>1338</v>
      </c>
      <c r="E253" s="667" t="s">
        <v>791</v>
      </c>
      <c r="F253" s="667" t="s">
        <v>792</v>
      </c>
      <c r="G253" s="667" t="s">
        <v>1309</v>
      </c>
      <c r="H253" s="667">
        <v>51366</v>
      </c>
      <c r="I253" s="667" t="s">
        <v>857</v>
      </c>
      <c r="J253" s="667">
        <v>50</v>
      </c>
      <c r="K253" s="667" t="s">
        <v>959</v>
      </c>
    </row>
    <row r="254" spans="1:11">
      <c r="A254" s="667" t="s">
        <v>842</v>
      </c>
      <c r="B254" s="667" t="s">
        <v>1345</v>
      </c>
      <c r="C254" s="667" t="s">
        <v>1346</v>
      </c>
      <c r="D254" s="667" t="s">
        <v>1338</v>
      </c>
      <c r="E254" s="667" t="s">
        <v>791</v>
      </c>
      <c r="F254" s="667" t="s">
        <v>792</v>
      </c>
      <c r="G254" s="667" t="s">
        <v>1309</v>
      </c>
      <c r="H254" s="667">
        <v>51367</v>
      </c>
      <c r="I254" s="667" t="s">
        <v>857</v>
      </c>
      <c r="J254" s="667">
        <v>50</v>
      </c>
      <c r="K254" s="667" t="s">
        <v>959</v>
      </c>
    </row>
    <row r="255" spans="1:11">
      <c r="A255" s="667" t="s">
        <v>842</v>
      </c>
      <c r="B255" s="667" t="s">
        <v>1347</v>
      </c>
      <c r="C255" s="667" t="s">
        <v>1348</v>
      </c>
      <c r="D255" s="667" t="s">
        <v>1338</v>
      </c>
      <c r="E255" s="667" t="s">
        <v>791</v>
      </c>
      <c r="F255" s="667" t="s">
        <v>792</v>
      </c>
      <c r="G255" s="667" t="s">
        <v>1309</v>
      </c>
      <c r="H255" s="667">
        <v>51368</v>
      </c>
      <c r="I255" s="667" t="s">
        <v>857</v>
      </c>
      <c r="J255" s="667">
        <v>50</v>
      </c>
      <c r="K255" s="667" t="s">
        <v>959</v>
      </c>
    </row>
    <row r="256" spans="1:11">
      <c r="A256" s="667" t="s">
        <v>1098</v>
      </c>
      <c r="B256" s="667" t="s">
        <v>1349</v>
      </c>
      <c r="C256" s="667" t="s">
        <v>1350</v>
      </c>
      <c r="D256" s="667" t="s">
        <v>1351</v>
      </c>
      <c r="E256" s="667" t="s">
        <v>791</v>
      </c>
      <c r="F256" s="667" t="s">
        <v>829</v>
      </c>
      <c r="G256" s="667" t="s">
        <v>1352</v>
      </c>
      <c r="H256" s="667">
        <v>55189</v>
      </c>
      <c r="I256" s="667" t="s">
        <v>1353</v>
      </c>
      <c r="J256" s="667">
        <v>78</v>
      </c>
    </row>
    <row r="257" spans="1:11">
      <c r="A257" s="667" t="s">
        <v>1098</v>
      </c>
      <c r="B257" s="667" t="s">
        <v>1354</v>
      </c>
      <c r="C257" s="667" t="s">
        <v>1355</v>
      </c>
      <c r="D257" s="667" t="s">
        <v>1351</v>
      </c>
      <c r="E257" s="667" t="s">
        <v>791</v>
      </c>
      <c r="F257" s="667" t="s">
        <v>829</v>
      </c>
      <c r="G257" s="667" t="s">
        <v>1352</v>
      </c>
      <c r="H257" s="667">
        <v>55190</v>
      </c>
      <c r="I257" s="667" t="s">
        <v>1353</v>
      </c>
      <c r="J257" s="667">
        <v>78</v>
      </c>
    </row>
    <row r="258" spans="1:11">
      <c r="A258" s="667" t="s">
        <v>1098</v>
      </c>
      <c r="B258" s="667" t="s">
        <v>1356</v>
      </c>
      <c r="C258" s="667" t="s">
        <v>1357</v>
      </c>
      <c r="D258" s="667" t="s">
        <v>1351</v>
      </c>
      <c r="E258" s="667" t="s">
        <v>791</v>
      </c>
      <c r="F258" s="667" t="s">
        <v>829</v>
      </c>
      <c r="G258" s="667" t="s">
        <v>1352</v>
      </c>
      <c r="H258" s="667">
        <v>55191</v>
      </c>
      <c r="I258" s="667" t="s">
        <v>1353</v>
      </c>
      <c r="J258" s="667">
        <v>78</v>
      </c>
    </row>
    <row r="259" spans="1:11">
      <c r="A259" s="667" t="s">
        <v>1098</v>
      </c>
      <c r="B259" s="667" t="s">
        <v>1358</v>
      </c>
      <c r="C259" s="667" t="s">
        <v>1359</v>
      </c>
      <c r="D259" s="667" t="s">
        <v>1351</v>
      </c>
      <c r="E259" s="667" t="s">
        <v>791</v>
      </c>
      <c r="F259" s="667" t="s">
        <v>829</v>
      </c>
      <c r="G259" s="667" t="s">
        <v>1352</v>
      </c>
      <c r="H259" s="667">
        <v>55192</v>
      </c>
      <c r="I259" s="667" t="s">
        <v>1353</v>
      </c>
      <c r="J259" s="667">
        <v>78</v>
      </c>
    </row>
    <row r="260" spans="1:11">
      <c r="A260" s="667" t="s">
        <v>1098</v>
      </c>
      <c r="B260" s="667" t="s">
        <v>1360</v>
      </c>
      <c r="C260" s="667" t="s">
        <v>1361</v>
      </c>
      <c r="D260" s="667" t="s">
        <v>1351</v>
      </c>
      <c r="E260" s="667" t="s">
        <v>791</v>
      </c>
      <c r="F260" s="667" t="s">
        <v>829</v>
      </c>
      <c r="G260" s="667" t="s">
        <v>1352</v>
      </c>
      <c r="H260" s="667">
        <v>55193</v>
      </c>
      <c r="I260" s="667" t="s">
        <v>1353</v>
      </c>
      <c r="J260" s="667">
        <v>78</v>
      </c>
    </row>
    <row r="261" spans="1:11">
      <c r="A261" s="667" t="s">
        <v>1098</v>
      </c>
      <c r="B261" s="667" t="s">
        <v>1362</v>
      </c>
      <c r="C261" s="667" t="s">
        <v>1363</v>
      </c>
      <c r="D261" s="667" t="s">
        <v>1351</v>
      </c>
      <c r="E261" s="667" t="s">
        <v>791</v>
      </c>
      <c r="F261" s="667" t="s">
        <v>829</v>
      </c>
      <c r="G261" s="667" t="s">
        <v>1352</v>
      </c>
      <c r="H261" s="667">
        <v>55194</v>
      </c>
      <c r="I261" s="667" t="s">
        <v>1353</v>
      </c>
      <c r="J261" s="667">
        <v>78</v>
      </c>
    </row>
    <row r="262" spans="1:11">
      <c r="A262" s="667" t="s">
        <v>1098</v>
      </c>
      <c r="B262" s="667" t="s">
        <v>1364</v>
      </c>
      <c r="C262" s="667" t="s">
        <v>1365</v>
      </c>
      <c r="D262" s="667" t="s">
        <v>1351</v>
      </c>
      <c r="E262" s="667" t="s">
        <v>791</v>
      </c>
      <c r="F262" s="667" t="s">
        <v>817</v>
      </c>
      <c r="G262" s="667" t="s">
        <v>1352</v>
      </c>
      <c r="H262" s="667">
        <v>55195</v>
      </c>
      <c r="I262" s="667" t="s">
        <v>1366</v>
      </c>
      <c r="J262" s="667">
        <v>78</v>
      </c>
    </row>
    <row r="263" spans="1:11">
      <c r="A263" s="667" t="s">
        <v>1098</v>
      </c>
      <c r="B263" s="667" t="s">
        <v>1367</v>
      </c>
      <c r="C263" s="667" t="s">
        <v>1368</v>
      </c>
      <c r="D263" s="667" t="s">
        <v>1101</v>
      </c>
      <c r="E263" s="667" t="s">
        <v>791</v>
      </c>
      <c r="F263" s="667" t="s">
        <v>817</v>
      </c>
      <c r="G263" s="667" t="s">
        <v>1352</v>
      </c>
      <c r="H263" s="667">
        <v>55196</v>
      </c>
      <c r="I263" s="667" t="s">
        <v>1366</v>
      </c>
      <c r="J263" s="667">
        <v>78</v>
      </c>
    </row>
    <row r="264" spans="1:11">
      <c r="A264" s="667" t="s">
        <v>1098</v>
      </c>
      <c r="B264" s="667" t="s">
        <v>1369</v>
      </c>
      <c r="C264" s="667" t="s">
        <v>1370</v>
      </c>
      <c r="D264" s="667" t="s">
        <v>1351</v>
      </c>
      <c r="E264" s="667" t="s">
        <v>791</v>
      </c>
      <c r="F264" s="667" t="s">
        <v>817</v>
      </c>
      <c r="G264" s="667" t="s">
        <v>1352</v>
      </c>
      <c r="H264" s="667">
        <v>55197</v>
      </c>
      <c r="I264" s="667" t="s">
        <v>1366</v>
      </c>
      <c r="J264" s="667">
        <v>78</v>
      </c>
    </row>
    <row r="265" spans="1:11">
      <c r="A265" s="667" t="s">
        <v>1098</v>
      </c>
      <c r="B265" s="667" t="s">
        <v>1371</v>
      </c>
      <c r="C265" s="667" t="s">
        <v>1372</v>
      </c>
      <c r="D265" s="667" t="s">
        <v>1101</v>
      </c>
      <c r="E265" s="667" t="s">
        <v>791</v>
      </c>
      <c r="F265" s="667" t="s">
        <v>817</v>
      </c>
      <c r="G265" s="667" t="s">
        <v>1352</v>
      </c>
      <c r="H265" s="667">
        <v>55302</v>
      </c>
      <c r="I265" s="667" t="s">
        <v>1366</v>
      </c>
      <c r="J265" s="667">
        <v>78</v>
      </c>
    </row>
    <row r="266" spans="1:11">
      <c r="A266" s="667" t="s">
        <v>1098</v>
      </c>
      <c r="B266" s="667" t="s">
        <v>1373</v>
      </c>
      <c r="C266" s="667" t="s">
        <v>1374</v>
      </c>
      <c r="D266" s="667" t="s">
        <v>1101</v>
      </c>
      <c r="E266" s="667" t="s">
        <v>791</v>
      </c>
      <c r="F266" s="667" t="s">
        <v>817</v>
      </c>
      <c r="G266" s="667" t="s">
        <v>1352</v>
      </c>
      <c r="H266" s="667">
        <v>55300</v>
      </c>
      <c r="I266" s="667" t="s">
        <v>1366</v>
      </c>
      <c r="J266" s="667">
        <v>78</v>
      </c>
    </row>
    <row r="267" spans="1:11">
      <c r="A267" s="667" t="s">
        <v>1098</v>
      </c>
      <c r="B267" s="667" t="s">
        <v>1375</v>
      </c>
      <c r="C267" s="667" t="s">
        <v>1376</v>
      </c>
      <c r="D267" s="667" t="s">
        <v>1351</v>
      </c>
      <c r="E267" s="667" t="s">
        <v>791</v>
      </c>
      <c r="F267" s="667" t="s">
        <v>817</v>
      </c>
      <c r="G267" s="667" t="s">
        <v>1352</v>
      </c>
      <c r="H267" s="667">
        <v>55296</v>
      </c>
      <c r="I267" s="667" t="s">
        <v>1366</v>
      </c>
      <c r="J267" s="667">
        <v>78</v>
      </c>
    </row>
    <row r="268" spans="1:11">
      <c r="A268" s="667" t="s">
        <v>842</v>
      </c>
      <c r="B268" s="667" t="s">
        <v>1377</v>
      </c>
      <c r="C268" s="667" t="s">
        <v>1378</v>
      </c>
      <c r="D268" s="667" t="s">
        <v>1379</v>
      </c>
      <c r="E268" s="667" t="s">
        <v>791</v>
      </c>
      <c r="F268" s="667" t="s">
        <v>1187</v>
      </c>
      <c r="G268" s="667" t="s">
        <v>1380</v>
      </c>
      <c r="H268" s="667">
        <v>51061</v>
      </c>
      <c r="I268" s="667" t="s">
        <v>852</v>
      </c>
      <c r="K268" s="667" t="s">
        <v>1381</v>
      </c>
    </row>
    <row r="269" spans="1:11">
      <c r="A269" s="667" t="s">
        <v>842</v>
      </c>
      <c r="B269" s="667" t="s">
        <v>1382</v>
      </c>
      <c r="C269" s="667" t="s">
        <v>850</v>
      </c>
      <c r="D269" s="667" t="s">
        <v>1383</v>
      </c>
      <c r="E269" s="667" t="s">
        <v>791</v>
      </c>
      <c r="F269" s="667" t="s">
        <v>1187</v>
      </c>
      <c r="G269" s="667" t="s">
        <v>1380</v>
      </c>
      <c r="H269" s="667">
        <v>51062</v>
      </c>
      <c r="I269" s="667" t="s">
        <v>852</v>
      </c>
      <c r="K269" s="667" t="s">
        <v>1381</v>
      </c>
    </row>
    <row r="270" spans="1:11">
      <c r="A270" s="667" t="s">
        <v>842</v>
      </c>
      <c r="B270" s="667" t="s">
        <v>1384</v>
      </c>
      <c r="C270" s="667" t="s">
        <v>1385</v>
      </c>
      <c r="D270" s="667" t="s">
        <v>1386</v>
      </c>
      <c r="E270" s="667" t="s">
        <v>791</v>
      </c>
      <c r="F270" s="667" t="s">
        <v>792</v>
      </c>
      <c r="G270" s="667" t="s">
        <v>1380</v>
      </c>
      <c r="H270" s="667">
        <v>62309</v>
      </c>
      <c r="I270" s="667" t="s">
        <v>1387</v>
      </c>
      <c r="J270" s="667">
        <v>83</v>
      </c>
    </row>
    <row r="271" spans="1:11">
      <c r="A271" s="667" t="s">
        <v>842</v>
      </c>
      <c r="B271" s="667" t="s">
        <v>1388</v>
      </c>
      <c r="C271" s="667" t="s">
        <v>1389</v>
      </c>
      <c r="D271" s="667" t="s">
        <v>1386</v>
      </c>
      <c r="E271" s="667" t="s">
        <v>791</v>
      </c>
      <c r="F271" s="667" t="s">
        <v>792</v>
      </c>
      <c r="G271" s="667" t="s">
        <v>1380</v>
      </c>
      <c r="H271" s="667">
        <v>62310</v>
      </c>
      <c r="I271" s="667" t="s">
        <v>1387</v>
      </c>
      <c r="J271" s="667">
        <v>83</v>
      </c>
    </row>
    <row r="272" spans="1:11">
      <c r="A272" s="667" t="s">
        <v>842</v>
      </c>
      <c r="B272" s="667" t="s">
        <v>1390</v>
      </c>
      <c r="C272" s="667" t="s">
        <v>1391</v>
      </c>
      <c r="D272" s="667" t="s">
        <v>1386</v>
      </c>
      <c r="E272" s="667" t="s">
        <v>791</v>
      </c>
      <c r="F272" s="667" t="s">
        <v>792</v>
      </c>
      <c r="G272" s="667" t="s">
        <v>1380</v>
      </c>
      <c r="H272" s="667">
        <v>62306</v>
      </c>
      <c r="I272" s="667" t="s">
        <v>1392</v>
      </c>
      <c r="J272" s="667">
        <v>83</v>
      </c>
    </row>
    <row r="273" spans="1:11">
      <c r="A273" s="667" t="s">
        <v>842</v>
      </c>
      <c r="B273" s="667" t="s">
        <v>1393</v>
      </c>
      <c r="C273" s="667" t="s">
        <v>1394</v>
      </c>
      <c r="D273" s="667" t="s">
        <v>1386</v>
      </c>
      <c r="E273" s="667" t="s">
        <v>791</v>
      </c>
      <c r="F273" s="667" t="s">
        <v>792</v>
      </c>
      <c r="G273" s="667" t="s">
        <v>1380</v>
      </c>
      <c r="H273" s="667">
        <v>62307</v>
      </c>
      <c r="I273" s="667" t="s">
        <v>1395</v>
      </c>
      <c r="J273" s="667">
        <v>83</v>
      </c>
    </row>
    <row r="274" spans="1:11">
      <c r="A274" s="667" t="s">
        <v>842</v>
      </c>
      <c r="B274" s="667" t="s">
        <v>1396</v>
      </c>
      <c r="C274" s="667" t="s">
        <v>1397</v>
      </c>
      <c r="D274" s="667" t="s">
        <v>1386</v>
      </c>
      <c r="E274" s="667" t="s">
        <v>791</v>
      </c>
      <c r="F274" s="667" t="s">
        <v>792</v>
      </c>
      <c r="G274" s="667" t="s">
        <v>1380</v>
      </c>
      <c r="H274" s="667">
        <v>62308</v>
      </c>
      <c r="I274" s="667" t="s">
        <v>1395</v>
      </c>
      <c r="J274" s="667">
        <v>83</v>
      </c>
    </row>
    <row r="275" spans="1:11">
      <c r="A275" s="667" t="s">
        <v>955</v>
      </c>
      <c r="B275" s="667" t="s">
        <v>1398</v>
      </c>
      <c r="C275" s="667" t="s">
        <v>856</v>
      </c>
      <c r="D275" s="667" t="s">
        <v>790</v>
      </c>
      <c r="E275" s="667" t="s">
        <v>791</v>
      </c>
      <c r="F275" s="667" t="s">
        <v>792</v>
      </c>
      <c r="G275" s="667" t="s">
        <v>1399</v>
      </c>
      <c r="H275" s="667">
        <v>52467</v>
      </c>
      <c r="I275" s="667" t="s">
        <v>958</v>
      </c>
      <c r="J275" s="667">
        <v>80</v>
      </c>
      <c r="K275" s="667" t="s">
        <v>959</v>
      </c>
    </row>
    <row r="276" spans="1:11">
      <c r="A276" s="667" t="s">
        <v>955</v>
      </c>
      <c r="B276" s="667" t="s">
        <v>1400</v>
      </c>
      <c r="C276" s="667" t="s">
        <v>1401</v>
      </c>
      <c r="D276" s="667" t="s">
        <v>790</v>
      </c>
      <c r="E276" s="667" t="s">
        <v>791</v>
      </c>
      <c r="F276" s="667" t="s">
        <v>792</v>
      </c>
      <c r="G276" s="667" t="s">
        <v>1399</v>
      </c>
      <c r="H276" s="667">
        <v>52468</v>
      </c>
      <c r="I276" s="667" t="s">
        <v>958</v>
      </c>
      <c r="J276" s="667">
        <v>80</v>
      </c>
      <c r="K276" s="667" t="s">
        <v>959</v>
      </c>
    </row>
    <row r="277" spans="1:11">
      <c r="A277" s="667" t="s">
        <v>955</v>
      </c>
      <c r="B277" s="667" t="s">
        <v>1402</v>
      </c>
      <c r="C277" s="667" t="s">
        <v>1403</v>
      </c>
      <c r="D277" s="667" t="s">
        <v>790</v>
      </c>
      <c r="E277" s="667" t="s">
        <v>791</v>
      </c>
      <c r="F277" s="667" t="s">
        <v>792</v>
      </c>
      <c r="G277" s="667" t="s">
        <v>1399</v>
      </c>
      <c r="H277" s="667">
        <v>52469</v>
      </c>
      <c r="I277" s="667" t="s">
        <v>958</v>
      </c>
      <c r="J277" s="667">
        <v>80</v>
      </c>
      <c r="K277" s="667" t="s">
        <v>959</v>
      </c>
    </row>
    <row r="278" spans="1:11">
      <c r="A278" s="667" t="s">
        <v>955</v>
      </c>
      <c r="B278" s="667" t="s">
        <v>1404</v>
      </c>
      <c r="C278" s="667" t="s">
        <v>1405</v>
      </c>
      <c r="D278" s="667" t="s">
        <v>790</v>
      </c>
      <c r="E278" s="667" t="s">
        <v>791</v>
      </c>
      <c r="F278" s="667" t="s">
        <v>792</v>
      </c>
      <c r="G278" s="667" t="s">
        <v>1399</v>
      </c>
      <c r="H278" s="667">
        <v>52470</v>
      </c>
      <c r="I278" s="667" t="s">
        <v>958</v>
      </c>
      <c r="J278" s="667">
        <v>80</v>
      </c>
      <c r="K278" s="667" t="s">
        <v>959</v>
      </c>
    </row>
    <row r="279" spans="1:11">
      <c r="A279" s="667" t="s">
        <v>955</v>
      </c>
      <c r="B279" s="667" t="s">
        <v>1406</v>
      </c>
      <c r="C279" s="667" t="s">
        <v>1407</v>
      </c>
      <c r="D279" s="667" t="s">
        <v>790</v>
      </c>
      <c r="E279" s="667" t="s">
        <v>791</v>
      </c>
      <c r="F279" s="667" t="s">
        <v>792</v>
      </c>
      <c r="G279" s="667" t="s">
        <v>1399</v>
      </c>
      <c r="H279" s="667">
        <v>52471</v>
      </c>
      <c r="I279" s="667" t="s">
        <v>958</v>
      </c>
      <c r="J279" s="667">
        <v>80</v>
      </c>
      <c r="K279" s="667" t="s">
        <v>959</v>
      </c>
    </row>
    <row r="280" spans="1:11">
      <c r="A280" s="667" t="s">
        <v>955</v>
      </c>
      <c r="B280" s="667" t="s">
        <v>1408</v>
      </c>
      <c r="C280" s="667" t="s">
        <v>1409</v>
      </c>
      <c r="D280" s="667" t="s">
        <v>790</v>
      </c>
      <c r="E280" s="667" t="s">
        <v>791</v>
      </c>
      <c r="F280" s="667" t="s">
        <v>792</v>
      </c>
      <c r="G280" s="667" t="s">
        <v>1399</v>
      </c>
      <c r="H280" s="667">
        <v>52472</v>
      </c>
      <c r="I280" s="667" t="s">
        <v>958</v>
      </c>
      <c r="J280" s="667">
        <v>80</v>
      </c>
      <c r="K280" s="667" t="s">
        <v>959</v>
      </c>
    </row>
    <row r="281" spans="1:11">
      <c r="A281" s="667" t="s">
        <v>814</v>
      </c>
      <c r="B281" s="667">
        <v>21761</v>
      </c>
      <c r="C281" s="667" t="s">
        <v>827</v>
      </c>
      <c r="D281" s="667" t="s">
        <v>828</v>
      </c>
      <c r="E281" s="667" t="s">
        <v>791</v>
      </c>
      <c r="F281" s="667" t="s">
        <v>829</v>
      </c>
      <c r="G281" s="667" t="s">
        <v>1410</v>
      </c>
      <c r="H281" s="667">
        <v>55822</v>
      </c>
      <c r="I281" s="667" t="s">
        <v>830</v>
      </c>
      <c r="J281" s="667">
        <v>78</v>
      </c>
    </row>
    <row r="282" spans="1:11">
      <c r="A282" s="667" t="s">
        <v>814</v>
      </c>
      <c r="B282" s="667">
        <v>21762</v>
      </c>
      <c r="C282" s="667" t="s">
        <v>831</v>
      </c>
      <c r="D282" s="667" t="s">
        <v>828</v>
      </c>
      <c r="E282" s="667" t="s">
        <v>791</v>
      </c>
      <c r="F282" s="667" t="s">
        <v>792</v>
      </c>
      <c r="G282" s="667" t="s">
        <v>1410</v>
      </c>
      <c r="H282" s="667">
        <v>54941</v>
      </c>
      <c r="I282" s="667" t="s">
        <v>1411</v>
      </c>
      <c r="J282" s="667">
        <v>55</v>
      </c>
    </row>
    <row r="283" spans="1:11">
      <c r="A283" s="667" t="s">
        <v>814</v>
      </c>
      <c r="B283" s="667">
        <v>21763</v>
      </c>
      <c r="C283" s="667" t="s">
        <v>832</v>
      </c>
      <c r="D283" s="667" t="s">
        <v>828</v>
      </c>
      <c r="E283" s="667" t="s">
        <v>791</v>
      </c>
      <c r="F283" s="667" t="s">
        <v>792</v>
      </c>
      <c r="G283" s="667" t="s">
        <v>1410</v>
      </c>
      <c r="H283" s="667">
        <v>54942</v>
      </c>
      <c r="I283" s="667" t="s">
        <v>1412</v>
      </c>
      <c r="J283" s="667">
        <v>55</v>
      </c>
    </row>
    <row r="284" spans="1:11">
      <c r="A284" s="667" t="s">
        <v>814</v>
      </c>
      <c r="B284" s="667">
        <v>21764</v>
      </c>
      <c r="C284" s="667" t="s">
        <v>833</v>
      </c>
      <c r="D284" s="667" t="s">
        <v>828</v>
      </c>
      <c r="E284" s="667" t="s">
        <v>791</v>
      </c>
      <c r="F284" s="667" t="s">
        <v>829</v>
      </c>
      <c r="G284" s="667" t="s">
        <v>1410</v>
      </c>
      <c r="H284" s="667">
        <v>54943</v>
      </c>
      <c r="I284" s="667" t="s">
        <v>830</v>
      </c>
      <c r="J284" s="667">
        <v>78</v>
      </c>
    </row>
    <row r="285" spans="1:11">
      <c r="A285" s="667" t="s">
        <v>814</v>
      </c>
      <c r="B285" s="667">
        <v>21777</v>
      </c>
      <c r="C285" s="667" t="s">
        <v>815</v>
      </c>
      <c r="D285" s="667" t="s">
        <v>923</v>
      </c>
      <c r="E285" s="667" t="s">
        <v>791</v>
      </c>
      <c r="F285" s="667" t="s">
        <v>817</v>
      </c>
      <c r="G285" s="667" t="s">
        <v>1410</v>
      </c>
      <c r="H285" s="667">
        <v>54939</v>
      </c>
      <c r="I285" s="667" t="s">
        <v>1413</v>
      </c>
      <c r="J285" s="667">
        <v>78</v>
      </c>
    </row>
    <row r="286" spans="1:11">
      <c r="A286" s="667" t="s">
        <v>814</v>
      </c>
      <c r="B286" s="667">
        <v>21778</v>
      </c>
      <c r="C286" s="667" t="s">
        <v>822</v>
      </c>
      <c r="D286" s="667" t="s">
        <v>923</v>
      </c>
      <c r="E286" s="667" t="s">
        <v>791</v>
      </c>
      <c r="F286" s="667" t="s">
        <v>817</v>
      </c>
      <c r="G286" s="667" t="s">
        <v>1410</v>
      </c>
      <c r="H286" s="667">
        <v>54940</v>
      </c>
      <c r="I286" s="667" t="s">
        <v>1413</v>
      </c>
      <c r="J286" s="667">
        <v>78</v>
      </c>
    </row>
    <row r="287" spans="1:11">
      <c r="A287" s="667" t="s">
        <v>814</v>
      </c>
      <c r="B287" s="667">
        <v>110005</v>
      </c>
      <c r="C287" s="667" t="s">
        <v>836</v>
      </c>
      <c r="D287" s="667" t="s">
        <v>828</v>
      </c>
      <c r="E287" s="667" t="s">
        <v>791</v>
      </c>
      <c r="F287" s="667" t="s">
        <v>792</v>
      </c>
      <c r="G287" s="667" t="s">
        <v>1410</v>
      </c>
      <c r="H287" s="667">
        <v>55850</v>
      </c>
      <c r="I287" s="667" t="s">
        <v>1414</v>
      </c>
      <c r="J287" s="667">
        <v>81</v>
      </c>
    </row>
    <row r="288" spans="1:11">
      <c r="A288" s="667" t="s">
        <v>814</v>
      </c>
      <c r="B288" s="667">
        <v>110006</v>
      </c>
      <c r="C288" s="667" t="s">
        <v>837</v>
      </c>
      <c r="D288" s="667" t="s">
        <v>828</v>
      </c>
      <c r="E288" s="667" t="s">
        <v>791</v>
      </c>
      <c r="F288" s="667" t="s">
        <v>792</v>
      </c>
      <c r="G288" s="667" t="s">
        <v>1410</v>
      </c>
      <c r="H288" s="667">
        <v>55851</v>
      </c>
      <c r="I288" s="667" t="s">
        <v>1415</v>
      </c>
      <c r="J288" s="667">
        <v>81</v>
      </c>
    </row>
    <row r="289" spans="1:11">
      <c r="A289" s="667" t="s">
        <v>814</v>
      </c>
      <c r="B289" s="667">
        <v>120001</v>
      </c>
      <c r="C289" s="667" t="s">
        <v>827</v>
      </c>
      <c r="D289" s="667" t="s">
        <v>1416</v>
      </c>
      <c r="E289" s="667" t="s">
        <v>791</v>
      </c>
      <c r="F289" s="667" t="s">
        <v>792</v>
      </c>
      <c r="G289" s="667" t="s">
        <v>1417</v>
      </c>
      <c r="H289" s="667">
        <v>52048</v>
      </c>
      <c r="I289" s="667" t="s">
        <v>1418</v>
      </c>
      <c r="J289" s="667">
        <v>18</v>
      </c>
      <c r="K289" s="667" t="s">
        <v>1419</v>
      </c>
    </row>
    <row r="290" spans="1:11">
      <c r="A290" s="667" t="s">
        <v>814</v>
      </c>
      <c r="B290" s="667">
        <v>120002</v>
      </c>
      <c r="C290" s="667" t="s">
        <v>831</v>
      </c>
      <c r="D290" s="667" t="s">
        <v>1416</v>
      </c>
      <c r="E290" s="667" t="s">
        <v>791</v>
      </c>
      <c r="F290" s="667" t="s">
        <v>792</v>
      </c>
      <c r="G290" s="667" t="s">
        <v>1417</v>
      </c>
      <c r="H290" s="667">
        <v>52049</v>
      </c>
      <c r="I290" s="667" t="s">
        <v>1418</v>
      </c>
      <c r="J290" s="667">
        <v>18</v>
      </c>
      <c r="K290" s="667" t="s">
        <v>1419</v>
      </c>
    </row>
    <row r="291" spans="1:11">
      <c r="A291" s="667" t="s">
        <v>969</v>
      </c>
      <c r="B291" s="667" t="s">
        <v>1420</v>
      </c>
      <c r="C291" s="667" t="s">
        <v>1421</v>
      </c>
      <c r="E291" s="667" t="s">
        <v>791</v>
      </c>
      <c r="F291" s="667" t="s">
        <v>792</v>
      </c>
      <c r="G291" s="667" t="s">
        <v>1422</v>
      </c>
      <c r="H291" s="667">
        <v>54494</v>
      </c>
      <c r="I291" s="667" t="s">
        <v>1423</v>
      </c>
      <c r="J291" s="667">
        <v>60</v>
      </c>
    </row>
    <row r="292" spans="1:11">
      <c r="A292" s="667" t="s">
        <v>969</v>
      </c>
      <c r="B292" s="667" t="s">
        <v>1424</v>
      </c>
      <c r="C292" s="667" t="s">
        <v>1425</v>
      </c>
      <c r="E292" s="667" t="s">
        <v>791</v>
      </c>
      <c r="F292" s="667" t="s">
        <v>792</v>
      </c>
      <c r="G292" s="667" t="s">
        <v>1422</v>
      </c>
      <c r="H292" s="667">
        <v>54495</v>
      </c>
      <c r="I292" s="667" t="s">
        <v>1423</v>
      </c>
      <c r="J292" s="667">
        <v>60</v>
      </c>
    </row>
    <row r="293" spans="1:11">
      <c r="A293" s="667" t="s">
        <v>969</v>
      </c>
      <c r="B293" s="667" t="s">
        <v>1426</v>
      </c>
      <c r="C293" s="667" t="s">
        <v>1427</v>
      </c>
      <c r="E293" s="667" t="s">
        <v>791</v>
      </c>
      <c r="F293" s="667" t="s">
        <v>792</v>
      </c>
      <c r="G293" s="667" t="s">
        <v>1422</v>
      </c>
      <c r="H293" s="667">
        <v>54496</v>
      </c>
      <c r="I293" s="667" t="s">
        <v>1423</v>
      </c>
      <c r="J293" s="667">
        <v>60</v>
      </c>
    </row>
  </sheetData>
  <autoFilter ref="A1:WVS293" xr:uid="{3BB22690-9BCD-4882-B699-6ADAE98BF0A9}">
    <sortState xmlns:xlrd2="http://schemas.microsoft.com/office/spreadsheetml/2017/richdata2" ref="A2:WVS293">
      <sortCondition ref="G1"/>
    </sortState>
  </autoFilter>
  <pageMargins left="0.7" right="0.7" top="0.75" bottom="0.75" header="0.3" footer="0.3"/>
  <pageSetup paperSize="9" orientation="portrait" r:id="rId1"/>
  <headerFooter>
    <oddFooter>&amp;L&amp;1#&amp;"Calibri"&amp;7&amp;K000000C2 General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3:U47"/>
  <sheetViews>
    <sheetView workbookViewId="0">
      <selection activeCell="J15" sqref="J15"/>
    </sheetView>
  </sheetViews>
  <sheetFormatPr defaultColWidth="8.6640625" defaultRowHeight="10.15"/>
  <cols>
    <col min="1" max="1" width="11.6640625" style="459" bestFit="1" customWidth="1"/>
    <col min="2" max="2" width="20" style="459" bestFit="1" customWidth="1"/>
    <col min="3" max="3" width="21.6640625" style="459" bestFit="1" customWidth="1"/>
    <col min="4" max="12" width="4.6640625" style="459" bestFit="1" customWidth="1"/>
    <col min="13" max="15" width="5.1640625" style="459" bestFit="1" customWidth="1"/>
    <col min="16" max="17" width="4.6640625" style="459" bestFit="1" customWidth="1"/>
    <col min="18" max="18" width="24.1640625" style="459" bestFit="1" customWidth="1"/>
    <col min="19" max="19" width="24.6640625" style="459" bestFit="1" customWidth="1"/>
    <col min="20" max="20" width="2" style="459" bestFit="1" customWidth="1"/>
    <col min="21" max="21" width="65.5" style="459" bestFit="1" customWidth="1"/>
    <col min="22" max="23" width="2" style="459" bestFit="1" customWidth="1"/>
    <col min="24" max="24" width="1.6640625" style="459" bestFit="1" customWidth="1"/>
    <col min="25" max="29" width="2" style="459" bestFit="1" customWidth="1"/>
    <col min="30" max="34" width="4.1640625" style="459" bestFit="1" customWidth="1"/>
    <col min="35" max="16384" width="8.6640625" style="459"/>
  </cols>
  <sheetData>
    <row r="3" spans="1:21">
      <c r="A3" s="459" t="s">
        <v>1428</v>
      </c>
      <c r="B3" s="459" t="s">
        <v>1429</v>
      </c>
      <c r="C3" s="460" t="s">
        <v>512</v>
      </c>
      <c r="D3" s="460" t="s">
        <v>274</v>
      </c>
      <c r="E3" s="460" t="s">
        <v>280</v>
      </c>
      <c r="F3" s="460" t="s">
        <v>287</v>
      </c>
      <c r="G3" s="460" t="s">
        <v>290</v>
      </c>
      <c r="H3" s="460" t="s">
        <v>293</v>
      </c>
      <c r="I3" s="460" t="s">
        <v>305</v>
      </c>
      <c r="J3" s="460" t="s">
        <v>297</v>
      </c>
      <c r="K3" s="460" t="s">
        <v>312</v>
      </c>
      <c r="L3" s="460" t="s">
        <v>315</v>
      </c>
      <c r="M3" s="460" t="s">
        <v>320</v>
      </c>
      <c r="N3" s="460" t="s">
        <v>328</v>
      </c>
      <c r="O3" s="460" t="s">
        <v>333</v>
      </c>
      <c r="P3" s="460" t="s">
        <v>336</v>
      </c>
      <c r="Q3" s="460" t="s">
        <v>339</v>
      </c>
      <c r="R3" s="461" t="s">
        <v>1430</v>
      </c>
      <c r="S3" s="461" t="s">
        <v>1431</v>
      </c>
      <c r="U3" s="459" t="s">
        <v>1432</v>
      </c>
    </row>
    <row r="4" spans="1:21">
      <c r="A4" s="459" t="s">
        <v>1433</v>
      </c>
      <c r="B4" s="460">
        <v>29</v>
      </c>
      <c r="C4" s="462"/>
      <c r="D4" s="460">
        <v>0</v>
      </c>
      <c r="E4" s="460">
        <v>1</v>
      </c>
      <c r="F4" s="460"/>
      <c r="G4" s="460"/>
      <c r="H4" s="460"/>
      <c r="I4" s="460"/>
      <c r="J4" s="460">
        <v>1</v>
      </c>
      <c r="K4" s="460"/>
      <c r="L4" s="460">
        <v>1</v>
      </c>
      <c r="M4" s="460">
        <v>1</v>
      </c>
      <c r="N4" s="460"/>
      <c r="O4" s="460"/>
      <c r="R4" s="461">
        <f t="shared" ref="R4:R12" si="0">PRODUCT(SUM(D4:Q4),B4)</f>
        <v>116</v>
      </c>
      <c r="S4" s="46" t="e">
        <f>R4/$U$6</f>
        <v>#REF!</v>
      </c>
      <c r="U4" s="460">
        <v>4882.5</v>
      </c>
    </row>
    <row r="5" spans="1:21">
      <c r="A5" s="459" t="s">
        <v>1434</v>
      </c>
      <c r="B5" s="460">
        <v>4</v>
      </c>
      <c r="C5" s="462"/>
      <c r="D5" s="460">
        <v>0</v>
      </c>
      <c r="E5" s="460">
        <v>0</v>
      </c>
      <c r="F5" s="460">
        <v>0</v>
      </c>
      <c r="G5" s="460"/>
      <c r="H5" s="460">
        <v>0</v>
      </c>
      <c r="I5" s="460">
        <v>0</v>
      </c>
      <c r="J5" s="460">
        <v>0</v>
      </c>
      <c r="K5" s="460"/>
      <c r="L5" s="460"/>
      <c r="M5" s="460">
        <v>0</v>
      </c>
      <c r="N5" s="460"/>
      <c r="O5" s="460"/>
      <c r="P5" s="460">
        <v>0</v>
      </c>
      <c r="Q5" s="460">
        <v>0</v>
      </c>
      <c r="R5" s="461">
        <f t="shared" si="0"/>
        <v>0</v>
      </c>
      <c r="S5" s="46" t="e">
        <f t="shared" ref="S5:S12" si="1">R5/$U$6</f>
        <v>#REF!</v>
      </c>
      <c r="U5" s="459" t="s">
        <v>1435</v>
      </c>
    </row>
    <row r="6" spans="1:21">
      <c r="A6" s="459" t="s">
        <v>1436</v>
      </c>
      <c r="B6" s="460">
        <v>3</v>
      </c>
      <c r="C6" s="462"/>
      <c r="D6" s="460">
        <v>3</v>
      </c>
      <c r="E6" s="460">
        <v>3</v>
      </c>
      <c r="F6" s="460">
        <v>3</v>
      </c>
      <c r="G6" s="460">
        <v>7</v>
      </c>
      <c r="H6" s="460">
        <v>2</v>
      </c>
      <c r="I6" s="460">
        <v>4</v>
      </c>
      <c r="J6" s="460">
        <v>4</v>
      </c>
      <c r="K6" s="460">
        <v>5</v>
      </c>
      <c r="L6" s="460">
        <v>1</v>
      </c>
      <c r="M6" s="460">
        <v>2</v>
      </c>
      <c r="N6" s="460">
        <v>5</v>
      </c>
      <c r="O6" s="460">
        <v>8</v>
      </c>
      <c r="P6" s="460">
        <v>5</v>
      </c>
      <c r="Q6" s="460">
        <v>4</v>
      </c>
      <c r="R6" s="461">
        <f t="shared" si="0"/>
        <v>168</v>
      </c>
      <c r="S6" s="46" t="e">
        <f t="shared" si="1"/>
        <v>#REF!</v>
      </c>
      <c r="U6" s="460" t="e">
        <v>#REF!</v>
      </c>
    </row>
    <row r="7" spans="1:21">
      <c r="A7" s="459" t="s">
        <v>1437</v>
      </c>
      <c r="B7" s="460">
        <v>3</v>
      </c>
      <c r="C7" s="462"/>
      <c r="D7" s="460">
        <v>3</v>
      </c>
      <c r="E7" s="460">
        <v>6</v>
      </c>
      <c r="F7" s="460">
        <v>3</v>
      </c>
      <c r="G7" s="460">
        <v>7</v>
      </c>
      <c r="H7" s="460">
        <v>2</v>
      </c>
      <c r="I7" s="460">
        <v>4</v>
      </c>
      <c r="J7" s="460">
        <v>4</v>
      </c>
      <c r="K7" s="460">
        <v>4</v>
      </c>
      <c r="L7" s="460">
        <v>5</v>
      </c>
      <c r="M7" s="460">
        <v>6</v>
      </c>
      <c r="N7" s="460">
        <v>4</v>
      </c>
      <c r="O7" s="460">
        <v>4</v>
      </c>
      <c r="P7" s="460">
        <v>2</v>
      </c>
      <c r="Q7" s="460">
        <v>4</v>
      </c>
      <c r="R7" s="461">
        <f t="shared" si="0"/>
        <v>174</v>
      </c>
      <c r="S7" s="46" t="e">
        <f t="shared" si="1"/>
        <v>#REF!</v>
      </c>
      <c r="U7" s="459" t="s">
        <v>1438</v>
      </c>
    </row>
    <row r="8" spans="1:21">
      <c r="A8" s="459" t="s">
        <v>1439</v>
      </c>
      <c r="B8" s="460"/>
      <c r="C8" s="462"/>
      <c r="D8" s="460"/>
      <c r="E8" s="460"/>
      <c r="F8" s="460"/>
      <c r="G8" s="460"/>
      <c r="H8" s="460"/>
      <c r="I8" s="460"/>
      <c r="J8" s="460"/>
      <c r="K8" s="460"/>
      <c r="L8" s="460"/>
      <c r="M8" s="460"/>
      <c r="N8" s="460"/>
      <c r="O8" s="460"/>
      <c r="R8" s="461">
        <f t="shared" si="0"/>
        <v>0</v>
      </c>
      <c r="S8" s="46" t="e">
        <f t="shared" si="1"/>
        <v>#REF!</v>
      </c>
      <c r="U8" s="463" t="e">
        <f>SUM(R4:R12)/U6</f>
        <v>#REF!</v>
      </c>
    </row>
    <row r="9" spans="1:21">
      <c r="A9" s="459" t="s">
        <v>1440</v>
      </c>
      <c r="B9" s="460">
        <v>3</v>
      </c>
      <c r="C9" s="464"/>
      <c r="D9" s="465">
        <v>5</v>
      </c>
      <c r="E9" s="465">
        <v>2</v>
      </c>
      <c r="F9" s="465">
        <v>6</v>
      </c>
      <c r="G9" s="465">
        <v>4</v>
      </c>
      <c r="H9" s="465">
        <v>5</v>
      </c>
      <c r="I9" s="465">
        <v>5</v>
      </c>
      <c r="J9" s="465">
        <v>5</v>
      </c>
      <c r="K9" s="465">
        <v>4</v>
      </c>
      <c r="L9" s="465">
        <v>4</v>
      </c>
      <c r="M9" s="465">
        <v>6</v>
      </c>
      <c r="N9" s="465">
        <v>6</v>
      </c>
      <c r="O9" s="465">
        <v>7</v>
      </c>
      <c r="P9" s="465">
        <v>8</v>
      </c>
      <c r="Q9" s="465">
        <v>5</v>
      </c>
      <c r="R9" s="461">
        <f t="shared" si="0"/>
        <v>216</v>
      </c>
      <c r="S9" s="46" t="e">
        <f t="shared" si="1"/>
        <v>#REF!</v>
      </c>
      <c r="U9" s="459" t="s">
        <v>1441</v>
      </c>
    </row>
    <row r="10" spans="1:21">
      <c r="A10" s="459" t="s">
        <v>1442</v>
      </c>
      <c r="C10" s="462"/>
      <c r="D10" s="460"/>
      <c r="E10" s="460"/>
      <c r="F10" s="460"/>
      <c r="G10" s="460"/>
      <c r="H10" s="460"/>
      <c r="I10" s="460"/>
      <c r="J10" s="460"/>
      <c r="K10" s="460"/>
      <c r="L10" s="460"/>
      <c r="M10" s="460"/>
      <c r="N10" s="460"/>
      <c r="O10" s="460"/>
      <c r="R10" s="461">
        <f t="shared" si="0"/>
        <v>0</v>
      </c>
      <c r="S10" s="46" t="e">
        <f t="shared" si="1"/>
        <v>#REF!</v>
      </c>
      <c r="U10" s="466">
        <f>SUM(R4:R12)/U4</f>
        <v>0.14295954941116232</v>
      </c>
    </row>
    <row r="11" spans="1:21">
      <c r="A11" s="459" t="s">
        <v>1443</v>
      </c>
      <c r="B11" s="460">
        <v>9</v>
      </c>
      <c r="C11" s="462"/>
      <c r="D11" s="460"/>
      <c r="E11" s="460"/>
      <c r="F11" s="460"/>
      <c r="G11" s="460"/>
      <c r="H11" s="460"/>
      <c r="I11" s="460"/>
      <c r="J11" s="460"/>
      <c r="K11" s="460"/>
      <c r="L11" s="460"/>
      <c r="M11" s="460"/>
      <c r="N11" s="460"/>
      <c r="O11" s="460"/>
      <c r="R11" s="461">
        <f t="shared" si="0"/>
        <v>0</v>
      </c>
      <c r="S11" s="46" t="e">
        <f t="shared" si="1"/>
        <v>#REF!</v>
      </c>
    </row>
    <row r="12" spans="1:21">
      <c r="A12" s="459" t="s">
        <v>1444</v>
      </c>
      <c r="B12" s="460">
        <v>3</v>
      </c>
      <c r="C12" s="462"/>
      <c r="D12" s="460"/>
      <c r="E12" s="460">
        <v>1</v>
      </c>
      <c r="F12" s="460"/>
      <c r="G12" s="460">
        <v>1</v>
      </c>
      <c r="H12" s="460"/>
      <c r="I12" s="460"/>
      <c r="J12" s="460">
        <v>1</v>
      </c>
      <c r="K12" s="460">
        <v>1</v>
      </c>
      <c r="L12" s="460">
        <v>1</v>
      </c>
      <c r="M12" s="460">
        <v>1</v>
      </c>
      <c r="N12" s="460">
        <v>1</v>
      </c>
      <c r="O12" s="460">
        <v>1</v>
      </c>
      <c r="P12" s="460"/>
      <c r="Q12" s="460"/>
      <c r="R12" s="461">
        <f t="shared" si="0"/>
        <v>24</v>
      </c>
      <c r="S12" s="46" t="e">
        <f t="shared" si="1"/>
        <v>#REF!</v>
      </c>
    </row>
    <row r="13" spans="1:21">
      <c r="C13" s="461" t="s">
        <v>1445</v>
      </c>
      <c r="D13" s="461">
        <f t="shared" ref="D13:Q13" si="2">SUMPRODUCT($B$4:$B$12*D4:D12)</f>
        <v>33</v>
      </c>
      <c r="E13" s="461">
        <f t="shared" si="2"/>
        <v>65</v>
      </c>
      <c r="F13" s="461">
        <f t="shared" si="2"/>
        <v>36</v>
      </c>
      <c r="G13" s="461">
        <f t="shared" si="2"/>
        <v>57</v>
      </c>
      <c r="H13" s="461">
        <f t="shared" si="2"/>
        <v>27</v>
      </c>
      <c r="I13" s="461">
        <f t="shared" si="2"/>
        <v>39</v>
      </c>
      <c r="J13" s="461">
        <f t="shared" si="2"/>
        <v>71</v>
      </c>
      <c r="K13" s="461">
        <f t="shared" si="2"/>
        <v>42</v>
      </c>
      <c r="L13" s="461">
        <f t="shared" si="2"/>
        <v>62</v>
      </c>
      <c r="M13" s="461">
        <f t="shared" si="2"/>
        <v>74</v>
      </c>
      <c r="N13" s="461">
        <f t="shared" si="2"/>
        <v>48</v>
      </c>
      <c r="O13" s="461">
        <f t="shared" si="2"/>
        <v>60</v>
      </c>
      <c r="P13" s="461">
        <f t="shared" si="2"/>
        <v>45</v>
      </c>
      <c r="Q13" s="461">
        <f t="shared" si="2"/>
        <v>39</v>
      </c>
    </row>
    <row r="14" spans="1:21">
      <c r="C14" s="461" t="s">
        <v>1446</v>
      </c>
      <c r="D14" s="467">
        <v>170.74850000000001</v>
      </c>
      <c r="E14" s="467">
        <v>321.76799999999997</v>
      </c>
      <c r="F14" s="467">
        <v>140.065</v>
      </c>
      <c r="G14" s="467">
        <v>133.90649999999999</v>
      </c>
      <c r="H14" s="467">
        <v>114.3955</v>
      </c>
      <c r="I14" s="467">
        <v>155.70650000000001</v>
      </c>
      <c r="J14" s="467">
        <v>228.464</v>
      </c>
      <c r="K14" s="467">
        <v>197.072</v>
      </c>
      <c r="L14" s="467">
        <v>189.38749999999999</v>
      </c>
      <c r="M14" s="467">
        <v>277.73200000000003</v>
      </c>
      <c r="N14" s="467">
        <v>222.08750000000001</v>
      </c>
      <c r="O14" s="467">
        <v>151.4555</v>
      </c>
      <c r="P14" s="467">
        <v>126.1675</v>
      </c>
      <c r="Q14" s="467">
        <v>154.18049999999999</v>
      </c>
    </row>
    <row r="15" spans="1:21">
      <c r="C15" s="468" t="s">
        <v>1447</v>
      </c>
      <c r="D15" s="469">
        <v>0.1932667051247888</v>
      </c>
      <c r="E15" s="469">
        <v>0.2020089008229532</v>
      </c>
      <c r="F15" s="469">
        <v>0.25702352479206081</v>
      </c>
      <c r="G15" s="469">
        <v>0.42567015044079265</v>
      </c>
      <c r="H15" s="469">
        <v>0.2360232701461159</v>
      </c>
      <c r="I15" s="469">
        <v>0.25047123915828817</v>
      </c>
      <c r="J15" s="469">
        <v>0.31077106239932767</v>
      </c>
      <c r="K15" s="469">
        <v>0.21312007794105708</v>
      </c>
      <c r="L15" s="469">
        <v>0.32737113061844103</v>
      </c>
      <c r="M15" s="469">
        <v>0.2664439099563608</v>
      </c>
      <c r="N15" s="469">
        <v>0.21613102943659593</v>
      </c>
      <c r="O15" s="469">
        <v>0.396155966604052</v>
      </c>
      <c r="P15" s="469">
        <v>0.35666871420928525</v>
      </c>
      <c r="Q15" s="469">
        <v>0.25295027581308921</v>
      </c>
    </row>
    <row r="44" spans="3:17">
      <c r="C44" s="461" t="s">
        <v>512</v>
      </c>
      <c r="D44" s="461" t="s">
        <v>274</v>
      </c>
      <c r="E44" s="461" t="s">
        <v>280</v>
      </c>
      <c r="F44" s="461" t="s">
        <v>287</v>
      </c>
      <c r="G44" s="461" t="s">
        <v>290</v>
      </c>
      <c r="H44" s="461" t="s">
        <v>293</v>
      </c>
      <c r="I44" s="461" t="s">
        <v>305</v>
      </c>
      <c r="J44" s="461" t="s">
        <v>297</v>
      </c>
      <c r="K44" s="461" t="s">
        <v>312</v>
      </c>
      <c r="L44" s="461" t="s">
        <v>315</v>
      </c>
      <c r="M44" s="461" t="s">
        <v>320</v>
      </c>
      <c r="N44" s="461" t="s">
        <v>328</v>
      </c>
      <c r="O44" s="461" t="s">
        <v>333</v>
      </c>
      <c r="P44" s="461" t="s">
        <v>336</v>
      </c>
      <c r="Q44" s="461" t="s">
        <v>339</v>
      </c>
    </row>
    <row r="45" spans="3:17">
      <c r="C45" s="470" t="s">
        <v>1448</v>
      </c>
      <c r="D45" s="460">
        <f>D13</f>
        <v>33</v>
      </c>
      <c r="E45" s="460">
        <f t="shared" ref="E45:Q46" si="3">E13</f>
        <v>65</v>
      </c>
      <c r="F45" s="460">
        <f t="shared" si="3"/>
        <v>36</v>
      </c>
      <c r="G45" s="460">
        <f t="shared" si="3"/>
        <v>57</v>
      </c>
      <c r="H45" s="460">
        <f t="shared" si="3"/>
        <v>27</v>
      </c>
      <c r="I45" s="460">
        <f t="shared" si="3"/>
        <v>39</v>
      </c>
      <c r="J45" s="460">
        <f t="shared" si="3"/>
        <v>71</v>
      </c>
      <c r="K45" s="460">
        <f t="shared" si="3"/>
        <v>42</v>
      </c>
      <c r="L45" s="460">
        <f t="shared" si="3"/>
        <v>62</v>
      </c>
      <c r="M45" s="460">
        <f t="shared" si="3"/>
        <v>74</v>
      </c>
      <c r="N45" s="460">
        <f t="shared" si="3"/>
        <v>48</v>
      </c>
      <c r="O45" s="460">
        <f t="shared" si="3"/>
        <v>60</v>
      </c>
      <c r="P45" s="460">
        <f t="shared" si="3"/>
        <v>45</v>
      </c>
      <c r="Q45" s="460">
        <f t="shared" si="3"/>
        <v>39</v>
      </c>
    </row>
    <row r="46" spans="3:17">
      <c r="C46" s="470" t="s">
        <v>1449</v>
      </c>
      <c r="D46" s="471">
        <f>D14</f>
        <v>170.74850000000001</v>
      </c>
      <c r="E46" s="471">
        <f t="shared" si="3"/>
        <v>321.76799999999997</v>
      </c>
      <c r="F46" s="471">
        <f t="shared" si="3"/>
        <v>140.065</v>
      </c>
      <c r="G46" s="471">
        <f t="shared" si="3"/>
        <v>133.90649999999999</v>
      </c>
      <c r="H46" s="471">
        <f t="shared" si="3"/>
        <v>114.3955</v>
      </c>
      <c r="I46" s="471">
        <f t="shared" si="3"/>
        <v>155.70650000000001</v>
      </c>
      <c r="J46" s="471">
        <f t="shared" si="3"/>
        <v>228.464</v>
      </c>
      <c r="K46" s="471">
        <f t="shared" si="3"/>
        <v>197.072</v>
      </c>
      <c r="L46" s="471">
        <f t="shared" si="3"/>
        <v>189.38749999999999</v>
      </c>
      <c r="M46" s="471">
        <f t="shared" si="3"/>
        <v>277.73200000000003</v>
      </c>
      <c r="N46" s="471">
        <f t="shared" si="3"/>
        <v>222.08750000000001</v>
      </c>
      <c r="O46" s="471">
        <f t="shared" si="3"/>
        <v>151.4555</v>
      </c>
      <c r="P46" s="471">
        <f t="shared" si="3"/>
        <v>126.1675</v>
      </c>
      <c r="Q46" s="471">
        <f t="shared" si="3"/>
        <v>154.18049999999999</v>
      </c>
    </row>
    <row r="47" spans="3:17">
      <c r="C47" s="470" t="s">
        <v>1450</v>
      </c>
      <c r="D47" s="471">
        <f>D46-D45</f>
        <v>137.74850000000001</v>
      </c>
      <c r="E47" s="471">
        <f t="shared" ref="E47:Q47" si="4">E46-E45</f>
        <v>256.76799999999997</v>
      </c>
      <c r="F47" s="471">
        <f t="shared" si="4"/>
        <v>104.065</v>
      </c>
      <c r="G47" s="471">
        <f t="shared" si="4"/>
        <v>76.906499999999994</v>
      </c>
      <c r="H47" s="471">
        <f t="shared" si="4"/>
        <v>87.395499999999998</v>
      </c>
      <c r="I47" s="471">
        <f t="shared" si="4"/>
        <v>116.70650000000001</v>
      </c>
      <c r="J47" s="471">
        <f t="shared" si="4"/>
        <v>157.464</v>
      </c>
      <c r="K47" s="471">
        <f t="shared" si="4"/>
        <v>155.072</v>
      </c>
      <c r="L47" s="471">
        <f t="shared" si="4"/>
        <v>127.38749999999999</v>
      </c>
      <c r="M47" s="471">
        <f t="shared" si="4"/>
        <v>203.73200000000003</v>
      </c>
      <c r="N47" s="471">
        <f t="shared" si="4"/>
        <v>174.08750000000001</v>
      </c>
      <c r="O47" s="471">
        <f t="shared" si="4"/>
        <v>91.455500000000001</v>
      </c>
      <c r="P47" s="471">
        <f t="shared" si="4"/>
        <v>81.167500000000004</v>
      </c>
      <c r="Q47" s="471">
        <f t="shared" si="4"/>
        <v>115.18049999999999</v>
      </c>
    </row>
  </sheetData>
  <pageMargins left="0.7" right="0.7" top="0.75" bottom="0.75" header="0.3" footer="0.3"/>
  <pageSetup paperSize="9" orientation="portrait" r:id="rId1"/>
  <headerFooter>
    <oddFooter>&amp;L&amp;1#&amp;"Calibri"&amp;7&amp;K000000C2 General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1"/>
  <dimension ref="A1"/>
  <sheetViews>
    <sheetView topLeftCell="A10" zoomScale="75" zoomScaleNormal="75" workbookViewId="0">
      <selection activeCell="AA55" sqref="AA55"/>
    </sheetView>
  </sheetViews>
  <sheetFormatPr defaultColWidth="8.6640625" defaultRowHeight="10.15"/>
  <sheetData/>
  <pageMargins left="0.70866141732283472" right="0.70866141732283472" top="0.74803149606299213" bottom="0.74803149606299213" header="0.31496062992125984" footer="0.31496062992125984"/>
  <pageSetup paperSize="8" orientation="landscape" r:id="rId1"/>
  <headerFooter>
    <oddFooter>&amp;C&amp;K00-007Page &amp;P of &amp;N&amp;R&amp;K00-007MTX Space and Power Utilisation Jan 2013&amp;L&amp;"Calibri"&amp;11&amp;K000000&amp;K00-014C2 - VODAFONE RESTRICTED_x000D_&amp;1#&amp;"Calibri"&amp;7&amp;K000000C2 General</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2"/>
  <dimension ref="A1:N75"/>
  <sheetViews>
    <sheetView workbookViewId="0">
      <selection activeCell="B5" sqref="B5"/>
    </sheetView>
  </sheetViews>
  <sheetFormatPr defaultColWidth="8.6640625" defaultRowHeight="10.15"/>
  <cols>
    <col min="1" max="1" width="8.1640625" bestFit="1" customWidth="1"/>
    <col min="2" max="3" width="28.1640625" bestFit="1" customWidth="1"/>
    <col min="4" max="4" width="18.1640625" bestFit="1" customWidth="1"/>
    <col min="5" max="5" width="17.5" bestFit="1" customWidth="1"/>
    <col min="6" max="6" width="13.5" bestFit="1" customWidth="1"/>
    <col min="7" max="7" width="19" bestFit="1" customWidth="1"/>
    <col min="8" max="8" width="14.6640625" bestFit="1" customWidth="1"/>
    <col min="9" max="9" width="5" bestFit="1" customWidth="1"/>
    <col min="10" max="12" width="15.1640625" bestFit="1" customWidth="1"/>
    <col min="13" max="13" width="13.6640625" bestFit="1" customWidth="1"/>
    <col min="14" max="14" width="12.6640625" bestFit="1" customWidth="1"/>
  </cols>
  <sheetData>
    <row r="1" spans="1:14" ht="15">
      <c r="B1" s="1432" t="s">
        <v>1451</v>
      </c>
      <c r="C1" s="1432"/>
      <c r="D1" s="338"/>
    </row>
    <row r="2" spans="1:14" ht="15">
      <c r="B2" s="44"/>
      <c r="D2" s="44"/>
      <c r="J2" s="1431" t="s">
        <v>1452</v>
      </c>
      <c r="K2" s="1431"/>
      <c r="L2" s="1431"/>
    </row>
    <row r="3" spans="1:14" ht="20.45">
      <c r="A3" s="47" t="s">
        <v>7</v>
      </c>
      <c r="B3" s="436" t="s">
        <v>1453</v>
      </c>
      <c r="C3" s="436" t="s">
        <v>1454</v>
      </c>
      <c r="D3" s="323" t="s">
        <v>345</v>
      </c>
      <c r="E3" s="323" t="s">
        <v>269</v>
      </c>
      <c r="F3" s="317" t="s">
        <v>1455</v>
      </c>
      <c r="G3" s="317" t="s">
        <v>1456</v>
      </c>
      <c r="H3" s="323" t="s">
        <v>1457</v>
      </c>
      <c r="I3" s="338"/>
      <c r="J3" s="59"/>
      <c r="K3" s="318" t="s">
        <v>1453</v>
      </c>
      <c r="L3" s="319" t="s">
        <v>1454</v>
      </c>
      <c r="M3" s="319" t="s">
        <v>345</v>
      </c>
      <c r="N3" s="319" t="s">
        <v>269</v>
      </c>
    </row>
    <row r="4" spans="1:14">
      <c r="A4" s="101" t="s">
        <v>274</v>
      </c>
      <c r="B4" s="438" t="e">
        <v>#REF!</v>
      </c>
      <c r="C4" s="431">
        <f>'Plant loading'!G4</f>
        <v>170.91200000000001</v>
      </c>
      <c r="D4" s="438">
        <f>'Power figures'!D2</f>
        <v>13.897500000000001</v>
      </c>
      <c r="E4" s="438">
        <f>'Power figures'!C2</f>
        <v>1.0900000000000001</v>
      </c>
      <c r="F4" s="438"/>
      <c r="G4" s="438">
        <v>10</v>
      </c>
      <c r="H4" s="438" t="e">
        <f t="shared" ref="H4:H17" si="0">C4-B4</f>
        <v>#REF!</v>
      </c>
      <c r="J4" s="338"/>
      <c r="K4" s="345"/>
    </row>
    <row r="5" spans="1:14">
      <c r="A5" s="101" t="s">
        <v>280</v>
      </c>
      <c r="B5" s="438" t="e">
        <v>#REF!</v>
      </c>
      <c r="C5" s="431">
        <f>'Plant loading'!G9</f>
        <v>386.95</v>
      </c>
      <c r="D5" s="438">
        <f>'Power figures'!D3</f>
        <v>39.021999999999998</v>
      </c>
      <c r="E5" s="438">
        <f>'Power figures'!C3</f>
        <v>38.040999999999997</v>
      </c>
      <c r="F5" s="438"/>
      <c r="G5" s="438">
        <v>34</v>
      </c>
      <c r="H5" s="438" t="e">
        <f t="shared" si="0"/>
        <v>#REF!</v>
      </c>
      <c r="J5" s="338" t="s">
        <v>290</v>
      </c>
      <c r="K5" s="345" t="e">
        <f>B7</f>
        <v>#REF!</v>
      </c>
    </row>
    <row r="6" spans="1:14">
      <c r="A6" s="101" t="s">
        <v>287</v>
      </c>
      <c r="B6" s="438" t="e">
        <v>#REF!</v>
      </c>
      <c r="C6" s="431">
        <f>'Plant loading'!G17</f>
        <v>123.4425</v>
      </c>
      <c r="D6" s="438">
        <f>'Power figures'!D4</f>
        <v>0</v>
      </c>
      <c r="E6" s="438">
        <f>'Power figures'!C4</f>
        <v>5.7770000000000001</v>
      </c>
      <c r="F6" s="438"/>
      <c r="G6" s="438"/>
      <c r="H6" s="438" t="e">
        <f t="shared" si="0"/>
        <v>#REF!</v>
      </c>
      <c r="K6" s="345"/>
      <c r="L6" s="345">
        <f>C7</f>
        <v>288.14150000000001</v>
      </c>
      <c r="M6" s="345">
        <f>D7</f>
        <v>53.082999999999998</v>
      </c>
      <c r="N6" s="345">
        <f>E7</f>
        <v>3.488</v>
      </c>
    </row>
    <row r="7" spans="1:14">
      <c r="A7" s="317" t="s">
        <v>290</v>
      </c>
      <c r="B7" s="437" t="e">
        <v>#REF!</v>
      </c>
      <c r="C7" s="432">
        <f>'Plant loading'!G22</f>
        <v>288.14150000000001</v>
      </c>
      <c r="D7" s="433">
        <f>'Power figures'!D5</f>
        <v>53.082999999999998</v>
      </c>
      <c r="E7" s="433">
        <f>'Power figures'!C5</f>
        <v>3.488</v>
      </c>
      <c r="F7" s="433"/>
      <c r="G7" s="433"/>
      <c r="H7" s="433" t="e">
        <f t="shared" si="0"/>
        <v>#REF!</v>
      </c>
      <c r="K7" s="345"/>
      <c r="L7" s="345"/>
      <c r="M7" s="345"/>
    </row>
    <row r="8" spans="1:14">
      <c r="A8" s="317" t="s">
        <v>293</v>
      </c>
      <c r="B8" s="437" t="e">
        <v>#REF!</v>
      </c>
      <c r="C8" s="432">
        <f>'Plant loading'!G28</f>
        <v>82.622</v>
      </c>
      <c r="D8" s="433">
        <f>'Power figures'!D6</f>
        <v>0</v>
      </c>
      <c r="E8" s="433">
        <f>'Power figures'!C6</f>
        <v>0</v>
      </c>
      <c r="F8" s="433"/>
      <c r="G8" s="433">
        <v>2</v>
      </c>
      <c r="H8" s="433" t="e">
        <f t="shared" si="0"/>
        <v>#REF!</v>
      </c>
      <c r="J8" s="338" t="s">
        <v>293</v>
      </c>
      <c r="K8" s="345" t="e">
        <f>B8</f>
        <v>#REF!</v>
      </c>
      <c r="L8" s="345"/>
      <c r="M8" s="345"/>
    </row>
    <row r="9" spans="1:14">
      <c r="A9" s="101" t="s">
        <v>305</v>
      </c>
      <c r="B9" s="438" t="e">
        <v>#REF!</v>
      </c>
      <c r="C9" s="431">
        <f>'Plant loading'!G32</f>
        <v>274.84350000000001</v>
      </c>
      <c r="D9" s="438">
        <f>'Power figures'!D7</f>
        <v>103.877</v>
      </c>
      <c r="E9" s="438">
        <f>'Power figures'!C7</f>
        <v>16.393600000000003</v>
      </c>
      <c r="F9" s="438"/>
      <c r="G9" s="438">
        <v>2</v>
      </c>
      <c r="H9" s="438" t="e">
        <f t="shared" si="0"/>
        <v>#REF!</v>
      </c>
      <c r="K9" s="345"/>
      <c r="L9" s="345">
        <f>C8</f>
        <v>82.622</v>
      </c>
      <c r="M9" s="345">
        <f>D8</f>
        <v>0</v>
      </c>
      <c r="N9" s="345">
        <f>E8</f>
        <v>0</v>
      </c>
    </row>
    <row r="10" spans="1:14">
      <c r="A10" s="101" t="s">
        <v>297</v>
      </c>
      <c r="B10" s="438" t="e">
        <v>#REF!</v>
      </c>
      <c r="C10" s="431" t="e">
        <f>SUM('Plant loading'!G39)+('Inverter Loading'!#REF!+'Inverter Loading'!#REF!)</f>
        <v>#REF!</v>
      </c>
      <c r="D10" s="438">
        <f>'Power figures'!D8</f>
        <v>67.307500000000005</v>
      </c>
      <c r="E10" s="438">
        <f>'Power figures'!C8</f>
        <v>20.388449999999999</v>
      </c>
      <c r="F10" s="438"/>
      <c r="G10" s="438">
        <v>40</v>
      </c>
      <c r="H10" s="438" t="e">
        <f t="shared" si="0"/>
        <v>#REF!</v>
      </c>
      <c r="K10" s="345"/>
      <c r="L10" s="345"/>
      <c r="M10" s="345"/>
    </row>
    <row r="11" spans="1:14">
      <c r="A11" s="317" t="s">
        <v>312</v>
      </c>
      <c r="B11" s="437" t="e">
        <v>#REF!</v>
      </c>
      <c r="C11" s="432">
        <f>'Plant loading'!G47</f>
        <v>122.7885</v>
      </c>
      <c r="D11" s="433">
        <f>'Power figures'!D9</f>
        <v>0</v>
      </c>
      <c r="E11" s="433">
        <f>'Power figures'!C9</f>
        <v>0</v>
      </c>
      <c r="F11" s="433"/>
      <c r="G11" s="433">
        <v>13</v>
      </c>
      <c r="H11" s="433" t="e">
        <f t="shared" si="0"/>
        <v>#REF!</v>
      </c>
      <c r="J11" s="338" t="s">
        <v>312</v>
      </c>
      <c r="K11" s="345" t="e">
        <f>B11</f>
        <v>#REF!</v>
      </c>
      <c r="L11" s="345"/>
      <c r="M11" s="345"/>
    </row>
    <row r="12" spans="1:14">
      <c r="A12" s="101" t="s">
        <v>315</v>
      </c>
      <c r="B12" s="438" t="e">
        <v>#REF!</v>
      </c>
      <c r="C12" s="431" t="e">
        <f>SUM('Plant loading'!G56)+('Inverter Loading'!#REF!+'Inverter Loading'!#REF!)</f>
        <v>#REF!</v>
      </c>
      <c r="D12" s="438">
        <f>'Power figures'!D10</f>
        <v>55.917000000000002</v>
      </c>
      <c r="E12" s="438">
        <f>'Power figures'!C10</f>
        <v>6.1040000000000001</v>
      </c>
      <c r="F12" s="438"/>
      <c r="G12" s="438">
        <v>15</v>
      </c>
      <c r="H12" s="438" t="e">
        <f t="shared" si="0"/>
        <v>#REF!</v>
      </c>
      <c r="K12" s="345"/>
      <c r="L12" s="345">
        <f>C11</f>
        <v>122.7885</v>
      </c>
      <c r="M12" s="345">
        <f>D11</f>
        <v>0</v>
      </c>
      <c r="N12" s="345">
        <f>E11</f>
        <v>0</v>
      </c>
    </row>
    <row r="13" spans="1:14">
      <c r="A13" s="101" t="s">
        <v>320</v>
      </c>
      <c r="B13" s="438" t="e">
        <v>#REF!</v>
      </c>
      <c r="C13" s="431">
        <f>'Plant loading'!G64</f>
        <v>389.18450000000001</v>
      </c>
      <c r="D13" s="438">
        <f>'Power figures'!D11</f>
        <v>40.439</v>
      </c>
      <c r="E13" s="438">
        <f>'Power figures'!C11</f>
        <v>23.326000000000001</v>
      </c>
      <c r="F13" s="438"/>
      <c r="G13" s="438">
        <v>10</v>
      </c>
      <c r="H13" s="438" t="e">
        <f t="shared" si="0"/>
        <v>#REF!</v>
      </c>
      <c r="K13" s="345"/>
      <c r="L13" s="345"/>
      <c r="M13" s="345"/>
    </row>
    <row r="14" spans="1:14">
      <c r="A14" s="101" t="s">
        <v>328</v>
      </c>
      <c r="B14" s="438" t="e">
        <v>#REF!</v>
      </c>
      <c r="C14" s="431">
        <f>'Plant loading'!G72</f>
        <v>278.22250000000003</v>
      </c>
      <c r="D14" s="438">
        <f>'Power figures'!D12</f>
        <v>105.5665</v>
      </c>
      <c r="E14" s="438">
        <f>'Power figures'!C12</f>
        <v>7.194</v>
      </c>
      <c r="F14" s="438"/>
      <c r="G14" s="438">
        <v>3</v>
      </c>
      <c r="H14" s="438" t="e">
        <f t="shared" si="0"/>
        <v>#REF!</v>
      </c>
      <c r="J14" s="338" t="s">
        <v>336</v>
      </c>
      <c r="K14" s="345" t="e">
        <f>B16</f>
        <v>#REF!</v>
      </c>
      <c r="L14" s="345"/>
      <c r="M14" s="345"/>
    </row>
    <row r="15" spans="1:14">
      <c r="A15" s="101" t="s">
        <v>333</v>
      </c>
      <c r="B15" s="438" t="e">
        <v>#REF!</v>
      </c>
      <c r="C15" s="431">
        <f>'Plant loading'!G80</f>
        <v>106.384</v>
      </c>
      <c r="D15" s="438">
        <f>'Power figures'!D13</f>
        <v>0</v>
      </c>
      <c r="E15" s="438">
        <f>'Power figures'!C13</f>
        <v>12.06085</v>
      </c>
      <c r="F15" s="438">
        <v>1</v>
      </c>
      <c r="G15" s="438"/>
      <c r="H15" s="438" t="e">
        <f t="shared" si="0"/>
        <v>#REF!</v>
      </c>
      <c r="K15" s="345"/>
      <c r="L15" s="345">
        <f>C16</f>
        <v>92.867999999999995</v>
      </c>
      <c r="M15" s="345">
        <f>D16</f>
        <v>0</v>
      </c>
      <c r="N15" s="345">
        <f>E16</f>
        <v>19.292999999999999</v>
      </c>
    </row>
    <row r="16" spans="1:14">
      <c r="A16" s="317" t="s">
        <v>336</v>
      </c>
      <c r="B16" s="437" t="e">
        <v>#REF!</v>
      </c>
      <c r="C16" s="432">
        <f>'Plant loading'!G85</f>
        <v>92.867999999999995</v>
      </c>
      <c r="D16" s="433">
        <f>'Power figures'!D14</f>
        <v>0</v>
      </c>
      <c r="E16" s="433">
        <f>'Power figures'!C14</f>
        <v>19.292999999999999</v>
      </c>
      <c r="F16" s="433"/>
      <c r="G16" s="433">
        <v>3</v>
      </c>
      <c r="H16" s="433" t="e">
        <f t="shared" si="0"/>
        <v>#REF!</v>
      </c>
      <c r="K16" s="345"/>
      <c r="L16" s="345"/>
      <c r="M16" s="345"/>
    </row>
    <row r="17" spans="1:14">
      <c r="A17" s="317" t="s">
        <v>339</v>
      </c>
      <c r="B17" s="437" t="e">
        <v>#REF!</v>
      </c>
      <c r="C17" s="432">
        <f>'Plant loading'!G89</f>
        <v>109.8175</v>
      </c>
      <c r="D17" s="433">
        <f>'Power figures'!D15</f>
        <v>0</v>
      </c>
      <c r="E17" s="433">
        <f>'Power figures'!C15</f>
        <v>0</v>
      </c>
      <c r="F17" s="433"/>
      <c r="G17" s="433">
        <v>4</v>
      </c>
      <c r="H17" s="433" t="e">
        <f t="shared" si="0"/>
        <v>#REF!</v>
      </c>
      <c r="J17" s="338" t="s">
        <v>339</v>
      </c>
      <c r="K17" s="345" t="e">
        <f>B17</f>
        <v>#REF!</v>
      </c>
      <c r="L17" s="345"/>
      <c r="M17" s="345"/>
    </row>
    <row r="18" spans="1:14">
      <c r="A18" s="48" t="s">
        <v>566</v>
      </c>
      <c r="B18" s="320" t="e">
        <f t="shared" ref="B18:G18" si="1">SUM(B4:B17)</f>
        <v>#REF!</v>
      </c>
      <c r="C18" s="320" t="e">
        <f t="shared" si="1"/>
        <v>#REF!</v>
      </c>
      <c r="D18" s="320">
        <f t="shared" si="1"/>
        <v>479.10950000000008</v>
      </c>
      <c r="E18" s="320">
        <f t="shared" si="1"/>
        <v>153.15590000000003</v>
      </c>
      <c r="F18" s="320">
        <f t="shared" si="1"/>
        <v>1</v>
      </c>
      <c r="G18" s="320">
        <f t="shared" si="1"/>
        <v>136</v>
      </c>
      <c r="H18" s="320" t="e">
        <f>SUM(C18-B18)</f>
        <v>#REF!</v>
      </c>
      <c r="I18" s="82"/>
      <c r="L18" s="345">
        <f>C17</f>
        <v>109.8175</v>
      </c>
      <c r="M18" s="345">
        <f>D17</f>
        <v>0</v>
      </c>
      <c r="N18" s="345">
        <f>E17</f>
        <v>0</v>
      </c>
    </row>
    <row r="19" spans="1:14">
      <c r="A19" s="28" t="s">
        <v>1458</v>
      </c>
      <c r="B19" s="80" t="e">
        <f t="shared" ref="B19:G19" si="2">SUM(B4+B5+B6+B9+B10+B12+B13+B14+B15)</f>
        <v>#REF!</v>
      </c>
      <c r="C19" s="80" t="e">
        <f t="shared" si="2"/>
        <v>#REF!</v>
      </c>
      <c r="D19" s="80">
        <f t="shared" si="2"/>
        <v>426.0265</v>
      </c>
      <c r="E19" s="80">
        <f t="shared" si="2"/>
        <v>130.37490000000003</v>
      </c>
      <c r="F19" s="80">
        <f t="shared" si="2"/>
        <v>1</v>
      </c>
      <c r="G19" s="80">
        <f t="shared" si="2"/>
        <v>114</v>
      </c>
      <c r="H19" s="80">
        <f>F19-G19</f>
        <v>-113</v>
      </c>
      <c r="I19" s="80"/>
    </row>
    <row r="20" spans="1:14">
      <c r="A20" s="13" t="s">
        <v>1459</v>
      </c>
      <c r="B20" s="78" t="e">
        <f>B18-B19</f>
        <v>#REF!</v>
      </c>
      <c r="C20" s="78" t="e">
        <f>C18-C19</f>
        <v>#REF!</v>
      </c>
      <c r="D20" s="78">
        <f>D18-D19</f>
        <v>53.083000000000084</v>
      </c>
      <c r="E20" s="78">
        <f>SUM(E7+E8+E11+E16+E17)</f>
        <v>22.780999999999999</v>
      </c>
      <c r="F20" s="78">
        <f>SUM(F7+F8+F11+F16+F17)</f>
        <v>0</v>
      </c>
      <c r="G20" s="78">
        <f>SUM(G7+G8+G11+G16+G17)</f>
        <v>22</v>
      </c>
      <c r="H20" s="78">
        <f>F20-G20</f>
        <v>-22</v>
      </c>
      <c r="I20" s="78"/>
    </row>
    <row r="21" spans="1:14" ht="20.45">
      <c r="J21" s="318" t="s">
        <v>1453</v>
      </c>
      <c r="K21" s="319" t="s">
        <v>1454</v>
      </c>
      <c r="L21" s="319" t="s">
        <v>345</v>
      </c>
      <c r="M21" s="319" t="s">
        <v>269</v>
      </c>
    </row>
    <row r="22" spans="1:14" ht="15">
      <c r="B22" s="1432" t="s">
        <v>1460</v>
      </c>
      <c r="C22" s="1432"/>
      <c r="D22" s="44"/>
      <c r="I22" s="338" t="s">
        <v>280</v>
      </c>
      <c r="J22" s="345" t="e">
        <f>B5</f>
        <v>#REF!</v>
      </c>
      <c r="K22" s="345"/>
      <c r="L22" s="345"/>
      <c r="M22" s="345"/>
    </row>
    <row r="23" spans="1:14" ht="15">
      <c r="B23" s="44"/>
      <c r="D23" s="44"/>
      <c r="J23" s="345"/>
      <c r="K23" s="345">
        <f>C5</f>
        <v>386.95</v>
      </c>
      <c r="L23" s="345">
        <f>D5</f>
        <v>39.021999999999998</v>
      </c>
      <c r="M23" s="345">
        <f>E5</f>
        <v>38.040999999999997</v>
      </c>
    </row>
    <row r="24" spans="1:14">
      <c r="A24" s="47" t="s">
        <v>7</v>
      </c>
      <c r="B24" s="317" t="s">
        <v>1461</v>
      </c>
      <c r="C24" s="317" t="s">
        <v>1462</v>
      </c>
      <c r="D24" s="427" t="s">
        <v>1463</v>
      </c>
      <c r="E24" s="47" t="s">
        <v>1455</v>
      </c>
      <c r="F24" s="47" t="s">
        <v>1456</v>
      </c>
      <c r="H24" s="59"/>
      <c r="J24" s="345"/>
      <c r="K24" s="345"/>
      <c r="L24" s="345"/>
      <c r="M24" s="345"/>
    </row>
    <row r="25" spans="1:14">
      <c r="A25" s="47" t="s">
        <v>274</v>
      </c>
      <c r="B25" s="117">
        <v>5</v>
      </c>
      <c r="C25" s="437">
        <f>'Inverter Loading'!M2</f>
        <v>15</v>
      </c>
      <c r="D25" s="433">
        <f t="shared" ref="D25:D38" si="3">C25-B25</f>
        <v>10</v>
      </c>
      <c r="E25" s="47"/>
      <c r="F25" s="47">
        <v>-1</v>
      </c>
      <c r="I25" s="338" t="s">
        <v>297</v>
      </c>
      <c r="J25" s="345" t="e">
        <f>B10</f>
        <v>#REF!</v>
      </c>
      <c r="K25" s="345"/>
      <c r="L25" s="345"/>
      <c r="M25" s="345"/>
    </row>
    <row r="26" spans="1:14">
      <c r="A26" s="101" t="s">
        <v>280</v>
      </c>
      <c r="B26" s="111">
        <v>122</v>
      </c>
      <c r="C26" s="438" t="e">
        <f>SUM('Inverter Loading'!#REF!:'Inverter Loading'!#REF!)</f>
        <v>#REF!</v>
      </c>
      <c r="D26" s="438" t="e">
        <f t="shared" si="3"/>
        <v>#REF!</v>
      </c>
      <c r="E26" s="101"/>
      <c r="F26" s="101">
        <v>-34</v>
      </c>
      <c r="J26" s="345"/>
      <c r="K26" s="345" t="e">
        <f>C10</f>
        <v>#REF!</v>
      </c>
      <c r="L26" s="345">
        <f>D10</f>
        <v>67.307500000000005</v>
      </c>
      <c r="M26" s="345">
        <f>E10</f>
        <v>20.388449999999999</v>
      </c>
    </row>
    <row r="27" spans="1:14">
      <c r="A27" s="101" t="s">
        <v>287</v>
      </c>
      <c r="B27" s="111">
        <v>14</v>
      </c>
      <c r="C27" s="438">
        <f>'Inverter Loading'!M10</f>
        <v>8</v>
      </c>
      <c r="D27" s="438">
        <f t="shared" si="3"/>
        <v>-6</v>
      </c>
      <c r="E27" s="101"/>
      <c r="F27" s="101">
        <v>-4</v>
      </c>
      <c r="J27" s="345"/>
      <c r="K27" s="345"/>
      <c r="L27" s="345"/>
      <c r="M27" s="345"/>
    </row>
    <row r="28" spans="1:14">
      <c r="A28" s="47" t="s">
        <v>290</v>
      </c>
      <c r="B28" s="117">
        <v>5</v>
      </c>
      <c r="C28" s="437" t="e">
        <f>'Inverter Loading'!#REF!</f>
        <v>#REF!</v>
      </c>
      <c r="D28" s="433" t="e">
        <f t="shared" si="3"/>
        <v>#REF!</v>
      </c>
      <c r="E28" s="47"/>
      <c r="F28" s="47">
        <v>-2</v>
      </c>
      <c r="I28" s="338" t="s">
        <v>315</v>
      </c>
      <c r="J28" s="345" t="e">
        <f>B12</f>
        <v>#REF!</v>
      </c>
      <c r="K28" s="345"/>
      <c r="L28" s="345"/>
      <c r="M28" s="345"/>
    </row>
    <row r="29" spans="1:14">
      <c r="A29" s="47" t="s">
        <v>293</v>
      </c>
      <c r="B29" s="117">
        <v>5</v>
      </c>
      <c r="C29" s="437" t="e">
        <f>'Inverter Loading'!#REF!</f>
        <v>#REF!</v>
      </c>
      <c r="D29" s="433" t="e">
        <f t="shared" si="3"/>
        <v>#REF!</v>
      </c>
      <c r="E29" s="47"/>
      <c r="F29" s="47">
        <v>-1</v>
      </c>
      <c r="J29" s="345"/>
      <c r="K29" s="345" t="e">
        <f>C12</f>
        <v>#REF!</v>
      </c>
      <c r="L29" s="345">
        <f>D12</f>
        <v>55.917000000000002</v>
      </c>
      <c r="M29" s="345">
        <f>E12</f>
        <v>6.1040000000000001</v>
      </c>
    </row>
    <row r="30" spans="1:14">
      <c r="A30" s="101" t="s">
        <v>305</v>
      </c>
      <c r="B30" s="111">
        <v>14</v>
      </c>
      <c r="C30" s="438">
        <f>'Inverter Loading'!M20</f>
        <v>2.2999999999999998</v>
      </c>
      <c r="D30" s="438">
        <f t="shared" si="3"/>
        <v>-11.7</v>
      </c>
      <c r="E30" s="101"/>
      <c r="F30" s="101">
        <v>-3</v>
      </c>
      <c r="J30" s="345"/>
      <c r="K30" s="345"/>
      <c r="L30" s="345"/>
      <c r="M30" s="345"/>
    </row>
    <row r="31" spans="1:14">
      <c r="A31" s="101" t="s">
        <v>297</v>
      </c>
      <c r="B31" s="111">
        <v>58</v>
      </c>
      <c r="C31" s="438" t="e">
        <f ca="1">SUM('Inverter Loading'!M16:'Inverter Loading'!#REF!)</f>
        <v>#REF!</v>
      </c>
      <c r="D31" s="438" t="e">
        <f t="shared" ca="1" si="3"/>
        <v>#REF!</v>
      </c>
      <c r="E31" s="101"/>
      <c r="F31" s="101">
        <v>-1</v>
      </c>
      <c r="I31" s="338" t="s">
        <v>320</v>
      </c>
      <c r="J31" s="345" t="e">
        <f>B13</f>
        <v>#REF!</v>
      </c>
      <c r="K31" s="345"/>
      <c r="L31" s="345"/>
      <c r="M31" s="345"/>
    </row>
    <row r="32" spans="1:14">
      <c r="A32" s="47" t="s">
        <v>312</v>
      </c>
      <c r="B32" s="117">
        <v>39</v>
      </c>
      <c r="C32" s="437" t="e">
        <f ca="1">SUM('Inverter Loading'!M24:'Inverter Loading'!#REF!)</f>
        <v>#REF!</v>
      </c>
      <c r="D32" s="433" t="e">
        <f t="shared" ca="1" si="3"/>
        <v>#REF!</v>
      </c>
      <c r="E32" s="47"/>
      <c r="F32" s="47">
        <v>-5</v>
      </c>
      <c r="J32" s="345"/>
      <c r="K32" s="345">
        <f>C13</f>
        <v>389.18450000000001</v>
      </c>
      <c r="L32" s="345">
        <f>D13</f>
        <v>40.439</v>
      </c>
      <c r="M32" s="345">
        <f>E13</f>
        <v>23.326000000000001</v>
      </c>
    </row>
    <row r="33" spans="1:13">
      <c r="A33" s="101" t="s">
        <v>315</v>
      </c>
      <c r="B33" s="111">
        <v>62</v>
      </c>
      <c r="C33" s="438" t="e">
        <f ca="1">SUM('Inverter Loading'!M26:'Inverter Loading'!#REF!)</f>
        <v>#REF!</v>
      </c>
      <c r="D33" s="438" t="e">
        <f t="shared" ca="1" si="3"/>
        <v>#REF!</v>
      </c>
      <c r="E33" s="101"/>
      <c r="F33" s="101">
        <v>-30</v>
      </c>
      <c r="J33" s="345"/>
      <c r="K33" s="345"/>
      <c r="L33" s="345"/>
      <c r="M33" s="345"/>
    </row>
    <row r="34" spans="1:13">
      <c r="A34" s="101" t="s">
        <v>320</v>
      </c>
      <c r="B34" s="111">
        <v>60</v>
      </c>
      <c r="C34" s="438" t="e">
        <f ca="1">SUM('Inverter Loading'!#REF!:'Inverter Loading'!M33)</f>
        <v>#REF!</v>
      </c>
      <c r="D34" s="438" t="e">
        <f t="shared" ca="1" si="3"/>
        <v>#REF!</v>
      </c>
      <c r="E34" s="101"/>
      <c r="F34" s="101">
        <v>-7</v>
      </c>
      <c r="I34" s="507" t="s">
        <v>274</v>
      </c>
      <c r="J34" s="345" t="e">
        <f>B4</f>
        <v>#REF!</v>
      </c>
    </row>
    <row r="35" spans="1:13">
      <c r="A35" s="101" t="s">
        <v>328</v>
      </c>
      <c r="B35" s="111">
        <v>30</v>
      </c>
      <c r="C35" s="438">
        <f ca="1">SUM('Inverter Loading'!M34:'Inverter Loading'!M35)</f>
        <v>46</v>
      </c>
      <c r="D35" s="438">
        <f t="shared" ca="1" si="3"/>
        <v>16</v>
      </c>
      <c r="E35" s="101"/>
      <c r="F35" s="101">
        <v>-9</v>
      </c>
      <c r="I35" s="767"/>
      <c r="J35" s="345"/>
      <c r="K35" s="345">
        <f>C4</f>
        <v>170.91200000000001</v>
      </c>
      <c r="L35" s="345">
        <f>D4</f>
        <v>13.897500000000001</v>
      </c>
      <c r="M35" s="345">
        <f>E4</f>
        <v>1.0900000000000001</v>
      </c>
    </row>
    <row r="36" spans="1:13">
      <c r="A36" s="101" t="s">
        <v>333</v>
      </c>
      <c r="B36" s="111">
        <v>11</v>
      </c>
      <c r="C36" s="438">
        <f>'Inverter Loading'!M36</f>
        <v>5</v>
      </c>
      <c r="D36" s="438">
        <f t="shared" si="3"/>
        <v>-6</v>
      </c>
      <c r="E36" s="101"/>
      <c r="F36" s="101">
        <v>-7</v>
      </c>
    </row>
    <row r="37" spans="1:13">
      <c r="A37" s="47" t="s">
        <v>336</v>
      </c>
      <c r="B37" s="117">
        <v>13</v>
      </c>
      <c r="C37" s="437" t="e">
        <f>'Inverter Loading'!#REF!</f>
        <v>#REF!</v>
      </c>
      <c r="D37" s="433" t="e">
        <f t="shared" si="3"/>
        <v>#REF!</v>
      </c>
      <c r="E37" s="47"/>
      <c r="F37" s="47">
        <v>-5</v>
      </c>
      <c r="I37" s="338" t="s">
        <v>287</v>
      </c>
      <c r="J37" s="345" t="e">
        <f>B6</f>
        <v>#REF!</v>
      </c>
      <c r="K37" s="345"/>
      <c r="L37" s="345"/>
      <c r="M37" s="345"/>
    </row>
    <row r="38" spans="1:13">
      <c r="A38" s="47" t="s">
        <v>339</v>
      </c>
      <c r="B38" s="117">
        <v>6</v>
      </c>
      <c r="C38" s="437">
        <f>'Inverter Loading'!M40</f>
        <v>4</v>
      </c>
      <c r="D38" s="433">
        <f t="shared" si="3"/>
        <v>-2</v>
      </c>
      <c r="E38" s="47"/>
      <c r="F38" s="47">
        <v>-1</v>
      </c>
      <c r="J38" s="345"/>
      <c r="K38" s="345">
        <f>C6</f>
        <v>123.4425</v>
      </c>
      <c r="L38" s="345">
        <f>D6</f>
        <v>0</v>
      </c>
      <c r="M38" s="345">
        <f>E6</f>
        <v>5.7770000000000001</v>
      </c>
    </row>
    <row r="39" spans="1:13">
      <c r="A39" s="48" t="s">
        <v>566</v>
      </c>
      <c r="B39" s="320">
        <f>SUM(B25:B38)</f>
        <v>444</v>
      </c>
      <c r="C39" s="320" t="e">
        <f>SUM(C25:C38)</f>
        <v>#REF!</v>
      </c>
      <c r="D39" s="320" t="e">
        <f>SUM(C39-B39)</f>
        <v>#REF!</v>
      </c>
      <c r="E39" s="48">
        <f>SUM(E25:E38)</f>
        <v>0</v>
      </c>
      <c r="F39" s="48">
        <f>SUM(F25:F38)</f>
        <v>-110</v>
      </c>
      <c r="J39" s="345"/>
      <c r="K39" s="345"/>
      <c r="L39" s="345"/>
      <c r="M39" s="345"/>
    </row>
    <row r="40" spans="1:13">
      <c r="A40" s="81" t="s">
        <v>1464</v>
      </c>
      <c r="B40" s="28">
        <f>SUM(B26+B27+B30+B31+B33+B34+B35+B36)</f>
        <v>371</v>
      </c>
      <c r="C40" s="28" t="e">
        <f ca="1">SUM(C26+C27+C30+C31+C33+C34+C35+C36)</f>
        <v>#REF!</v>
      </c>
      <c r="D40" s="80">
        <f>(F40+E40)*1.1</f>
        <v>-104.50000000000001</v>
      </c>
      <c r="E40" s="28">
        <f>SUM(E26+E27+E30+E31+E33+E34+E35+E36)</f>
        <v>0</v>
      </c>
      <c r="F40" s="28">
        <f>SUM(F26+F27+F30+F31+F33+F34+F35+F36)</f>
        <v>-95</v>
      </c>
      <c r="I40" s="338" t="s">
        <v>305</v>
      </c>
      <c r="J40" s="345" t="e">
        <f>B9</f>
        <v>#REF!</v>
      </c>
      <c r="K40" s="345"/>
      <c r="L40" s="345"/>
      <c r="M40" s="345"/>
    </row>
    <row r="41" spans="1:13">
      <c r="A41" s="79" t="s">
        <v>1465</v>
      </c>
      <c r="B41" s="78">
        <f>B39-B40</f>
        <v>73</v>
      </c>
      <c r="C41" s="78" t="e">
        <f ca="1">C39-C40</f>
        <v>#REF!</v>
      </c>
      <c r="D41" s="78">
        <f>SUM(F41+E41)*1.1</f>
        <v>-16.5</v>
      </c>
      <c r="E41" s="78">
        <f>E39-E40</f>
        <v>0</v>
      </c>
      <c r="F41" s="78">
        <f>F39-F40</f>
        <v>-15</v>
      </c>
      <c r="J41" s="345"/>
      <c r="K41" s="345">
        <f>C9</f>
        <v>274.84350000000001</v>
      </c>
      <c r="L41" s="345">
        <f>D9</f>
        <v>103.877</v>
      </c>
      <c r="M41" s="345">
        <f>E9</f>
        <v>16.393600000000003</v>
      </c>
    </row>
    <row r="42" spans="1:13">
      <c r="J42" s="345"/>
      <c r="K42" s="345"/>
      <c r="L42" s="345"/>
      <c r="M42" s="345"/>
    </row>
    <row r="43" spans="1:13" ht="15">
      <c r="B43" s="1433" t="s">
        <v>1466</v>
      </c>
      <c r="C43" s="1433"/>
      <c r="I43" s="338" t="s">
        <v>328</v>
      </c>
      <c r="J43" s="345" t="e">
        <f>B14</f>
        <v>#REF!</v>
      </c>
      <c r="K43" s="345"/>
      <c r="L43" s="345"/>
      <c r="M43" s="345"/>
    </row>
    <row r="44" spans="1:13">
      <c r="A44" s="47" t="s">
        <v>7</v>
      </c>
      <c r="B44" s="317" t="s">
        <v>1467</v>
      </c>
      <c r="C44" s="317" t="s">
        <v>1468</v>
      </c>
      <c r="D44" s="472" t="s">
        <v>1469</v>
      </c>
      <c r="E44" s="47" t="s">
        <v>1457</v>
      </c>
      <c r="F44" s="47" t="s">
        <v>1455</v>
      </c>
      <c r="G44" s="47" t="s">
        <v>1456</v>
      </c>
      <c r="H44" s="59"/>
      <c r="J44" s="345"/>
      <c r="K44" s="345">
        <f>C14</f>
        <v>278.22250000000003</v>
      </c>
      <c r="L44" s="345">
        <f>D14</f>
        <v>105.5665</v>
      </c>
      <c r="M44" s="345">
        <f>E14</f>
        <v>7.194</v>
      </c>
    </row>
    <row r="45" spans="1:13">
      <c r="A45" s="47" t="s">
        <v>348</v>
      </c>
      <c r="B45" s="508">
        <v>36</v>
      </c>
      <c r="C45" s="437">
        <f>'Plant loading'!G94</f>
        <v>40.548000000000002</v>
      </c>
      <c r="D45" s="437">
        <v>13</v>
      </c>
      <c r="E45" s="437">
        <v>6</v>
      </c>
      <c r="F45" s="437">
        <v>6</v>
      </c>
      <c r="G45" s="437"/>
      <c r="J45" s="345"/>
      <c r="K45" s="345"/>
      <c r="L45" s="345"/>
      <c r="M45" s="345"/>
    </row>
    <row r="46" spans="1:13">
      <c r="A46" s="47" t="s">
        <v>353</v>
      </c>
      <c r="B46" s="508">
        <v>39</v>
      </c>
      <c r="C46" s="437">
        <f>'Plant loading'!G99</f>
        <v>45.9435</v>
      </c>
      <c r="D46" s="437"/>
      <c r="E46" s="437">
        <f t="shared" ref="E46:E59" si="4">C46-B46-D46</f>
        <v>6.9435000000000002</v>
      </c>
      <c r="F46" s="437">
        <v>0</v>
      </c>
      <c r="G46" s="437"/>
      <c r="I46" s="338" t="s">
        <v>333</v>
      </c>
      <c r="J46" s="345" t="e">
        <f>B15</f>
        <v>#REF!</v>
      </c>
      <c r="K46" s="345"/>
      <c r="L46" s="345"/>
      <c r="M46" s="345"/>
    </row>
    <row r="47" spans="1:13">
      <c r="A47" s="47" t="s">
        <v>350</v>
      </c>
      <c r="B47" s="508">
        <v>36</v>
      </c>
      <c r="C47" s="437">
        <f>'Plant loading'!G96</f>
        <v>39.185499999999998</v>
      </c>
      <c r="D47" s="437"/>
      <c r="E47" s="437">
        <v>-4</v>
      </c>
      <c r="F47" s="437"/>
      <c r="G47" s="437">
        <v>-4</v>
      </c>
      <c r="J47" s="345"/>
      <c r="K47" s="345">
        <f>C15</f>
        <v>106.384</v>
      </c>
      <c r="L47" s="345">
        <f>D15</f>
        <v>0</v>
      </c>
      <c r="M47" s="345">
        <f>E15</f>
        <v>12.06085</v>
      </c>
    </row>
    <row r="48" spans="1:13">
      <c r="A48" s="47" t="s">
        <v>355</v>
      </c>
      <c r="B48" s="508">
        <v>19</v>
      </c>
      <c r="C48" s="437">
        <f>'Plant loading'!G101</f>
        <v>32.917999999999999</v>
      </c>
      <c r="D48" s="437">
        <v>21</v>
      </c>
      <c r="E48" s="437">
        <f t="shared" si="4"/>
        <v>-7.0820000000000007</v>
      </c>
      <c r="F48" s="437">
        <v>2</v>
      </c>
      <c r="G48" s="437"/>
    </row>
    <row r="49" spans="1:8">
      <c r="A49" s="317" t="s">
        <v>357</v>
      </c>
      <c r="B49" s="508">
        <v>9</v>
      </c>
      <c r="C49" s="437">
        <f>'Plant loading'!G103</f>
        <v>9.5374999999999996</v>
      </c>
      <c r="D49" s="437"/>
      <c r="E49" s="437">
        <f t="shared" si="4"/>
        <v>0.53749999999999964</v>
      </c>
      <c r="F49" s="437">
        <v>0</v>
      </c>
      <c r="G49" s="437"/>
    </row>
    <row r="50" spans="1:8">
      <c r="A50" s="317" t="s">
        <v>1470</v>
      </c>
      <c r="B50" s="508">
        <v>22</v>
      </c>
      <c r="C50" s="437" t="e">
        <f>'Plant loading'!#REF!</f>
        <v>#REF!</v>
      </c>
      <c r="D50" s="437"/>
      <c r="E50" s="437" t="e">
        <f t="shared" si="4"/>
        <v>#REF!</v>
      </c>
      <c r="F50" s="437"/>
      <c r="G50" s="437">
        <v>-3</v>
      </c>
    </row>
    <row r="51" spans="1:8">
      <c r="A51" s="317" t="s">
        <v>359</v>
      </c>
      <c r="B51" s="508">
        <v>60</v>
      </c>
      <c r="C51" s="437">
        <f>'Plant loading'!G105</f>
        <v>61.094499999999996</v>
      </c>
      <c r="D51" s="437"/>
      <c r="E51" s="437">
        <v>23</v>
      </c>
      <c r="F51" s="437">
        <v>23</v>
      </c>
      <c r="G51" s="437"/>
    </row>
    <row r="52" spans="1:8">
      <c r="A52" s="317" t="s">
        <v>676</v>
      </c>
      <c r="B52" s="508">
        <v>7.1067999999999998</v>
      </c>
      <c r="C52" s="437" t="e">
        <f>SUM('Plant loading'!#REF!)</f>
        <v>#REF!</v>
      </c>
      <c r="D52" s="437"/>
      <c r="E52" s="437" t="e">
        <f t="shared" si="4"/>
        <v>#REF!</v>
      </c>
      <c r="F52" s="437"/>
      <c r="G52" s="437">
        <v>-1</v>
      </c>
    </row>
    <row r="53" spans="1:8">
      <c r="A53" s="47" t="s">
        <v>361</v>
      </c>
      <c r="B53" s="508">
        <v>46</v>
      </c>
      <c r="C53" s="437">
        <f>'Plant loading'!G109</f>
        <v>43.927</v>
      </c>
      <c r="D53" s="437"/>
      <c r="E53" s="437">
        <v>-3</v>
      </c>
      <c r="F53" s="437"/>
      <c r="G53" s="437">
        <v>-3</v>
      </c>
    </row>
    <row r="54" spans="1:8">
      <c r="A54" s="47" t="s">
        <v>363</v>
      </c>
      <c r="B54" s="508">
        <v>63</v>
      </c>
      <c r="C54" s="437">
        <f>'Plant loading'!G107</f>
        <v>33.244999999999997</v>
      </c>
      <c r="D54" s="437">
        <v>11</v>
      </c>
      <c r="E54" s="437">
        <v>7</v>
      </c>
      <c r="F54" s="437">
        <v>7</v>
      </c>
      <c r="G54" s="437"/>
    </row>
    <row r="55" spans="1:8">
      <c r="A55" s="47" t="s">
        <v>367</v>
      </c>
      <c r="B55" s="508">
        <v>22.726500000000001</v>
      </c>
      <c r="C55" s="437">
        <f>'Plant loading'!G112</f>
        <v>19.1295</v>
      </c>
      <c r="D55" s="437">
        <v>14</v>
      </c>
      <c r="E55" s="437">
        <f t="shared" si="4"/>
        <v>-17.597000000000001</v>
      </c>
      <c r="F55" s="437"/>
      <c r="G55" s="437">
        <v>-9</v>
      </c>
    </row>
    <row r="56" spans="1:8">
      <c r="A56" s="317" t="s">
        <v>369</v>
      </c>
      <c r="B56" s="508">
        <v>55</v>
      </c>
      <c r="C56" s="437">
        <f>'Plant loading'!G114</f>
        <v>44.253999999999998</v>
      </c>
      <c r="D56" s="437">
        <v>18</v>
      </c>
      <c r="E56" s="437">
        <f t="shared" si="4"/>
        <v>-28.746000000000002</v>
      </c>
      <c r="F56" s="437">
        <v>0</v>
      </c>
      <c r="G56" s="437"/>
    </row>
    <row r="57" spans="1:8">
      <c r="A57" s="317" t="s">
        <v>371</v>
      </c>
      <c r="B57" s="508">
        <v>44.003299999999996</v>
      </c>
      <c r="C57" s="437">
        <f>'Plant loading'!G116</f>
        <v>39.567</v>
      </c>
      <c r="D57" s="437"/>
      <c r="E57" s="437">
        <f t="shared" si="4"/>
        <v>-4.4362999999999957</v>
      </c>
      <c r="F57" s="437"/>
      <c r="G57" s="437">
        <v>-3</v>
      </c>
    </row>
    <row r="58" spans="1:8">
      <c r="A58" s="317" t="s">
        <v>677</v>
      </c>
      <c r="B58" s="508">
        <v>4.5998000000000001</v>
      </c>
      <c r="C58" s="437" t="e">
        <f>'Plant loading'!#REF!</f>
        <v>#REF!</v>
      </c>
      <c r="D58" s="437"/>
      <c r="E58" s="437">
        <v>-2</v>
      </c>
      <c r="F58" s="437"/>
      <c r="G58" s="437">
        <v>-2</v>
      </c>
    </row>
    <row r="59" spans="1:8">
      <c r="A59" s="48" t="s">
        <v>566</v>
      </c>
      <c r="B59" s="320">
        <f>SUM(B45:B58)</f>
        <v>463.43639999999999</v>
      </c>
      <c r="C59" s="320" t="e">
        <f>SUM(C45:C58)</f>
        <v>#REF!</v>
      </c>
      <c r="D59" s="320">
        <f>SUM(D45:D58)</f>
        <v>77</v>
      </c>
      <c r="E59" s="437" t="e">
        <f t="shared" si="4"/>
        <v>#REF!</v>
      </c>
      <c r="F59" s="437">
        <f>SUM(F45:F58)</f>
        <v>38</v>
      </c>
      <c r="G59" s="437">
        <f>SUM(G45:G58)</f>
        <v>-25</v>
      </c>
    </row>
    <row r="61" spans="1:8" ht="15">
      <c r="B61" s="1434" t="s">
        <v>1471</v>
      </c>
      <c r="C61" s="1434"/>
    </row>
    <row r="62" spans="1:8">
      <c r="A62" s="47" t="s">
        <v>7</v>
      </c>
      <c r="B62" s="317" t="s">
        <v>1472</v>
      </c>
      <c r="C62" s="317" t="s">
        <v>1473</v>
      </c>
      <c r="D62" s="427" t="s">
        <v>1463</v>
      </c>
      <c r="E62" s="47" t="s">
        <v>1455</v>
      </c>
      <c r="F62" s="47" t="s">
        <v>1456</v>
      </c>
      <c r="H62" s="59">
        <v>41153</v>
      </c>
    </row>
    <row r="63" spans="1:8">
      <c r="A63" s="47" t="s">
        <v>348</v>
      </c>
      <c r="B63" s="437">
        <v>2.1800000000000002</v>
      </c>
      <c r="C63" s="47">
        <f>'Inverter Loading'!M44</f>
        <v>1.1499999999999999</v>
      </c>
      <c r="D63" s="437">
        <f>SUM(C63-B63)</f>
        <v>-1.0300000000000002</v>
      </c>
      <c r="E63" s="47"/>
      <c r="F63" s="47">
        <v>-1</v>
      </c>
      <c r="H63">
        <v>2</v>
      </c>
    </row>
    <row r="64" spans="1:8">
      <c r="A64" s="47" t="s">
        <v>353</v>
      </c>
      <c r="B64" s="437">
        <v>2.1800000000000002</v>
      </c>
      <c r="C64" s="47">
        <f>'Inverter Loading'!M46</f>
        <v>1.1499999999999999</v>
      </c>
      <c r="D64" s="437">
        <f t="shared" ref="D64:D73" si="5">SUM(C64-B64)</f>
        <v>-1.0300000000000002</v>
      </c>
      <c r="E64" s="47"/>
      <c r="F64" s="47"/>
      <c r="H64">
        <v>2</v>
      </c>
    </row>
    <row r="65" spans="1:8">
      <c r="A65" s="47" t="s">
        <v>355</v>
      </c>
      <c r="B65" s="437">
        <v>3.27</v>
      </c>
      <c r="C65" s="47">
        <f>'Inverter Loading'!M47</f>
        <v>1.61</v>
      </c>
      <c r="D65" s="437">
        <f t="shared" si="5"/>
        <v>-1.66</v>
      </c>
      <c r="E65" s="47"/>
      <c r="F65" s="47">
        <v>-1</v>
      </c>
      <c r="H65">
        <v>2</v>
      </c>
    </row>
    <row r="66" spans="1:8">
      <c r="A66" s="47" t="s">
        <v>357</v>
      </c>
      <c r="B66" s="437">
        <v>0.25069999999999998</v>
      </c>
      <c r="C66" s="47">
        <f>'Inverter Loading'!M48</f>
        <v>0.46</v>
      </c>
      <c r="D66" s="437">
        <f t="shared" si="5"/>
        <v>0.20930000000000004</v>
      </c>
      <c r="E66" s="47"/>
      <c r="F66" s="47"/>
      <c r="G66" s="49" t="s">
        <v>1474</v>
      </c>
      <c r="H66" s="338">
        <v>0.23</v>
      </c>
    </row>
    <row r="67" spans="1:8">
      <c r="A67" s="317" t="s">
        <v>1470</v>
      </c>
      <c r="B67" s="437">
        <v>1.0900000000000001</v>
      </c>
      <c r="C67" s="47" t="e">
        <f>'Inverter Loading'!#REF!</f>
        <v>#REF!</v>
      </c>
      <c r="D67" s="437" t="e">
        <f t="shared" si="5"/>
        <v>#REF!</v>
      </c>
      <c r="E67" s="47"/>
      <c r="F67" s="47"/>
      <c r="H67" s="338">
        <v>1</v>
      </c>
    </row>
    <row r="68" spans="1:8">
      <c r="A68" s="47" t="s">
        <v>359</v>
      </c>
      <c r="B68" s="437">
        <v>2.1800000000000002</v>
      </c>
      <c r="C68" s="47">
        <f>'Inverter Loading'!M49</f>
        <v>1.61</v>
      </c>
      <c r="D68" s="437">
        <f t="shared" si="5"/>
        <v>-0.57000000000000006</v>
      </c>
      <c r="E68" s="47"/>
      <c r="F68" s="47"/>
      <c r="H68" s="338">
        <v>2</v>
      </c>
    </row>
    <row r="69" spans="1:8">
      <c r="A69" s="47" t="s">
        <v>676</v>
      </c>
      <c r="B69" s="437">
        <v>0.25069999999999998</v>
      </c>
      <c r="C69" s="47" t="e">
        <f>'Inverter Loading'!#REF!</f>
        <v>#REF!</v>
      </c>
      <c r="D69" s="437" t="e">
        <f t="shared" si="5"/>
        <v>#REF!</v>
      </c>
      <c r="E69" s="47"/>
      <c r="F69" s="47"/>
      <c r="H69" s="338">
        <v>0.23</v>
      </c>
    </row>
    <row r="70" spans="1:8">
      <c r="A70" s="47" t="s">
        <v>361</v>
      </c>
      <c r="B70" s="437">
        <v>2.1800000000000002</v>
      </c>
      <c r="C70" s="47">
        <f>'Inverter Loading'!M50</f>
        <v>1.38</v>
      </c>
      <c r="D70" s="437">
        <f t="shared" si="5"/>
        <v>-0.80000000000000027</v>
      </c>
      <c r="E70" s="47"/>
      <c r="F70" s="47"/>
      <c r="H70" s="338">
        <v>2</v>
      </c>
    </row>
    <row r="71" spans="1:8">
      <c r="A71" s="47" t="s">
        <v>363</v>
      </c>
      <c r="B71" s="437">
        <v>3.27</v>
      </c>
      <c r="C71" s="47">
        <f>'Inverter Loading'!M51</f>
        <v>9.43</v>
      </c>
      <c r="D71" s="437">
        <f t="shared" si="5"/>
        <v>6.16</v>
      </c>
      <c r="E71" s="47"/>
      <c r="F71" s="47"/>
      <c r="H71" s="338">
        <v>3</v>
      </c>
    </row>
    <row r="72" spans="1:8">
      <c r="A72" s="47" t="s">
        <v>369</v>
      </c>
      <c r="B72" s="437">
        <v>3.27</v>
      </c>
      <c r="C72" s="47">
        <f>'Inverter Loading'!M54</f>
        <v>1.61</v>
      </c>
      <c r="D72" s="437">
        <f t="shared" si="5"/>
        <v>-1.66</v>
      </c>
      <c r="E72" s="47"/>
      <c r="F72" s="47">
        <v>-1</v>
      </c>
      <c r="H72" s="338">
        <v>3</v>
      </c>
    </row>
    <row r="73" spans="1:8">
      <c r="A73" s="317" t="s">
        <v>371</v>
      </c>
      <c r="B73" s="437">
        <v>0.25069999999999998</v>
      </c>
      <c r="C73" s="47">
        <f>'Inverter Loading'!M55</f>
        <v>0.69</v>
      </c>
      <c r="D73" s="437">
        <f t="shared" si="5"/>
        <v>0.43929999999999997</v>
      </c>
      <c r="E73" s="47"/>
      <c r="F73" s="47"/>
      <c r="H73" s="338">
        <v>0.23</v>
      </c>
    </row>
    <row r="74" spans="1:8">
      <c r="A74" s="317" t="s">
        <v>677</v>
      </c>
      <c r="B74" s="437">
        <v>0.25069999999999998</v>
      </c>
      <c r="C74" s="47" t="e">
        <f>'Inverter Loading'!#REF!</f>
        <v>#REF!</v>
      </c>
      <c r="D74" s="437">
        <v>0</v>
      </c>
      <c r="E74" s="47"/>
      <c r="F74" s="47"/>
      <c r="H74" s="338">
        <v>0.23</v>
      </c>
    </row>
    <row r="75" spans="1:8" s="13" customFormat="1">
      <c r="A75" s="48" t="s">
        <v>566</v>
      </c>
      <c r="B75" s="320">
        <f>SUM(B63:B73)</f>
        <v>20.3721</v>
      </c>
      <c r="C75" s="48" t="e">
        <f>SUM(C63:C73)</f>
        <v>#REF!</v>
      </c>
      <c r="D75" s="320">
        <v>-3</v>
      </c>
      <c r="E75" s="48"/>
      <c r="F75" s="48">
        <f>SUM(F63:F73)</f>
        <v>-3</v>
      </c>
    </row>
  </sheetData>
  <mergeCells count="5">
    <mergeCell ref="J2:L2"/>
    <mergeCell ref="B1:C1"/>
    <mergeCell ref="B22:C22"/>
    <mergeCell ref="B43:C43"/>
    <mergeCell ref="B61:C61"/>
  </mergeCells>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2:S115"/>
  <sheetViews>
    <sheetView workbookViewId="0">
      <selection activeCell="D21" sqref="D21"/>
    </sheetView>
  </sheetViews>
  <sheetFormatPr defaultColWidth="8.6640625" defaultRowHeight="10.15" outlineLevelCol="2"/>
  <cols>
    <col min="1" max="1" width="15.6640625" bestFit="1" customWidth="1"/>
    <col min="2" max="2" width="21.1640625" bestFit="1" customWidth="1"/>
    <col min="3" max="3" width="20.5" bestFit="1" customWidth="1"/>
    <col min="4" max="4" width="23.6640625" bestFit="1" customWidth="1"/>
    <col min="5" max="5" width="24" bestFit="1" customWidth="1"/>
    <col min="6" max="6" width="19.6640625" bestFit="1" customWidth="1"/>
    <col min="7" max="7" width="19.6640625" bestFit="1" customWidth="1" outlineLevel="1"/>
    <col min="8" max="8" width="21.1640625" bestFit="1" customWidth="1" outlineLevel="1"/>
    <col min="9" max="9" width="30" bestFit="1" customWidth="1" outlineLevel="1"/>
    <col min="10" max="11" width="18.6640625" bestFit="1" customWidth="1"/>
    <col min="12" max="12" width="11.1640625" bestFit="1" customWidth="1" outlineLevel="2"/>
    <col min="13" max="13" width="14" bestFit="1" customWidth="1" outlineLevel="2"/>
    <col min="14" max="14" width="8.6640625" bestFit="1" customWidth="1" outlineLevel="2"/>
    <col min="15" max="15" width="10.6640625" bestFit="1" customWidth="1" outlineLevel="2"/>
    <col min="16" max="16" width="9.6640625" bestFit="1" customWidth="1" outlineLevel="2"/>
    <col min="17" max="17" width="10" bestFit="1" customWidth="1" outlineLevel="2"/>
    <col min="18" max="18" width="19.1640625" bestFit="1" customWidth="1"/>
    <col min="19" max="19" width="19.6640625" bestFit="1" customWidth="1"/>
  </cols>
  <sheetData>
    <row r="2" spans="1:19">
      <c r="A2" s="13" t="str">
        <f>'Plant loading'!A2</f>
        <v>MTX</v>
      </c>
      <c r="B2" s="13" t="str">
        <f>'Plant loading'!B2</f>
        <v>Power Element Name</v>
      </c>
      <c r="C2" s="13" t="str">
        <f>'Plant loading'!C2</f>
        <v>Power Element Type</v>
      </c>
      <c r="D2" s="13" t="str">
        <f>'Plant loading'!D2</f>
        <v>Element Load (A) Jul 24</v>
      </c>
      <c r="E2" s="13" t="str">
        <f>'Plant loading'!E2</f>
        <v>Element Load (A) 18/08/24</v>
      </c>
      <c r="F2" s="13" t="str">
        <f>'Plant loading'!G2</f>
        <v>Total Running Site Load (kW)/(%)</v>
      </c>
      <c r="G2" s="13" t="str">
        <f>'Plant loading'!H2</f>
        <v>Number of Modules</v>
      </c>
      <c r="H2" s="13" t="str">
        <f>'Plant loading'!I2</f>
        <v>Module Capacity (kW)</v>
      </c>
      <c r="I2" s="13" t="str">
        <f>'Plant loading'!J2</f>
        <v>Power Element Capability (kW)</v>
      </c>
      <c r="J2" s="13" t="s">
        <v>1475</v>
      </c>
      <c r="K2" s="13" t="s">
        <v>1476</v>
      </c>
      <c r="L2" s="13" t="s">
        <v>1477</v>
      </c>
      <c r="M2" s="13" t="s">
        <v>1478</v>
      </c>
      <c r="N2" s="795" t="s">
        <v>1479</v>
      </c>
      <c r="O2" s="13" t="s">
        <v>1480</v>
      </c>
      <c r="P2" s="13" t="s">
        <v>1481</v>
      </c>
      <c r="Q2" s="13" t="s">
        <v>1482</v>
      </c>
      <c r="R2" s="13" t="s">
        <v>1483</v>
      </c>
      <c r="S2" s="13" t="s">
        <v>1484</v>
      </c>
    </row>
    <row r="4" spans="1:19">
      <c r="A4" t="str">
        <f>'Plant loading'!A4</f>
        <v>Acton</v>
      </c>
      <c r="B4" s="5" t="str">
        <f>'Plant loading'!B4</f>
        <v>PEAAN</v>
      </c>
      <c r="C4" s="5" t="str">
        <f>'Plant loading'!C4</f>
        <v>eSure</v>
      </c>
      <c r="D4" s="5">
        <f>'Plant loading'!D4</f>
        <v>631</v>
      </c>
      <c r="E4" s="5">
        <f>'Plant loading'!E4</f>
        <v>630</v>
      </c>
      <c r="F4" s="5">
        <f>'Plant loading'!G4</f>
        <v>170.91200000000001</v>
      </c>
      <c r="G4" s="5">
        <f>'Plant loading'!H4</f>
        <v>36</v>
      </c>
      <c r="H4" s="5">
        <v>3.5</v>
      </c>
      <c r="I4" s="5">
        <f>'Plant loading'!J4</f>
        <v>126</v>
      </c>
      <c r="J4" s="109">
        <f>D4/(G4*((H4*1000)/58))</f>
        <v>0.29046031746031747</v>
      </c>
      <c r="K4" s="109">
        <v>0.5</v>
      </c>
      <c r="L4" s="110">
        <f t="shared" ref="L4:L13" si="0">ROUNDDOWN((H4*1000/58),0)</f>
        <v>60</v>
      </c>
      <c r="M4" s="5">
        <f t="shared" ref="M4:M13" si="1">L4*K4</f>
        <v>30</v>
      </c>
      <c r="N4" s="5">
        <f t="shared" ref="N4:N13" si="2">ROUNDUP((E4/M4),0)</f>
        <v>21</v>
      </c>
      <c r="O4" s="5">
        <f t="shared" ref="O4:O13" si="3">N4*L4</f>
        <v>1260</v>
      </c>
      <c r="P4" s="10">
        <f t="shared" ref="P4:P13" si="4">O4-L4</f>
        <v>1200</v>
      </c>
      <c r="Q4" s="5">
        <f t="shared" ref="Q4:Q13" si="5">O4+(L4*K4)</f>
        <v>1290</v>
      </c>
      <c r="R4" s="5">
        <f t="shared" ref="R4:R13" si="6">ROUNDUP((P4-E4)/L4*100,0)</f>
        <v>950</v>
      </c>
      <c r="S4" s="5">
        <f t="shared" ref="S4:S13" si="7">ROUNDUP((Q4-E4)/(L4)*100,0)</f>
        <v>1100</v>
      </c>
    </row>
    <row r="5" spans="1:19">
      <c r="A5" t="str">
        <f>'Plant loading'!A5</f>
        <v>Acton</v>
      </c>
      <c r="B5" s="5" t="str">
        <f>'Plant loading'!B5</f>
        <v>PEBAN</v>
      </c>
      <c r="C5" s="5" t="str">
        <f>'Plant loading'!C5</f>
        <v>eSure</v>
      </c>
      <c r="D5" s="5">
        <f>'Plant loading'!D5</f>
        <v>606</v>
      </c>
      <c r="E5" s="5">
        <f>'Plant loading'!E5</f>
        <v>607</v>
      </c>
      <c r="F5" s="5">
        <f>'Plant loading'!G5</f>
        <v>0</v>
      </c>
      <c r="G5" s="5">
        <f>'Plant loading'!H5</f>
        <v>36</v>
      </c>
      <c r="H5" s="5">
        <f>'Plant loading'!I5</f>
        <v>3.5</v>
      </c>
      <c r="I5" s="5">
        <f>'Plant loading'!J5</f>
        <v>126</v>
      </c>
      <c r="J5" s="109">
        <f t="shared" ref="J5:J68" si="8">D5/(G5*((H5*1000)/58))</f>
        <v>0.27895238095238095</v>
      </c>
      <c r="K5" s="109">
        <v>0.5</v>
      </c>
      <c r="L5" s="110">
        <f t="shared" si="0"/>
        <v>60</v>
      </c>
      <c r="M5" s="5">
        <f t="shared" si="1"/>
        <v>30</v>
      </c>
      <c r="N5" s="5">
        <f t="shared" si="2"/>
        <v>21</v>
      </c>
      <c r="O5" s="5">
        <f t="shared" si="3"/>
        <v>1260</v>
      </c>
      <c r="P5" s="10">
        <f t="shared" si="4"/>
        <v>1200</v>
      </c>
      <c r="Q5" s="5">
        <f t="shared" si="5"/>
        <v>1290</v>
      </c>
      <c r="R5" s="5">
        <f t="shared" si="6"/>
        <v>989</v>
      </c>
      <c r="S5" s="5">
        <f t="shared" si="7"/>
        <v>1139</v>
      </c>
    </row>
    <row r="6" spans="1:19">
      <c r="A6" t="str">
        <f>'Plant loading'!A6</f>
        <v>Acton</v>
      </c>
      <c r="B6" s="5" t="str">
        <f>'Plant loading'!B6</f>
        <v>PECAN</v>
      </c>
      <c r="C6" s="5" t="str">
        <f>'Plant loading'!C6</f>
        <v>eSure</v>
      </c>
      <c r="D6" s="5">
        <f>'Plant loading'!D6</f>
        <v>466</v>
      </c>
      <c r="E6" s="5">
        <f>'Plant loading'!E6</f>
        <v>476</v>
      </c>
      <c r="F6" s="5">
        <f>'Plant loading'!G6</f>
        <v>0</v>
      </c>
      <c r="G6" s="5">
        <f>'Plant loading'!H6</f>
        <v>36</v>
      </c>
      <c r="H6" s="5">
        <f>'Plant loading'!I6</f>
        <v>3.5</v>
      </c>
      <c r="I6" s="5">
        <f>'Plant loading'!J6</f>
        <v>126</v>
      </c>
      <c r="J6" s="109">
        <f t="shared" si="8"/>
        <v>0.21450793650793651</v>
      </c>
      <c r="K6" s="109">
        <v>0.5</v>
      </c>
      <c r="L6" s="110">
        <f t="shared" si="0"/>
        <v>60</v>
      </c>
      <c r="M6" s="5">
        <f t="shared" si="1"/>
        <v>30</v>
      </c>
      <c r="N6" s="5">
        <f t="shared" si="2"/>
        <v>16</v>
      </c>
      <c r="O6" s="5">
        <f t="shared" si="3"/>
        <v>960</v>
      </c>
      <c r="P6" s="10">
        <f t="shared" si="4"/>
        <v>900</v>
      </c>
      <c r="Q6" s="5">
        <f t="shared" si="5"/>
        <v>990</v>
      </c>
      <c r="R6" s="5">
        <f t="shared" si="6"/>
        <v>707</v>
      </c>
      <c r="S6" s="5">
        <f t="shared" si="7"/>
        <v>857</v>
      </c>
    </row>
    <row r="7" spans="1:19">
      <c r="A7" t="str">
        <f>'Plant loading'!A7</f>
        <v>Acton</v>
      </c>
      <c r="B7" s="5" t="str">
        <f>'Plant loading'!B7</f>
        <v>PEFAN</v>
      </c>
      <c r="C7" s="5" t="str">
        <f>'Plant loading'!C7</f>
        <v>eSure</v>
      </c>
      <c r="D7" s="5">
        <f>'Plant loading'!D7</f>
        <v>696</v>
      </c>
      <c r="E7" s="5">
        <f>'Plant loading'!E7</f>
        <v>696</v>
      </c>
      <c r="F7" s="5">
        <f>'Plant loading'!G7</f>
        <v>0.54257777777777783</v>
      </c>
      <c r="G7" s="5">
        <f>'Plant loading'!H7</f>
        <v>36</v>
      </c>
      <c r="H7" s="5">
        <f>'Plant loading'!I7</f>
        <v>3.5</v>
      </c>
      <c r="I7" s="5">
        <f>'Plant loading'!J7</f>
        <v>126</v>
      </c>
      <c r="J7" s="109">
        <f t="shared" si="8"/>
        <v>0.32038095238095238</v>
      </c>
      <c r="K7" s="109">
        <v>0.5</v>
      </c>
      <c r="L7" s="110">
        <f t="shared" si="0"/>
        <v>60</v>
      </c>
      <c r="M7" s="5">
        <f t="shared" si="1"/>
        <v>30</v>
      </c>
      <c r="N7" s="5">
        <f t="shared" si="2"/>
        <v>24</v>
      </c>
      <c r="O7" s="5">
        <f t="shared" si="3"/>
        <v>1440</v>
      </c>
      <c r="P7" s="10">
        <f t="shared" si="4"/>
        <v>1380</v>
      </c>
      <c r="Q7" s="5">
        <f t="shared" si="5"/>
        <v>1470</v>
      </c>
      <c r="R7" s="5">
        <f t="shared" si="6"/>
        <v>1140</v>
      </c>
      <c r="S7" s="5">
        <f t="shared" si="7"/>
        <v>1290</v>
      </c>
    </row>
    <row r="8" spans="1:19">
      <c r="A8" t="str">
        <f>'Plant loading'!A8</f>
        <v>Acton</v>
      </c>
      <c r="B8" s="5" t="str">
        <f>'Plant loading'!B8</f>
        <v>PEGAN</v>
      </c>
      <c r="C8" s="5" t="str">
        <f>'Plant loading'!C8</f>
        <v>eSure</v>
      </c>
      <c r="D8" s="5">
        <f>'Plant loading'!D8</f>
        <v>743</v>
      </c>
      <c r="E8" s="5">
        <f>'Plant loading'!E8</f>
        <v>727</v>
      </c>
      <c r="F8" s="5">
        <f>'Plant loading'!G8</f>
        <v>0</v>
      </c>
      <c r="G8" s="5">
        <f>'Plant loading'!H8</f>
        <v>36</v>
      </c>
      <c r="H8" s="5">
        <f>'Plant loading'!I8</f>
        <v>3.5</v>
      </c>
      <c r="I8" s="5">
        <f>'Plant loading'!J8</f>
        <v>126</v>
      </c>
      <c r="J8" s="109">
        <f t="shared" si="8"/>
        <v>0.342015873015873</v>
      </c>
      <c r="K8" s="109">
        <v>0.5</v>
      </c>
      <c r="L8" s="110">
        <f t="shared" si="0"/>
        <v>60</v>
      </c>
      <c r="M8" s="5">
        <f t="shared" si="1"/>
        <v>30</v>
      </c>
      <c r="N8" s="5">
        <f t="shared" si="2"/>
        <v>25</v>
      </c>
      <c r="O8" s="5">
        <f t="shared" si="3"/>
        <v>1500</v>
      </c>
      <c r="P8" s="10">
        <f t="shared" si="4"/>
        <v>1440</v>
      </c>
      <c r="Q8" s="5">
        <f t="shared" si="5"/>
        <v>1530</v>
      </c>
      <c r="R8" s="5">
        <f t="shared" si="6"/>
        <v>1189</v>
      </c>
      <c r="S8" s="5">
        <f t="shared" si="7"/>
        <v>1339</v>
      </c>
    </row>
    <row r="9" spans="1:19">
      <c r="A9" t="str">
        <f>'Plant loading'!A9</f>
        <v>Basingstoke</v>
      </c>
      <c r="B9" s="5" t="str">
        <f>'Plant loading'!B9</f>
        <v>PEABE</v>
      </c>
      <c r="C9" s="5" t="str">
        <f>'Plant loading'!C9</f>
        <v>eSure</v>
      </c>
      <c r="D9" s="5">
        <f>'Plant loading'!D9</f>
        <v>806</v>
      </c>
      <c r="E9" s="5">
        <f>'Plant loading'!E9</f>
        <v>804</v>
      </c>
      <c r="F9" s="5">
        <f>'Plant loading'!G9</f>
        <v>386.95</v>
      </c>
      <c r="G9" s="5">
        <f>'Plant loading'!H9</f>
        <v>36</v>
      </c>
      <c r="H9" s="5">
        <f>'Plant loading'!I9</f>
        <v>3.5</v>
      </c>
      <c r="I9" s="5">
        <f>'Plant loading'!J9</f>
        <v>126</v>
      </c>
      <c r="J9" s="109">
        <f t="shared" si="8"/>
        <v>0.37101587301587302</v>
      </c>
      <c r="K9" s="109">
        <v>0.5</v>
      </c>
      <c r="L9" s="110">
        <f t="shared" si="0"/>
        <v>60</v>
      </c>
      <c r="M9" s="5">
        <f t="shared" si="1"/>
        <v>30</v>
      </c>
      <c r="N9" s="5">
        <f t="shared" si="2"/>
        <v>27</v>
      </c>
      <c r="O9" s="5">
        <f t="shared" si="3"/>
        <v>1620</v>
      </c>
      <c r="P9" s="10">
        <f t="shared" si="4"/>
        <v>1560</v>
      </c>
      <c r="Q9" s="5">
        <f t="shared" si="5"/>
        <v>1650</v>
      </c>
      <c r="R9" s="5">
        <f t="shared" si="6"/>
        <v>1260</v>
      </c>
      <c r="S9" s="5">
        <f t="shared" si="7"/>
        <v>1410</v>
      </c>
    </row>
    <row r="10" spans="1:19">
      <c r="A10" t="str">
        <f>'Plant loading'!A10</f>
        <v>Basingstoke</v>
      </c>
      <c r="B10" s="5" t="str">
        <f>'Plant loading'!B10</f>
        <v>PEBBE</v>
      </c>
      <c r="C10" s="5" t="str">
        <f>'Plant loading'!C10</f>
        <v>eSure</v>
      </c>
      <c r="D10" s="5">
        <f>'Plant loading'!D10</f>
        <v>913</v>
      </c>
      <c r="E10" s="5">
        <f>'Plant loading'!E10</f>
        <v>912</v>
      </c>
      <c r="F10" s="5">
        <f>'Plant loading'!G10</f>
        <v>0</v>
      </c>
      <c r="G10" s="5">
        <f>'Plant loading'!H10</f>
        <v>36</v>
      </c>
      <c r="H10" s="5">
        <f>'Plant loading'!I10</f>
        <v>3.5</v>
      </c>
      <c r="I10" s="5">
        <f>'Plant loading'!J10</f>
        <v>126</v>
      </c>
      <c r="J10" s="109">
        <f t="shared" si="8"/>
        <v>0.42026984126984124</v>
      </c>
      <c r="K10" s="109">
        <v>0.5</v>
      </c>
      <c r="L10" s="110">
        <f t="shared" si="0"/>
        <v>60</v>
      </c>
      <c r="M10" s="5">
        <f t="shared" si="1"/>
        <v>30</v>
      </c>
      <c r="N10" s="5">
        <f t="shared" si="2"/>
        <v>31</v>
      </c>
      <c r="O10" s="5">
        <f t="shared" si="3"/>
        <v>1860</v>
      </c>
      <c r="P10" s="10">
        <f t="shared" si="4"/>
        <v>1800</v>
      </c>
      <c r="Q10" s="5">
        <f t="shared" si="5"/>
        <v>1890</v>
      </c>
      <c r="R10" s="5">
        <f t="shared" si="6"/>
        <v>1480</v>
      </c>
      <c r="S10" s="5">
        <f t="shared" si="7"/>
        <v>1630</v>
      </c>
    </row>
    <row r="11" spans="1:19">
      <c r="A11" t="str">
        <f>'Plant loading'!A11</f>
        <v>Basingstoke</v>
      </c>
      <c r="B11" s="5" t="str">
        <f>'Plant loading'!B11</f>
        <v>PECBE</v>
      </c>
      <c r="C11" s="5" t="str">
        <f>'Plant loading'!C11</f>
        <v>eSure</v>
      </c>
      <c r="D11" s="5">
        <f>'Plant loading'!D11</f>
        <v>858</v>
      </c>
      <c r="E11" s="5">
        <f>'Plant loading'!E11</f>
        <v>858</v>
      </c>
      <c r="F11" s="5">
        <f>'Plant loading'!G11</f>
        <v>0</v>
      </c>
      <c r="G11" s="5">
        <f>'Plant loading'!H11</f>
        <v>36</v>
      </c>
      <c r="H11" s="5">
        <f>'Plant loading'!I11</f>
        <v>3.5</v>
      </c>
      <c r="I11" s="5">
        <f>'Plant loading'!J11</f>
        <v>126</v>
      </c>
      <c r="J11" s="109">
        <f t="shared" si="8"/>
        <v>0.39495238095238094</v>
      </c>
      <c r="K11" s="109">
        <v>0.5</v>
      </c>
      <c r="L11" s="110">
        <f t="shared" si="0"/>
        <v>60</v>
      </c>
      <c r="M11" s="5">
        <f t="shared" si="1"/>
        <v>30</v>
      </c>
      <c r="N11" s="5">
        <f t="shared" si="2"/>
        <v>29</v>
      </c>
      <c r="O11" s="5">
        <f t="shared" si="3"/>
        <v>1740</v>
      </c>
      <c r="P11" s="10">
        <f t="shared" si="4"/>
        <v>1680</v>
      </c>
      <c r="Q11" s="5">
        <f t="shared" si="5"/>
        <v>1770</v>
      </c>
      <c r="R11" s="5">
        <f t="shared" si="6"/>
        <v>1370</v>
      </c>
      <c r="S11" s="5">
        <f t="shared" si="7"/>
        <v>1520</v>
      </c>
    </row>
    <row r="12" spans="1:19">
      <c r="A12" t="str">
        <f>'Plant loading'!A12</f>
        <v>Basingstoke</v>
      </c>
      <c r="B12" s="5" t="str">
        <f>'Plant loading'!B12</f>
        <v>PEEBE</v>
      </c>
      <c r="C12" s="5" t="str">
        <f>'Plant loading'!C12</f>
        <v>eSure</v>
      </c>
      <c r="D12" s="5">
        <f>'Plant loading'!D12</f>
        <v>885</v>
      </c>
      <c r="E12" s="5">
        <f>'Plant loading'!E12</f>
        <v>890</v>
      </c>
      <c r="F12" s="5">
        <f>'Plant loading'!G12</f>
        <v>0</v>
      </c>
      <c r="G12" s="5">
        <f>'Plant loading'!H12</f>
        <v>36</v>
      </c>
      <c r="H12" s="5">
        <f>'Plant loading'!I12</f>
        <v>3.5</v>
      </c>
      <c r="I12" s="5">
        <f>'Plant loading'!J12</f>
        <v>126</v>
      </c>
      <c r="J12" s="109">
        <f t="shared" si="8"/>
        <v>0.40738095238095234</v>
      </c>
      <c r="K12" s="109">
        <v>0.5</v>
      </c>
      <c r="L12" s="110">
        <f t="shared" si="0"/>
        <v>60</v>
      </c>
      <c r="M12" s="5">
        <f t="shared" si="1"/>
        <v>30</v>
      </c>
      <c r="N12" s="5">
        <f t="shared" si="2"/>
        <v>30</v>
      </c>
      <c r="O12" s="5">
        <f t="shared" si="3"/>
        <v>1800</v>
      </c>
      <c r="P12" s="10">
        <f t="shared" si="4"/>
        <v>1740</v>
      </c>
      <c r="Q12" s="5">
        <f t="shared" si="5"/>
        <v>1830</v>
      </c>
      <c r="R12" s="5">
        <f t="shared" si="6"/>
        <v>1417</v>
      </c>
      <c r="S12" s="5">
        <f t="shared" si="7"/>
        <v>1567</v>
      </c>
    </row>
    <row r="13" spans="1:19">
      <c r="A13" t="str">
        <f>'Plant loading'!A13</f>
        <v>Basingstoke</v>
      </c>
      <c r="B13" s="5" t="str">
        <f>'Plant loading'!B13</f>
        <v>PEFBE</v>
      </c>
      <c r="C13" s="5" t="str">
        <f>'Plant loading'!C13</f>
        <v>eSure</v>
      </c>
      <c r="D13" s="5">
        <f>'Plant loading'!D13</f>
        <v>877</v>
      </c>
      <c r="E13" s="5">
        <f>'Plant loading'!E13</f>
        <v>875</v>
      </c>
      <c r="F13" s="5">
        <f>'Plant loading'!G13</f>
        <v>0.76775793650793644</v>
      </c>
      <c r="G13" s="5">
        <f>'Plant loading'!H13</f>
        <v>36</v>
      </c>
      <c r="H13" s="5">
        <f>'Plant loading'!I13</f>
        <v>3.5</v>
      </c>
      <c r="I13" s="5">
        <f>'Plant loading'!J13</f>
        <v>126</v>
      </c>
      <c r="J13" s="109">
        <f t="shared" si="8"/>
        <v>0.40369841269841267</v>
      </c>
      <c r="K13" s="109">
        <v>0.5</v>
      </c>
      <c r="L13" s="110">
        <f t="shared" si="0"/>
        <v>60</v>
      </c>
      <c r="M13" s="5">
        <f t="shared" si="1"/>
        <v>30</v>
      </c>
      <c r="N13" s="5">
        <f t="shared" si="2"/>
        <v>30</v>
      </c>
      <c r="O13" s="5">
        <f t="shared" si="3"/>
        <v>1800</v>
      </c>
      <c r="P13" s="10">
        <f t="shared" si="4"/>
        <v>1740</v>
      </c>
      <c r="Q13" s="5">
        <f t="shared" si="5"/>
        <v>1830</v>
      </c>
      <c r="R13" s="5">
        <f t="shared" si="6"/>
        <v>1442</v>
      </c>
      <c r="S13" s="5">
        <f t="shared" si="7"/>
        <v>1592</v>
      </c>
    </row>
    <row r="14" spans="1:19">
      <c r="A14" t="str">
        <f>'Plant loading'!A14</f>
        <v>Basingstoke</v>
      </c>
      <c r="B14" s="5" t="str">
        <f>'Plant loading'!B14</f>
        <v>PEGBE</v>
      </c>
      <c r="C14" s="5" t="str">
        <f>'Plant loading'!C14</f>
        <v>eSure</v>
      </c>
      <c r="D14" s="5">
        <f>'Plant loading'!D14</f>
        <v>950</v>
      </c>
      <c r="E14" s="5">
        <f>'Plant loading'!E14</f>
        <v>954</v>
      </c>
      <c r="F14" s="5">
        <f>'Plant loading'!G14</f>
        <v>0</v>
      </c>
      <c r="G14" s="5">
        <f>'Plant loading'!H14</f>
        <v>36</v>
      </c>
      <c r="H14" s="5">
        <f>'Plant loading'!I14</f>
        <v>3.5</v>
      </c>
      <c r="I14" s="5">
        <f>'Plant loading'!J14</f>
        <v>126</v>
      </c>
      <c r="J14" s="109">
        <f t="shared" si="8"/>
        <v>0.4373015873015873</v>
      </c>
      <c r="K14" s="109">
        <v>0.5</v>
      </c>
      <c r="L14" s="110">
        <f t="shared" ref="L14:L77" si="9">ROUNDDOWN((H14*1000/58),0)</f>
        <v>60</v>
      </c>
      <c r="M14" s="5">
        <f t="shared" ref="M14:M77" si="10">L14*K14</f>
        <v>30</v>
      </c>
      <c r="N14" s="5">
        <f t="shared" ref="N14:N77" si="11">ROUNDUP((E14/M14),0)</f>
        <v>32</v>
      </c>
      <c r="O14" s="5">
        <f t="shared" ref="O14:O77" si="12">N14*L14</f>
        <v>1920</v>
      </c>
      <c r="P14" s="10">
        <f t="shared" ref="P14:P77" si="13">O14-L14</f>
        <v>1860</v>
      </c>
      <c r="Q14" s="5">
        <f t="shared" ref="Q14:Q77" si="14">O14+(L14*K14)</f>
        <v>1950</v>
      </c>
      <c r="R14" s="5">
        <f t="shared" ref="R14:R77" si="15">ROUNDUP((P14-E14)/L14*100,0)</f>
        <v>1510</v>
      </c>
      <c r="S14" s="5">
        <f t="shared" ref="S14:S77" si="16">ROUNDUP((Q14-E14)/(L14)*100,0)</f>
        <v>1660</v>
      </c>
    </row>
    <row r="15" spans="1:19">
      <c r="A15" t="str">
        <f>'Plant loading'!A15</f>
        <v>Basingstoke</v>
      </c>
      <c r="B15" s="5" t="str">
        <f>'Plant loading'!B15</f>
        <v>PEHBE</v>
      </c>
      <c r="C15" s="5" t="str">
        <f>'Plant loading'!C15</f>
        <v>eSure</v>
      </c>
      <c r="D15" s="5">
        <f>'Plant loading'!D15</f>
        <v>876</v>
      </c>
      <c r="E15" s="5">
        <f>'Plant loading'!E15</f>
        <v>874</v>
      </c>
      <c r="F15" s="5">
        <f>'Plant loading'!G15</f>
        <v>0</v>
      </c>
      <c r="G15" s="5">
        <f>'Plant loading'!H15</f>
        <v>36</v>
      </c>
      <c r="H15" s="5">
        <f>'Plant loading'!I15</f>
        <v>3.5</v>
      </c>
      <c r="I15" s="5">
        <f>'Plant loading'!J15</f>
        <v>126</v>
      </c>
      <c r="J15" s="109">
        <f t="shared" si="8"/>
        <v>0.40323809523809523</v>
      </c>
      <c r="K15" s="109">
        <v>0.5</v>
      </c>
      <c r="L15" s="110">
        <f t="shared" si="9"/>
        <v>60</v>
      </c>
      <c r="M15" s="5">
        <f t="shared" si="10"/>
        <v>30</v>
      </c>
      <c r="N15" s="5">
        <f t="shared" si="11"/>
        <v>30</v>
      </c>
      <c r="O15" s="5">
        <f t="shared" si="12"/>
        <v>1800</v>
      </c>
      <c r="P15" s="10">
        <f t="shared" si="13"/>
        <v>1740</v>
      </c>
      <c r="Q15" s="5">
        <f t="shared" si="14"/>
        <v>1830</v>
      </c>
      <c r="R15" s="5">
        <f t="shared" si="15"/>
        <v>1444</v>
      </c>
      <c r="S15" s="5">
        <f t="shared" si="16"/>
        <v>1594</v>
      </c>
    </row>
    <row r="16" spans="1:19">
      <c r="A16" t="str">
        <f>'Plant loading'!A16</f>
        <v>Basingstoke</v>
      </c>
      <c r="B16" s="5" t="str">
        <f>'Plant loading'!B16</f>
        <v>PEIBE</v>
      </c>
      <c r="C16" s="5" t="str">
        <f>'Plant loading'!C16</f>
        <v>eSure</v>
      </c>
      <c r="D16" s="5">
        <f>'Plant loading'!D16</f>
        <v>934</v>
      </c>
      <c r="E16" s="5">
        <f>'Plant loading'!E16</f>
        <v>933</v>
      </c>
      <c r="F16" s="5">
        <f>'Plant loading'!G16</f>
        <v>0</v>
      </c>
      <c r="G16" s="5">
        <f>'Plant loading'!H16</f>
        <v>36</v>
      </c>
      <c r="H16" s="5">
        <f>'Plant loading'!I16</f>
        <v>3.5</v>
      </c>
      <c r="I16" s="5">
        <f>'Plant loading'!J16</f>
        <v>126</v>
      </c>
      <c r="J16" s="109">
        <f t="shared" si="8"/>
        <v>0.42993650793650789</v>
      </c>
      <c r="K16" s="109">
        <v>0.5</v>
      </c>
      <c r="L16" s="110">
        <f t="shared" si="9"/>
        <v>60</v>
      </c>
      <c r="M16" s="5">
        <f t="shared" si="10"/>
        <v>30</v>
      </c>
      <c r="N16" s="5">
        <f t="shared" si="11"/>
        <v>32</v>
      </c>
      <c r="O16" s="5">
        <f t="shared" si="12"/>
        <v>1920</v>
      </c>
      <c r="P16" s="10">
        <f t="shared" si="13"/>
        <v>1860</v>
      </c>
      <c r="Q16" s="5">
        <f t="shared" si="14"/>
        <v>1950</v>
      </c>
      <c r="R16" s="5">
        <f t="shared" si="15"/>
        <v>1545</v>
      </c>
      <c r="S16" s="5">
        <f t="shared" si="16"/>
        <v>1695</v>
      </c>
    </row>
    <row r="17" spans="1:19">
      <c r="A17" t="str">
        <f>'Plant loading'!A17</f>
        <v>Crawley</v>
      </c>
      <c r="B17" s="5" t="str">
        <f>'Plant loading'!B17</f>
        <v>PEACY</v>
      </c>
      <c r="C17" s="5" t="str">
        <f>'Plant loading'!C17</f>
        <v>eSure</v>
      </c>
      <c r="D17" s="5">
        <f>'Plant loading'!D17</f>
        <v>358</v>
      </c>
      <c r="E17" s="5">
        <f>'Plant loading'!E17</f>
        <v>363</v>
      </c>
      <c r="F17" s="5">
        <f>'Plant loading'!G17</f>
        <v>123.4425</v>
      </c>
      <c r="G17" s="5">
        <f>'Plant loading'!H17</f>
        <v>36</v>
      </c>
      <c r="H17" s="5">
        <f>'Plant loading'!I17</f>
        <v>3.5</v>
      </c>
      <c r="I17" s="5">
        <f>'Plant loading'!J17</f>
        <v>126</v>
      </c>
      <c r="J17" s="109">
        <f t="shared" si="8"/>
        <v>0.1647936507936508</v>
      </c>
      <c r="K17" s="109">
        <v>0.5</v>
      </c>
      <c r="L17" s="110">
        <f t="shared" si="9"/>
        <v>60</v>
      </c>
      <c r="M17" s="5">
        <f t="shared" si="10"/>
        <v>30</v>
      </c>
      <c r="N17" s="5">
        <f t="shared" si="11"/>
        <v>13</v>
      </c>
      <c r="O17" s="5">
        <f t="shared" si="12"/>
        <v>780</v>
      </c>
      <c r="P17" s="10">
        <f t="shared" si="13"/>
        <v>720</v>
      </c>
      <c r="Q17" s="5">
        <f t="shared" si="14"/>
        <v>810</v>
      </c>
      <c r="R17" s="5">
        <f t="shared" si="15"/>
        <v>595</v>
      </c>
      <c r="S17" s="5">
        <f t="shared" si="16"/>
        <v>745</v>
      </c>
    </row>
    <row r="18" spans="1:19">
      <c r="A18" t="str">
        <f>'Plant loading'!A18</f>
        <v>Crawley</v>
      </c>
      <c r="B18" s="5" t="str">
        <f>'Plant loading'!B18</f>
        <v>PEBCY</v>
      </c>
      <c r="C18" s="5" t="str">
        <f>'Plant loading'!C18</f>
        <v>eSure</v>
      </c>
      <c r="D18" s="5">
        <f>'Plant loading'!D18</f>
        <v>469</v>
      </c>
      <c r="E18" s="5">
        <f>'Plant loading'!E18</f>
        <v>482</v>
      </c>
      <c r="F18" s="5">
        <f>'Plant loading'!G18</f>
        <v>0</v>
      </c>
      <c r="G18" s="5">
        <f>'Plant loading'!H18</f>
        <v>36</v>
      </c>
      <c r="H18" s="5">
        <f>'Plant loading'!I18</f>
        <v>3.5</v>
      </c>
      <c r="I18" s="5">
        <f>'Plant loading'!J18</f>
        <v>126</v>
      </c>
      <c r="J18" s="109">
        <f t="shared" si="8"/>
        <v>0.21588888888888888</v>
      </c>
      <c r="K18" s="109">
        <v>0.5</v>
      </c>
      <c r="L18" s="110">
        <f t="shared" si="9"/>
        <v>60</v>
      </c>
      <c r="M18" s="5">
        <f t="shared" si="10"/>
        <v>30</v>
      </c>
      <c r="N18" s="5">
        <f t="shared" si="11"/>
        <v>17</v>
      </c>
      <c r="O18" s="5">
        <f t="shared" si="12"/>
        <v>1020</v>
      </c>
      <c r="P18" s="10">
        <f t="shared" si="13"/>
        <v>960</v>
      </c>
      <c r="Q18" s="5">
        <f t="shared" si="14"/>
        <v>1050</v>
      </c>
      <c r="R18" s="5">
        <f t="shared" si="15"/>
        <v>797</v>
      </c>
      <c r="S18" s="5">
        <f t="shared" si="16"/>
        <v>947</v>
      </c>
    </row>
    <row r="19" spans="1:19">
      <c r="A19" t="str">
        <f>'Plant loading'!A19</f>
        <v>Crawley</v>
      </c>
      <c r="B19" s="5" t="str">
        <f>'Plant loading'!B19</f>
        <v>PECCY</v>
      </c>
      <c r="C19" s="5" t="str">
        <f>'Plant loading'!C19</f>
        <v>eSure</v>
      </c>
      <c r="D19" s="5">
        <f>'Plant loading'!D19</f>
        <v>613</v>
      </c>
      <c r="E19" s="5">
        <f>'Plant loading'!E19</f>
        <v>618</v>
      </c>
      <c r="F19" s="5">
        <f>'Plant loading'!G19</f>
        <v>0</v>
      </c>
      <c r="G19" s="5">
        <f>'Plant loading'!H19</f>
        <v>36</v>
      </c>
      <c r="H19" s="5">
        <f>'Plant loading'!I19</f>
        <v>3.5</v>
      </c>
      <c r="I19" s="5">
        <f>'Plant loading'!J19</f>
        <v>126</v>
      </c>
      <c r="J19" s="109">
        <f t="shared" si="8"/>
        <v>0.28217460317460319</v>
      </c>
      <c r="K19" s="109">
        <v>0.5</v>
      </c>
      <c r="L19" s="110">
        <f t="shared" si="9"/>
        <v>60</v>
      </c>
      <c r="M19" s="5">
        <f t="shared" si="10"/>
        <v>30</v>
      </c>
      <c r="N19" s="5">
        <f t="shared" si="11"/>
        <v>21</v>
      </c>
      <c r="O19" s="5">
        <f t="shared" si="12"/>
        <v>1260</v>
      </c>
      <c r="P19" s="10">
        <f t="shared" si="13"/>
        <v>1200</v>
      </c>
      <c r="Q19" s="5">
        <f t="shared" si="14"/>
        <v>1290</v>
      </c>
      <c r="R19" s="5">
        <f t="shared" si="15"/>
        <v>970</v>
      </c>
      <c r="S19" s="5">
        <f t="shared" si="16"/>
        <v>1120</v>
      </c>
    </row>
    <row r="20" spans="1:19">
      <c r="A20" t="str">
        <f>'Plant loading'!A20</f>
        <v>Crawley</v>
      </c>
      <c r="B20" s="5" t="str">
        <f>'Plant loading'!B20</f>
        <v>PEDCY</v>
      </c>
      <c r="C20" s="5" t="str">
        <f>'Plant loading'!C20</f>
        <v>eSure</v>
      </c>
      <c r="D20" s="5">
        <f>'Plant loading'!D20</f>
        <v>475</v>
      </c>
      <c r="E20" s="5">
        <f>'Plant loading'!E20</f>
        <v>481</v>
      </c>
      <c r="F20" s="5">
        <f>'Plant loading'!G20</f>
        <v>0.39188095238095239</v>
      </c>
      <c r="G20" s="5">
        <f>'Plant loading'!H20</f>
        <v>36</v>
      </c>
      <c r="H20" s="5">
        <f>'Plant loading'!I20</f>
        <v>3.5</v>
      </c>
      <c r="I20" s="5">
        <f>'Plant loading'!J20</f>
        <v>126</v>
      </c>
      <c r="J20" s="109">
        <f t="shared" si="8"/>
        <v>0.21865079365079365</v>
      </c>
      <c r="K20" s="109">
        <v>0.5</v>
      </c>
      <c r="L20" s="110">
        <f t="shared" si="9"/>
        <v>60</v>
      </c>
      <c r="M20" s="5">
        <f t="shared" si="10"/>
        <v>30</v>
      </c>
      <c r="N20" s="5">
        <f t="shared" si="11"/>
        <v>17</v>
      </c>
      <c r="O20" s="5">
        <f t="shared" si="12"/>
        <v>1020</v>
      </c>
      <c r="P20" s="10">
        <f t="shared" si="13"/>
        <v>960</v>
      </c>
      <c r="Q20" s="5">
        <f t="shared" si="14"/>
        <v>1050</v>
      </c>
      <c r="R20" s="5">
        <f t="shared" si="15"/>
        <v>799</v>
      </c>
      <c r="S20" s="5">
        <f t="shared" si="16"/>
        <v>949</v>
      </c>
    </row>
    <row r="21" spans="1:19">
      <c r="A21" t="str">
        <f>'Plant loading'!A21</f>
        <v>Crawley</v>
      </c>
      <c r="B21" s="5" t="str">
        <f>'Plant loading'!B21</f>
        <v>PEECY</v>
      </c>
      <c r="C21" s="5" t="str">
        <f>'Plant loading'!C21</f>
        <v>eSure</v>
      </c>
      <c r="D21" s="5">
        <f>'Plant loading'!D21</f>
        <v>352</v>
      </c>
      <c r="E21" s="5">
        <f>'Plant loading'!E21</f>
        <v>321</v>
      </c>
      <c r="F21" s="5">
        <f>'Plant loading'!G21</f>
        <v>0</v>
      </c>
      <c r="G21" s="5">
        <f>'Plant loading'!H21</f>
        <v>36</v>
      </c>
      <c r="H21" s="5">
        <f>'Plant loading'!I21</f>
        <v>3.5</v>
      </c>
      <c r="I21" s="5">
        <f>'Plant loading'!J21</f>
        <v>126</v>
      </c>
      <c r="J21" s="109">
        <f t="shared" si="8"/>
        <v>0.16203174603174603</v>
      </c>
      <c r="K21" s="109">
        <v>0.5</v>
      </c>
      <c r="L21" s="110">
        <f t="shared" si="9"/>
        <v>60</v>
      </c>
      <c r="M21" s="5">
        <f t="shared" si="10"/>
        <v>30</v>
      </c>
      <c r="N21" s="5">
        <f t="shared" si="11"/>
        <v>11</v>
      </c>
      <c r="O21" s="5">
        <f t="shared" si="12"/>
        <v>660</v>
      </c>
      <c r="P21" s="10">
        <f t="shared" si="13"/>
        <v>600</v>
      </c>
      <c r="Q21" s="5">
        <f t="shared" si="14"/>
        <v>690</v>
      </c>
      <c r="R21" s="5">
        <f t="shared" si="15"/>
        <v>465</v>
      </c>
      <c r="S21" s="5">
        <f t="shared" si="16"/>
        <v>615</v>
      </c>
    </row>
    <row r="22" spans="1:19">
      <c r="A22" t="str">
        <f>'Plant loading'!A22</f>
        <v>Edinburgh</v>
      </c>
      <c r="B22" s="5" t="str">
        <f>'Plant loading'!B22</f>
        <v>PECEH</v>
      </c>
      <c r="C22" s="5" t="str">
        <f>'Plant loading'!C22</f>
        <v>eSure</v>
      </c>
      <c r="D22" s="5">
        <f>'Plant loading'!D22</f>
        <v>835</v>
      </c>
      <c r="E22" s="5">
        <f>'Plant loading'!E22</f>
        <v>834</v>
      </c>
      <c r="F22" s="5">
        <f>'Plant loading'!G22</f>
        <v>288.14150000000001</v>
      </c>
      <c r="G22" s="5">
        <f>'Plant loading'!H22</f>
        <v>36</v>
      </c>
      <c r="H22" s="5">
        <f>'Plant loading'!I22</f>
        <v>3.5</v>
      </c>
      <c r="I22" s="5">
        <f>'Plant loading'!J22</f>
        <v>126</v>
      </c>
      <c r="J22" s="109">
        <f t="shared" si="8"/>
        <v>0.38436507936507935</v>
      </c>
      <c r="K22" s="109">
        <v>0.5</v>
      </c>
      <c r="L22" s="110">
        <f t="shared" si="9"/>
        <v>60</v>
      </c>
      <c r="M22" s="5">
        <f t="shared" si="10"/>
        <v>30</v>
      </c>
      <c r="N22" s="5">
        <f t="shared" si="11"/>
        <v>28</v>
      </c>
      <c r="O22" s="5">
        <f t="shared" si="12"/>
        <v>1680</v>
      </c>
      <c r="P22" s="10">
        <f t="shared" si="13"/>
        <v>1620</v>
      </c>
      <c r="Q22" s="5">
        <f t="shared" si="14"/>
        <v>1710</v>
      </c>
      <c r="R22" s="5">
        <f t="shared" si="15"/>
        <v>1310</v>
      </c>
      <c r="S22" s="5">
        <f t="shared" si="16"/>
        <v>1460</v>
      </c>
    </row>
    <row r="23" spans="1:19">
      <c r="A23" t="str">
        <f>'Plant loading'!A23</f>
        <v>Edinburgh</v>
      </c>
      <c r="B23" s="5" t="str">
        <f>'Plant loading'!B23</f>
        <v>PEDEH</v>
      </c>
      <c r="C23" s="5" t="str">
        <f>'Plant loading'!C23</f>
        <v>eSure</v>
      </c>
      <c r="D23" s="5">
        <f>'Plant loading'!D23</f>
        <v>921</v>
      </c>
      <c r="E23" s="5">
        <f>'Plant loading'!E23</f>
        <v>920</v>
      </c>
      <c r="F23" s="5">
        <f>'Plant loading'!G23</f>
        <v>0</v>
      </c>
      <c r="G23" s="5">
        <f>'Plant loading'!H23</f>
        <v>36</v>
      </c>
      <c r="H23" s="5">
        <f>'Plant loading'!I23</f>
        <v>3.5</v>
      </c>
      <c r="I23" s="5">
        <f>'Plant loading'!J23</f>
        <v>126</v>
      </c>
      <c r="J23" s="109">
        <f t="shared" si="8"/>
        <v>0.42395238095238091</v>
      </c>
      <c r="K23" s="109">
        <v>0.5</v>
      </c>
      <c r="L23" s="110">
        <f t="shared" si="9"/>
        <v>60</v>
      </c>
      <c r="M23" s="5">
        <f t="shared" si="10"/>
        <v>30</v>
      </c>
      <c r="N23" s="5">
        <f t="shared" si="11"/>
        <v>31</v>
      </c>
      <c r="O23" s="5">
        <f t="shared" si="12"/>
        <v>1860</v>
      </c>
      <c r="P23" s="10">
        <f t="shared" si="13"/>
        <v>1800</v>
      </c>
      <c r="Q23" s="5">
        <f t="shared" si="14"/>
        <v>1890</v>
      </c>
      <c r="R23" s="5">
        <f t="shared" si="15"/>
        <v>1467</v>
      </c>
      <c r="S23" s="5">
        <f t="shared" si="16"/>
        <v>1617</v>
      </c>
    </row>
    <row r="24" spans="1:19">
      <c r="A24" t="str">
        <f>'Plant loading'!A24</f>
        <v>Edinburgh</v>
      </c>
      <c r="B24" s="5" t="str">
        <f>'Plant loading'!B24</f>
        <v>PEEEH</v>
      </c>
      <c r="C24" s="5" t="str">
        <f>'Plant loading'!C24</f>
        <v>eSure</v>
      </c>
      <c r="D24" s="5">
        <f>'Plant loading'!D24</f>
        <v>878</v>
      </c>
      <c r="E24" s="5">
        <f>'Plant loading'!E24</f>
        <v>880</v>
      </c>
      <c r="F24" s="5">
        <f>'Plant loading'!G24</f>
        <v>0</v>
      </c>
      <c r="G24" s="5">
        <f>'Plant loading'!H24</f>
        <v>36</v>
      </c>
      <c r="H24" s="5">
        <f>'Plant loading'!I24</f>
        <v>3.5</v>
      </c>
      <c r="I24" s="5">
        <f>'Plant loading'!J24</f>
        <v>126</v>
      </c>
      <c r="J24" s="109">
        <f t="shared" si="8"/>
        <v>0.40415873015873016</v>
      </c>
      <c r="K24" s="109">
        <v>0.5</v>
      </c>
      <c r="L24" s="110">
        <f t="shared" si="9"/>
        <v>60</v>
      </c>
      <c r="M24" s="5">
        <f t="shared" si="10"/>
        <v>30</v>
      </c>
      <c r="N24" s="5">
        <f t="shared" si="11"/>
        <v>30</v>
      </c>
      <c r="O24" s="5">
        <f t="shared" si="12"/>
        <v>1800</v>
      </c>
      <c r="P24" s="10">
        <f t="shared" si="13"/>
        <v>1740</v>
      </c>
      <c r="Q24" s="5">
        <f t="shared" si="14"/>
        <v>1830</v>
      </c>
      <c r="R24" s="5">
        <f t="shared" si="15"/>
        <v>1434</v>
      </c>
      <c r="S24" s="5">
        <f t="shared" si="16"/>
        <v>1584</v>
      </c>
    </row>
    <row r="25" spans="1:19">
      <c r="A25" t="str">
        <f>'Plant loading'!A25</f>
        <v>Edinburgh</v>
      </c>
      <c r="B25" s="5" t="str">
        <f>'Plant loading'!B25</f>
        <v>PEFEH</v>
      </c>
      <c r="C25" s="5" t="str">
        <f>'Plant loading'!C25</f>
        <v>eSure</v>
      </c>
      <c r="D25" s="5">
        <f>'Plant loading'!D25</f>
        <v>836</v>
      </c>
      <c r="E25" s="5">
        <f>'Plant loading'!E25</f>
        <v>836</v>
      </c>
      <c r="F25" s="5">
        <f>'Plant loading'!G25</f>
        <v>0.76227910052910053</v>
      </c>
      <c r="G25" s="5">
        <f>'Plant loading'!H25</f>
        <v>36</v>
      </c>
      <c r="H25" s="5">
        <f>'Plant loading'!I25</f>
        <v>3.5</v>
      </c>
      <c r="I25" s="5">
        <f>'Plant loading'!J25</f>
        <v>126</v>
      </c>
      <c r="J25" s="109">
        <f t="shared" si="8"/>
        <v>0.38482539682539679</v>
      </c>
      <c r="K25" s="109">
        <v>0.5</v>
      </c>
      <c r="L25" s="110">
        <f t="shared" si="9"/>
        <v>60</v>
      </c>
      <c r="M25" s="5">
        <f t="shared" si="10"/>
        <v>30</v>
      </c>
      <c r="N25" s="5">
        <f t="shared" si="11"/>
        <v>28</v>
      </c>
      <c r="O25" s="5">
        <f t="shared" si="12"/>
        <v>1680</v>
      </c>
      <c r="P25" s="10">
        <f t="shared" si="13"/>
        <v>1620</v>
      </c>
      <c r="Q25" s="5">
        <f t="shared" si="14"/>
        <v>1710</v>
      </c>
      <c r="R25" s="5">
        <f t="shared" si="15"/>
        <v>1307</v>
      </c>
      <c r="S25" s="5">
        <f t="shared" si="16"/>
        <v>1457</v>
      </c>
    </row>
    <row r="26" spans="1:19">
      <c r="A26" t="str">
        <f>'Plant loading'!A26</f>
        <v>Edinburgh</v>
      </c>
      <c r="B26" s="5" t="str">
        <f>'Plant loading'!B26</f>
        <v>PEGEH</v>
      </c>
      <c r="C26" s="5" t="str">
        <f>'Plant loading'!C26</f>
        <v>eSure</v>
      </c>
      <c r="D26" s="5">
        <f>'Plant loading'!D26</f>
        <v>932</v>
      </c>
      <c r="E26" s="5">
        <f>'Plant loading'!E26</f>
        <v>930</v>
      </c>
      <c r="F26" s="5">
        <f>'Plant loading'!G26</f>
        <v>0</v>
      </c>
      <c r="G26" s="5">
        <f>'Plant loading'!H26</f>
        <v>36</v>
      </c>
      <c r="H26" s="5">
        <f>'Plant loading'!I26</f>
        <v>3.5</v>
      </c>
      <c r="I26" s="5">
        <f>'Plant loading'!J26</f>
        <v>126</v>
      </c>
      <c r="J26" s="109">
        <f t="shared" si="8"/>
        <v>0.42901587301587302</v>
      </c>
      <c r="K26" s="109">
        <v>0.5</v>
      </c>
      <c r="L26" s="110">
        <f t="shared" si="9"/>
        <v>60</v>
      </c>
      <c r="M26" s="5">
        <f t="shared" si="10"/>
        <v>30</v>
      </c>
      <c r="N26" s="5">
        <f t="shared" si="11"/>
        <v>31</v>
      </c>
      <c r="O26" s="5">
        <f t="shared" si="12"/>
        <v>1860</v>
      </c>
      <c r="P26" s="10">
        <f t="shared" si="13"/>
        <v>1800</v>
      </c>
      <c r="Q26" s="5">
        <f t="shared" si="14"/>
        <v>1890</v>
      </c>
      <c r="R26" s="5">
        <f t="shared" si="15"/>
        <v>1450</v>
      </c>
      <c r="S26" s="5">
        <f t="shared" si="16"/>
        <v>1600</v>
      </c>
    </row>
    <row r="27" spans="1:19">
      <c r="A27" t="str">
        <f>'Plant loading'!A29</f>
        <v>Esher</v>
      </c>
      <c r="B27" s="5" t="str">
        <f>'Plant loading'!B29</f>
        <v>PEEER</v>
      </c>
      <c r="C27" s="5" t="str">
        <f>'Plant loading'!C29</f>
        <v>eSure</v>
      </c>
      <c r="D27" s="5">
        <f>'Plant loading'!D29</f>
        <v>343</v>
      </c>
      <c r="E27" s="5">
        <f>'Plant loading'!E29</f>
        <v>340</v>
      </c>
      <c r="F27" s="5">
        <f>'Plant loading'!G29</f>
        <v>0</v>
      </c>
      <c r="G27" s="5">
        <f>'Plant loading'!H29</f>
        <v>36</v>
      </c>
      <c r="H27" s="5">
        <f>'Plant loading'!I29</f>
        <v>3.5</v>
      </c>
      <c r="I27" s="5">
        <f>'Plant loading'!J29</f>
        <v>126</v>
      </c>
      <c r="J27" s="109">
        <f t="shared" si="8"/>
        <v>0.15788888888888888</v>
      </c>
      <c r="K27" s="109">
        <v>0.5</v>
      </c>
      <c r="L27" s="110">
        <f t="shared" si="9"/>
        <v>60</v>
      </c>
      <c r="M27" s="5">
        <f t="shared" si="10"/>
        <v>30</v>
      </c>
      <c r="N27" s="5">
        <f t="shared" si="11"/>
        <v>12</v>
      </c>
      <c r="O27" s="5">
        <f t="shared" si="12"/>
        <v>720</v>
      </c>
      <c r="P27" s="10">
        <f t="shared" si="13"/>
        <v>660</v>
      </c>
      <c r="Q27" s="5">
        <f t="shared" si="14"/>
        <v>750</v>
      </c>
      <c r="R27" s="5">
        <f t="shared" si="15"/>
        <v>534</v>
      </c>
      <c r="S27" s="5">
        <f t="shared" si="16"/>
        <v>684</v>
      </c>
    </row>
    <row r="28" spans="1:19">
      <c r="A28" t="str">
        <f>'Plant loading'!A30</f>
        <v>Esher</v>
      </c>
      <c r="B28" s="5" t="str">
        <f>'Plant loading'!B30</f>
        <v>PEFER</v>
      </c>
      <c r="C28" s="5" t="str">
        <f>'Plant loading'!C30</f>
        <v>eSure</v>
      </c>
      <c r="D28" s="5">
        <f>'Plant loading'!D30</f>
        <v>440</v>
      </c>
      <c r="E28" s="5">
        <f>'Plant loading'!E30</f>
        <v>437</v>
      </c>
      <c r="F28" s="5">
        <f>'Plant loading'!G30</f>
        <v>0.32786507936507936</v>
      </c>
      <c r="G28" s="5">
        <f>'Plant loading'!H30</f>
        <v>36</v>
      </c>
      <c r="H28" s="5">
        <f>'Plant loading'!I30</f>
        <v>3.5</v>
      </c>
      <c r="I28" s="5">
        <f>'Plant loading'!J30</f>
        <v>126</v>
      </c>
      <c r="J28" s="109">
        <f t="shared" si="8"/>
        <v>0.20253968253968252</v>
      </c>
      <c r="K28" s="109">
        <v>0.5</v>
      </c>
      <c r="L28" s="110">
        <f t="shared" si="9"/>
        <v>60</v>
      </c>
      <c r="M28" s="5">
        <f t="shared" si="10"/>
        <v>30</v>
      </c>
      <c r="N28" s="5">
        <f t="shared" si="11"/>
        <v>15</v>
      </c>
      <c r="O28" s="5">
        <f t="shared" si="12"/>
        <v>900</v>
      </c>
      <c r="P28" s="10">
        <f t="shared" si="13"/>
        <v>840</v>
      </c>
      <c r="Q28" s="5">
        <f t="shared" si="14"/>
        <v>930</v>
      </c>
      <c r="R28" s="5">
        <f t="shared" si="15"/>
        <v>672</v>
      </c>
      <c r="S28" s="5">
        <f t="shared" si="16"/>
        <v>822</v>
      </c>
    </row>
    <row r="29" spans="1:19">
      <c r="A29" t="str">
        <f>'Plant loading'!A31</f>
        <v>Esher</v>
      </c>
      <c r="B29" s="5" t="str">
        <f>'Plant loading'!B31</f>
        <v>PEGER</v>
      </c>
      <c r="C29" s="5" t="str">
        <f>'Plant loading'!C31</f>
        <v>eSure</v>
      </c>
      <c r="D29" s="5">
        <f>'Plant loading'!D31</f>
        <v>316</v>
      </c>
      <c r="E29" s="5">
        <f>'Plant loading'!E31</f>
        <v>315</v>
      </c>
      <c r="F29" s="5">
        <f>'Plant loading'!G31</f>
        <v>0</v>
      </c>
      <c r="G29" s="5">
        <f>'Plant loading'!H31</f>
        <v>36</v>
      </c>
      <c r="H29" s="5">
        <f>'Plant loading'!I31</f>
        <v>3.5</v>
      </c>
      <c r="I29" s="5">
        <f>'Plant loading'!J31</f>
        <v>126</v>
      </c>
      <c r="J29" s="109">
        <f t="shared" si="8"/>
        <v>0.14546031746031746</v>
      </c>
      <c r="K29" s="109">
        <v>0.5</v>
      </c>
      <c r="L29" s="110">
        <f t="shared" si="9"/>
        <v>60</v>
      </c>
      <c r="M29" s="5">
        <f t="shared" si="10"/>
        <v>30</v>
      </c>
      <c r="N29" s="5">
        <f t="shared" si="11"/>
        <v>11</v>
      </c>
      <c r="O29" s="5">
        <f t="shared" si="12"/>
        <v>660</v>
      </c>
      <c r="P29" s="10">
        <f t="shared" si="13"/>
        <v>600</v>
      </c>
      <c r="Q29" s="5">
        <f t="shared" si="14"/>
        <v>690</v>
      </c>
      <c r="R29" s="5">
        <f t="shared" si="15"/>
        <v>475</v>
      </c>
      <c r="S29" s="5">
        <f t="shared" si="16"/>
        <v>625</v>
      </c>
    </row>
    <row r="30" spans="1:19">
      <c r="A30" t="str">
        <f>'Plant loading'!A32</f>
        <v>Gloucester</v>
      </c>
      <c r="B30" s="5" t="str">
        <f>'Plant loading'!B32</f>
        <v>PEAGR</v>
      </c>
      <c r="C30" s="5" t="str">
        <f>'Plant loading'!C32</f>
        <v>eSure</v>
      </c>
      <c r="D30" s="5">
        <f>'Plant loading'!D32</f>
        <v>663</v>
      </c>
      <c r="E30" s="5">
        <f>'Plant loading'!E32</f>
        <v>664</v>
      </c>
      <c r="F30" s="5">
        <f>'Plant loading'!G32</f>
        <v>274.84350000000001</v>
      </c>
      <c r="G30" s="5">
        <f>'Plant loading'!H32</f>
        <v>36</v>
      </c>
      <c r="H30" s="5">
        <f>'Plant loading'!I32</f>
        <v>3.5</v>
      </c>
      <c r="I30" s="5">
        <f>'Plant loading'!J32</f>
        <v>126</v>
      </c>
      <c r="J30" s="109">
        <f t="shared" si="8"/>
        <v>0.30519047619047618</v>
      </c>
      <c r="K30" s="109">
        <v>0.5</v>
      </c>
      <c r="L30" s="110">
        <f t="shared" si="9"/>
        <v>60</v>
      </c>
      <c r="M30" s="5">
        <f t="shared" si="10"/>
        <v>30</v>
      </c>
      <c r="N30" s="5">
        <f t="shared" si="11"/>
        <v>23</v>
      </c>
      <c r="O30" s="5">
        <f t="shared" si="12"/>
        <v>1380</v>
      </c>
      <c r="P30" s="10">
        <f t="shared" si="13"/>
        <v>1320</v>
      </c>
      <c r="Q30" s="5">
        <f t="shared" si="14"/>
        <v>1410</v>
      </c>
      <c r="R30" s="5">
        <f t="shared" si="15"/>
        <v>1094</v>
      </c>
      <c r="S30" s="5">
        <f t="shared" si="16"/>
        <v>1244</v>
      </c>
    </row>
    <row r="31" spans="1:19">
      <c r="A31" t="str">
        <f>'Plant loading'!A33</f>
        <v>Gloucester</v>
      </c>
      <c r="B31" s="5" t="str">
        <f>'Plant loading'!B33</f>
        <v>PEBGR</v>
      </c>
      <c r="C31" s="5" t="str">
        <f>'Plant loading'!C33</f>
        <v>eSure</v>
      </c>
      <c r="D31" s="5">
        <f>'Plant loading'!D33</f>
        <v>811</v>
      </c>
      <c r="E31" s="5">
        <f>'Plant loading'!E33</f>
        <v>811</v>
      </c>
      <c r="F31" s="5">
        <f>'Plant loading'!G33</f>
        <v>0</v>
      </c>
      <c r="G31" s="5">
        <f>'Plant loading'!H33</f>
        <v>36</v>
      </c>
      <c r="H31" s="5">
        <f>'Plant loading'!I33</f>
        <v>3.5</v>
      </c>
      <c r="I31" s="5">
        <f>'Plant loading'!J33</f>
        <v>126</v>
      </c>
      <c r="J31" s="109">
        <f t="shared" si="8"/>
        <v>0.37331746031746033</v>
      </c>
      <c r="K31" s="109">
        <v>0.5</v>
      </c>
      <c r="L31" s="110">
        <f t="shared" si="9"/>
        <v>60</v>
      </c>
      <c r="M31" s="5">
        <f t="shared" si="10"/>
        <v>30</v>
      </c>
      <c r="N31" s="5">
        <f t="shared" si="11"/>
        <v>28</v>
      </c>
      <c r="O31" s="5">
        <f t="shared" si="12"/>
        <v>1680</v>
      </c>
      <c r="P31" s="10">
        <f t="shared" si="13"/>
        <v>1620</v>
      </c>
      <c r="Q31" s="5">
        <f t="shared" si="14"/>
        <v>1710</v>
      </c>
      <c r="R31" s="5">
        <f t="shared" si="15"/>
        <v>1349</v>
      </c>
      <c r="S31" s="5">
        <f t="shared" si="16"/>
        <v>1499</v>
      </c>
    </row>
    <row r="32" spans="1:19">
      <c r="A32" t="str">
        <f>'Plant loading'!A34</f>
        <v>Gloucester</v>
      </c>
      <c r="B32" s="5" t="str">
        <f>'Plant loading'!B34</f>
        <v>PECGR</v>
      </c>
      <c r="C32" s="5" t="str">
        <f>'Plant loading'!C34</f>
        <v>eSure</v>
      </c>
      <c r="D32" s="5">
        <f>'Plant loading'!D34</f>
        <v>766</v>
      </c>
      <c r="E32" s="5">
        <f>'Plant loading'!E34</f>
        <v>764</v>
      </c>
      <c r="F32" s="5">
        <f>'Plant loading'!G34</f>
        <v>0</v>
      </c>
      <c r="G32" s="5">
        <f>'Plant loading'!H34</f>
        <v>36</v>
      </c>
      <c r="H32" s="5">
        <f>'Plant loading'!I34</f>
        <v>3.5</v>
      </c>
      <c r="I32" s="5">
        <f>'Plant loading'!J34</f>
        <v>126</v>
      </c>
      <c r="J32" s="109">
        <f t="shared" si="8"/>
        <v>0.35260317460317459</v>
      </c>
      <c r="K32" s="109">
        <v>0.5</v>
      </c>
      <c r="L32" s="110">
        <f t="shared" si="9"/>
        <v>60</v>
      </c>
      <c r="M32" s="5">
        <f t="shared" si="10"/>
        <v>30</v>
      </c>
      <c r="N32" s="5">
        <f t="shared" si="11"/>
        <v>26</v>
      </c>
      <c r="O32" s="5">
        <f t="shared" si="12"/>
        <v>1560</v>
      </c>
      <c r="P32" s="10">
        <f t="shared" si="13"/>
        <v>1500</v>
      </c>
      <c r="Q32" s="5">
        <f t="shared" si="14"/>
        <v>1590</v>
      </c>
      <c r="R32" s="5">
        <f t="shared" si="15"/>
        <v>1227</v>
      </c>
      <c r="S32" s="5">
        <f t="shared" si="16"/>
        <v>1377</v>
      </c>
    </row>
    <row r="33" spans="1:19">
      <c r="A33" t="str">
        <f>'Plant loading'!A35</f>
        <v>Gloucester</v>
      </c>
      <c r="B33" s="5" t="str">
        <f>'Plant loading'!B35</f>
        <v>PEDGR</v>
      </c>
      <c r="C33" s="5" t="str">
        <f>'Plant loading'!C35</f>
        <v>eSure</v>
      </c>
      <c r="D33" s="5">
        <f>'Plant loading'!D35</f>
        <v>745</v>
      </c>
      <c r="E33" s="5">
        <f>'Plant loading'!E35</f>
        <v>744</v>
      </c>
      <c r="F33" s="5">
        <f>'Plant loading'!G35</f>
        <v>0.5910612903225807</v>
      </c>
      <c r="G33" s="5">
        <f>'Plant loading'!H35</f>
        <v>36</v>
      </c>
      <c r="H33" s="5">
        <f>'Plant loading'!I35</f>
        <v>3.5</v>
      </c>
      <c r="I33" s="5">
        <f>'Plant loading'!J35</f>
        <v>126</v>
      </c>
      <c r="J33" s="109">
        <f t="shared" si="8"/>
        <v>0.34293650793650793</v>
      </c>
      <c r="K33" s="109">
        <v>0.5</v>
      </c>
      <c r="L33" s="110">
        <f t="shared" si="9"/>
        <v>60</v>
      </c>
      <c r="M33" s="5">
        <f t="shared" si="10"/>
        <v>30</v>
      </c>
      <c r="N33" s="5">
        <f t="shared" si="11"/>
        <v>25</v>
      </c>
      <c r="O33" s="5">
        <f t="shared" si="12"/>
        <v>1500</v>
      </c>
      <c r="P33" s="10">
        <f t="shared" si="13"/>
        <v>1440</v>
      </c>
      <c r="Q33" s="5">
        <f t="shared" si="14"/>
        <v>1530</v>
      </c>
      <c r="R33" s="5">
        <f t="shared" si="15"/>
        <v>1160</v>
      </c>
      <c r="S33" s="5">
        <f t="shared" si="16"/>
        <v>1310</v>
      </c>
    </row>
    <row r="34" spans="1:19">
      <c r="A34" t="str">
        <f>'Plant loading'!A36</f>
        <v>Gloucester</v>
      </c>
      <c r="B34" s="5" t="str">
        <f>'Plant loading'!B36</f>
        <v>PEEGR</v>
      </c>
      <c r="C34" s="5" t="str">
        <f>'Plant loading'!C36</f>
        <v>eSure</v>
      </c>
      <c r="D34" s="5">
        <f>'Plant loading'!D36</f>
        <v>721</v>
      </c>
      <c r="E34" s="5">
        <f>'Plant loading'!E36</f>
        <v>724</v>
      </c>
      <c r="F34" s="5">
        <f>'Plant loading'!G36</f>
        <v>0</v>
      </c>
      <c r="G34" s="5">
        <f>'Plant loading'!H36</f>
        <v>36</v>
      </c>
      <c r="H34" s="5">
        <f>'Plant loading'!I36</f>
        <v>3.5</v>
      </c>
      <c r="I34" s="5">
        <f>'Plant loading'!J36</f>
        <v>126</v>
      </c>
      <c r="J34" s="109">
        <f t="shared" si="8"/>
        <v>0.3318888888888889</v>
      </c>
      <c r="K34" s="109">
        <v>0.5</v>
      </c>
      <c r="L34" s="110">
        <f t="shared" si="9"/>
        <v>60</v>
      </c>
      <c r="M34" s="5">
        <f t="shared" si="10"/>
        <v>30</v>
      </c>
      <c r="N34" s="5">
        <f t="shared" si="11"/>
        <v>25</v>
      </c>
      <c r="O34" s="5">
        <f t="shared" si="12"/>
        <v>1500</v>
      </c>
      <c r="P34" s="10">
        <f t="shared" si="13"/>
        <v>1440</v>
      </c>
      <c r="Q34" s="5">
        <f t="shared" si="14"/>
        <v>1530</v>
      </c>
      <c r="R34" s="5">
        <f t="shared" si="15"/>
        <v>1194</v>
      </c>
      <c r="S34" s="5">
        <f t="shared" si="16"/>
        <v>1344</v>
      </c>
    </row>
    <row r="35" spans="1:19">
      <c r="A35" t="str">
        <f>'Plant loading'!A39</f>
        <v>Gravelly Hill</v>
      </c>
      <c r="B35" s="5" t="str">
        <f>'Plant loading'!B39</f>
        <v>BMGMTX-DCSYS01</v>
      </c>
      <c r="C35" s="5" t="str">
        <f>'Plant loading'!C39</f>
        <v>HDR48-ES</v>
      </c>
      <c r="D35" s="5">
        <f>'Plant loading'!D39</f>
        <v>747</v>
      </c>
      <c r="E35" s="5">
        <f>'Plant loading'!E39</f>
        <v>736</v>
      </c>
      <c r="F35" s="5">
        <f>'Plant loading'!G39</f>
        <v>285.08949999999999</v>
      </c>
      <c r="G35" s="5">
        <f>'Plant loading'!H39</f>
        <v>44</v>
      </c>
      <c r="H35" s="5">
        <f>'Plant loading'!I39</f>
        <v>3</v>
      </c>
      <c r="I35" s="5">
        <f>'Plant loading'!J39</f>
        <v>132</v>
      </c>
      <c r="J35" s="109">
        <f t="shared" si="8"/>
        <v>0.32822727272727276</v>
      </c>
      <c r="K35" s="109">
        <v>0.5</v>
      </c>
      <c r="L35" s="110">
        <f t="shared" si="9"/>
        <v>51</v>
      </c>
      <c r="M35" s="5">
        <f t="shared" si="10"/>
        <v>25.5</v>
      </c>
      <c r="N35" s="5">
        <f t="shared" si="11"/>
        <v>29</v>
      </c>
      <c r="O35" s="5">
        <f t="shared" si="12"/>
        <v>1479</v>
      </c>
      <c r="P35" s="10">
        <f t="shared" si="13"/>
        <v>1428</v>
      </c>
      <c r="Q35" s="5">
        <f t="shared" si="14"/>
        <v>1504.5</v>
      </c>
      <c r="R35" s="5">
        <f t="shared" si="15"/>
        <v>1357</v>
      </c>
      <c r="S35" s="5">
        <f t="shared" si="16"/>
        <v>1507</v>
      </c>
    </row>
    <row r="36" spans="1:19">
      <c r="A36" t="str">
        <f>'Plant loading'!A40</f>
        <v>Gravelly Hill</v>
      </c>
      <c r="B36" s="5" t="str">
        <f>'Plant loading'!B40</f>
        <v>BMGMTX-DCSYS02</v>
      </c>
      <c r="C36" s="5" t="str">
        <f>'Plant loading'!C40</f>
        <v>HDR48-ES</v>
      </c>
      <c r="D36" s="5">
        <f>'Plant loading'!D40</f>
        <v>766</v>
      </c>
      <c r="E36" s="5">
        <f>'Plant loading'!E40</f>
        <v>754</v>
      </c>
      <c r="F36" s="5">
        <f>'Plant loading'!G40</f>
        <v>0</v>
      </c>
      <c r="G36" s="5">
        <f>'Plant loading'!H40</f>
        <v>44</v>
      </c>
      <c r="H36" s="5">
        <f>'Plant loading'!I40</f>
        <v>3</v>
      </c>
      <c r="I36" s="5">
        <f>'Plant loading'!J40</f>
        <v>132</v>
      </c>
      <c r="J36" s="109">
        <f t="shared" si="8"/>
        <v>0.33657575757575758</v>
      </c>
      <c r="K36" s="109">
        <v>0.5</v>
      </c>
      <c r="L36" s="110">
        <f t="shared" si="9"/>
        <v>51</v>
      </c>
      <c r="M36" s="5">
        <f t="shared" si="10"/>
        <v>25.5</v>
      </c>
      <c r="N36" s="5">
        <f t="shared" si="11"/>
        <v>30</v>
      </c>
      <c r="O36" s="5">
        <f t="shared" si="12"/>
        <v>1530</v>
      </c>
      <c r="P36" s="10">
        <f t="shared" si="13"/>
        <v>1479</v>
      </c>
      <c r="Q36" s="5">
        <f t="shared" si="14"/>
        <v>1555.5</v>
      </c>
      <c r="R36" s="5">
        <f t="shared" si="15"/>
        <v>1422</v>
      </c>
      <c r="S36" s="5">
        <f t="shared" si="16"/>
        <v>1572</v>
      </c>
    </row>
    <row r="37" spans="1:19">
      <c r="A37" t="str">
        <f>'Plant loading'!A41</f>
        <v>Gravelly Hill</v>
      </c>
      <c r="B37" s="5" t="str">
        <f>'Plant loading'!B41</f>
        <v>BMGMTX-DCSYS03</v>
      </c>
      <c r="C37" s="5" t="str">
        <f>'Plant loading'!C41</f>
        <v>HDR48-ES</v>
      </c>
      <c r="D37" s="5">
        <f>'Plant loading'!D41</f>
        <v>772</v>
      </c>
      <c r="E37" s="5">
        <f>'Plant loading'!E41</f>
        <v>771</v>
      </c>
      <c r="F37" s="5">
        <f>'Plant loading'!G41</f>
        <v>0</v>
      </c>
      <c r="G37" s="5">
        <f>'Plant loading'!H41</f>
        <v>44</v>
      </c>
      <c r="H37" s="5">
        <f>'Plant loading'!I41</f>
        <v>3</v>
      </c>
      <c r="I37" s="5">
        <f>'Plant loading'!J41</f>
        <v>132</v>
      </c>
      <c r="J37" s="109">
        <f t="shared" si="8"/>
        <v>0.33921212121212124</v>
      </c>
      <c r="K37" s="109">
        <v>0.5</v>
      </c>
      <c r="L37" s="110">
        <f t="shared" si="9"/>
        <v>51</v>
      </c>
      <c r="M37" s="5">
        <f t="shared" si="10"/>
        <v>25.5</v>
      </c>
      <c r="N37" s="5">
        <f t="shared" si="11"/>
        <v>31</v>
      </c>
      <c r="O37" s="5">
        <f t="shared" si="12"/>
        <v>1581</v>
      </c>
      <c r="P37" s="10">
        <f t="shared" si="13"/>
        <v>1530</v>
      </c>
      <c r="Q37" s="5">
        <f t="shared" si="14"/>
        <v>1606.5</v>
      </c>
      <c r="R37" s="5">
        <f t="shared" si="15"/>
        <v>1489</v>
      </c>
      <c r="S37" s="5">
        <f t="shared" si="16"/>
        <v>1639</v>
      </c>
    </row>
    <row r="38" spans="1:19">
      <c r="A38" t="str">
        <f>'Plant loading'!A42</f>
        <v>Gravelly Hill</v>
      </c>
      <c r="B38" s="5" t="str">
        <f>'Plant loading'!B42</f>
        <v>BMGMTX-DCSYS04</v>
      </c>
      <c r="C38" s="5" t="str">
        <f>'Plant loading'!C42</f>
        <v>HDR48-ES</v>
      </c>
      <c r="D38" s="5">
        <f>'Plant loading'!D42</f>
        <v>762</v>
      </c>
      <c r="E38" s="5">
        <f>'Plant loading'!E42</f>
        <v>764</v>
      </c>
      <c r="F38" s="5">
        <f>'Plant loading'!G42</f>
        <v>0.61707683982683981</v>
      </c>
      <c r="G38" s="5">
        <f>'Plant loading'!H42</f>
        <v>44</v>
      </c>
      <c r="H38" s="5">
        <v>3.5</v>
      </c>
      <c r="I38" s="5">
        <f>'Plant loading'!J42</f>
        <v>132</v>
      </c>
      <c r="J38" s="109">
        <f t="shared" si="8"/>
        <v>0.28698701298701301</v>
      </c>
      <c r="K38" s="109">
        <v>0.5</v>
      </c>
      <c r="L38" s="110">
        <f t="shared" si="9"/>
        <v>60</v>
      </c>
      <c r="M38" s="5">
        <f t="shared" si="10"/>
        <v>30</v>
      </c>
      <c r="N38" s="5">
        <f t="shared" si="11"/>
        <v>26</v>
      </c>
      <c r="O38" s="5">
        <f t="shared" si="12"/>
        <v>1560</v>
      </c>
      <c r="P38" s="10">
        <f t="shared" si="13"/>
        <v>1500</v>
      </c>
      <c r="Q38" s="5">
        <f t="shared" si="14"/>
        <v>1590</v>
      </c>
      <c r="R38" s="5">
        <f t="shared" si="15"/>
        <v>1227</v>
      </c>
      <c r="S38" s="5">
        <f t="shared" si="16"/>
        <v>1377</v>
      </c>
    </row>
    <row r="39" spans="1:19">
      <c r="A39" t="str">
        <f>'Plant loading'!A43</f>
        <v>Gravelly Hill</v>
      </c>
      <c r="B39" s="5" t="str">
        <f>'Plant loading'!B43</f>
        <v>BMGMTX-DCSYS05</v>
      </c>
      <c r="C39" s="5" t="str">
        <f>'Plant loading'!C43</f>
        <v>HDR48-ES</v>
      </c>
      <c r="D39" s="5">
        <f>'Plant loading'!D43</f>
        <v>789</v>
      </c>
      <c r="E39" s="5">
        <f>'Plant loading'!E43</f>
        <v>794</v>
      </c>
      <c r="F39" s="5">
        <f>'Plant loading'!G43</f>
        <v>0</v>
      </c>
      <c r="G39" s="5">
        <f>'Plant loading'!H43</f>
        <v>44</v>
      </c>
      <c r="H39" s="5">
        <f>'Plant loading'!I43</f>
        <v>3</v>
      </c>
      <c r="I39" s="5">
        <f>'Plant loading'!J43</f>
        <v>132</v>
      </c>
      <c r="J39" s="109">
        <f t="shared" si="8"/>
        <v>0.3466818181818182</v>
      </c>
      <c r="K39" s="109">
        <v>0.5</v>
      </c>
      <c r="L39" s="110">
        <f t="shared" si="9"/>
        <v>51</v>
      </c>
      <c r="M39" s="5">
        <f t="shared" si="10"/>
        <v>25.5</v>
      </c>
      <c r="N39" s="5">
        <f t="shared" si="11"/>
        <v>32</v>
      </c>
      <c r="O39" s="5">
        <f t="shared" si="12"/>
        <v>1632</v>
      </c>
      <c r="P39" s="10">
        <f t="shared" si="13"/>
        <v>1581</v>
      </c>
      <c r="Q39" s="5">
        <f t="shared" si="14"/>
        <v>1657.5</v>
      </c>
      <c r="R39" s="5">
        <f t="shared" si="15"/>
        <v>1544</v>
      </c>
      <c r="S39" s="5">
        <f t="shared" si="16"/>
        <v>1694</v>
      </c>
    </row>
    <row r="40" spans="1:19">
      <c r="A40" t="str">
        <f>'Plant loading'!A44</f>
        <v>Gravelly Hill</v>
      </c>
      <c r="B40" s="5" t="str">
        <f>'Plant loading'!B44</f>
        <v>BMGMTX-DCSYS06</v>
      </c>
      <c r="C40" s="5" t="str">
        <f>'Plant loading'!C44</f>
        <v>HDR48-ES</v>
      </c>
      <c r="D40" s="5">
        <f>'Plant loading'!D44</f>
        <v>824</v>
      </c>
      <c r="E40" s="5">
        <f>'Plant loading'!E44</f>
        <v>839</v>
      </c>
      <c r="F40" s="5">
        <f>'Plant loading'!G44</f>
        <v>0</v>
      </c>
      <c r="G40" s="5">
        <f>'Plant loading'!H44</f>
        <v>44</v>
      </c>
      <c r="H40" s="5">
        <f>'Plant loading'!I44</f>
        <v>3</v>
      </c>
      <c r="I40" s="5">
        <f>'Plant loading'!J44</f>
        <v>132</v>
      </c>
      <c r="J40" s="109">
        <f t="shared" si="8"/>
        <v>0.36206060606060608</v>
      </c>
      <c r="K40" s="109">
        <v>0.5</v>
      </c>
      <c r="L40" s="110">
        <f t="shared" si="9"/>
        <v>51</v>
      </c>
      <c r="M40" s="5">
        <f t="shared" si="10"/>
        <v>25.5</v>
      </c>
      <c r="N40" s="5">
        <f t="shared" si="11"/>
        <v>33</v>
      </c>
      <c r="O40" s="5">
        <f t="shared" si="12"/>
        <v>1683</v>
      </c>
      <c r="P40" s="10">
        <f t="shared" si="13"/>
        <v>1632</v>
      </c>
      <c r="Q40" s="5">
        <f t="shared" si="14"/>
        <v>1708.5</v>
      </c>
      <c r="R40" s="5">
        <f t="shared" si="15"/>
        <v>1555</v>
      </c>
      <c r="S40" s="5">
        <f t="shared" si="16"/>
        <v>1705</v>
      </c>
    </row>
    <row r="41" spans="1:19">
      <c r="A41" t="str">
        <f>'Plant loading'!A47</f>
        <v>Kings Cross</v>
      </c>
      <c r="B41" s="5" t="str">
        <f>'Plant loading'!B47</f>
        <v>PEAKS</v>
      </c>
      <c r="C41" s="5" t="str">
        <f>'Plant loading'!C47</f>
        <v>eSure</v>
      </c>
      <c r="D41" s="5">
        <f>'Plant loading'!D47</f>
        <v>242</v>
      </c>
      <c r="E41" s="5">
        <f>'Plant loading'!E47</f>
        <v>242</v>
      </c>
      <c r="F41" s="5">
        <f>'Plant loading'!G47</f>
        <v>122.7885</v>
      </c>
      <c r="G41" s="5">
        <f>'Plant loading'!H47</f>
        <v>24</v>
      </c>
      <c r="H41" s="5">
        <f>'Plant loading'!I47</f>
        <v>3.5</v>
      </c>
      <c r="I41" s="5">
        <f>'Plant loading'!J47</f>
        <v>84</v>
      </c>
      <c r="J41" s="109">
        <f t="shared" si="8"/>
        <v>0.16709523809523807</v>
      </c>
      <c r="K41" s="109">
        <v>0.5</v>
      </c>
      <c r="L41" s="110">
        <f t="shared" si="9"/>
        <v>60</v>
      </c>
      <c r="M41" s="5">
        <f t="shared" si="10"/>
        <v>30</v>
      </c>
      <c r="N41" s="5">
        <f t="shared" si="11"/>
        <v>9</v>
      </c>
      <c r="O41" s="5">
        <f t="shared" si="12"/>
        <v>540</v>
      </c>
      <c r="P41" s="10">
        <f t="shared" si="13"/>
        <v>480</v>
      </c>
      <c r="Q41" s="5">
        <f t="shared" si="14"/>
        <v>570</v>
      </c>
      <c r="R41" s="5">
        <f t="shared" si="15"/>
        <v>397</v>
      </c>
      <c r="S41" s="5">
        <f t="shared" si="16"/>
        <v>547</v>
      </c>
    </row>
    <row r="42" spans="1:19">
      <c r="A42" t="str">
        <f>'Plant loading'!A48</f>
        <v>Kings Cross</v>
      </c>
      <c r="B42" s="5" t="str">
        <f>'Plant loading'!B48</f>
        <v>PEBKS</v>
      </c>
      <c r="C42" s="5" t="str">
        <f>'Plant loading'!C48</f>
        <v>eSure</v>
      </c>
      <c r="D42" s="5">
        <f>'Plant loading'!D48</f>
        <v>329</v>
      </c>
      <c r="E42" s="5">
        <f>'Plant loading'!E48</f>
        <v>330</v>
      </c>
      <c r="F42" s="5">
        <f>'Plant loading'!G48</f>
        <v>0</v>
      </c>
      <c r="G42" s="5">
        <f>'Plant loading'!H48</f>
        <v>30</v>
      </c>
      <c r="H42" s="5">
        <f>'Plant loading'!I48</f>
        <v>3.5</v>
      </c>
      <c r="I42" s="5">
        <f>'Plant loading'!J48</f>
        <v>105</v>
      </c>
      <c r="J42" s="109">
        <f t="shared" si="8"/>
        <v>0.18173333333333333</v>
      </c>
      <c r="K42" s="109">
        <v>0.5</v>
      </c>
      <c r="L42" s="110">
        <f t="shared" si="9"/>
        <v>60</v>
      </c>
      <c r="M42" s="5">
        <f t="shared" si="10"/>
        <v>30</v>
      </c>
      <c r="N42" s="5">
        <f t="shared" si="11"/>
        <v>11</v>
      </c>
      <c r="O42" s="5">
        <f t="shared" si="12"/>
        <v>660</v>
      </c>
      <c r="P42" s="10">
        <f t="shared" si="13"/>
        <v>600</v>
      </c>
      <c r="Q42" s="5">
        <f t="shared" si="14"/>
        <v>690</v>
      </c>
      <c r="R42" s="5">
        <f t="shared" si="15"/>
        <v>450</v>
      </c>
      <c r="S42" s="5">
        <f t="shared" si="16"/>
        <v>600</v>
      </c>
    </row>
    <row r="43" spans="1:19">
      <c r="A43" t="e">
        <f>'Plant loading'!#REF!</f>
        <v>#REF!</v>
      </c>
      <c r="B43" s="5" t="e">
        <f>'Plant loading'!#REF!</f>
        <v>#REF!</v>
      </c>
      <c r="C43" s="5" t="e">
        <f>'Plant loading'!#REF!</f>
        <v>#REF!</v>
      </c>
      <c r="D43" s="5" t="e">
        <f>'Plant loading'!#REF!</f>
        <v>#REF!</v>
      </c>
      <c r="E43" s="5" t="e">
        <f>'Plant loading'!#REF!</f>
        <v>#REF!</v>
      </c>
      <c r="F43" s="5" t="e">
        <f>'Plant loading'!#REF!</f>
        <v>#REF!</v>
      </c>
      <c r="G43" s="5" t="e">
        <f>'Plant loading'!#REF!</f>
        <v>#REF!</v>
      </c>
      <c r="H43" s="5" t="e">
        <f>'Plant loading'!#REF!</f>
        <v>#REF!</v>
      </c>
      <c r="I43" s="5" t="e">
        <f>'Plant loading'!#REF!</f>
        <v>#REF!</v>
      </c>
      <c r="J43" s="109" t="e">
        <f t="shared" si="8"/>
        <v>#REF!</v>
      </c>
      <c r="K43" s="109">
        <v>0.5</v>
      </c>
      <c r="L43" s="110" t="e">
        <f t="shared" si="9"/>
        <v>#REF!</v>
      </c>
      <c r="M43" s="5" t="e">
        <f t="shared" si="10"/>
        <v>#REF!</v>
      </c>
      <c r="N43" s="5" t="e">
        <f t="shared" si="11"/>
        <v>#REF!</v>
      </c>
      <c r="O43" s="5" t="e">
        <f t="shared" si="12"/>
        <v>#REF!</v>
      </c>
      <c r="P43" s="10" t="e">
        <f t="shared" si="13"/>
        <v>#REF!</v>
      </c>
      <c r="Q43" s="5" t="e">
        <f t="shared" si="14"/>
        <v>#REF!</v>
      </c>
      <c r="R43" s="5" t="e">
        <f t="shared" si="15"/>
        <v>#REF!</v>
      </c>
      <c r="S43" s="5" t="e">
        <f t="shared" si="16"/>
        <v>#REF!</v>
      </c>
    </row>
    <row r="44" spans="1:19">
      <c r="A44" t="e">
        <f>'Plant loading'!#REF!</f>
        <v>#REF!</v>
      </c>
      <c r="B44" s="5" t="e">
        <f>'Plant loading'!#REF!</f>
        <v>#REF!</v>
      </c>
      <c r="C44" s="5" t="e">
        <f>'Plant loading'!#REF!</f>
        <v>#REF!</v>
      </c>
      <c r="D44" s="5" t="e">
        <f>'Plant loading'!#REF!</f>
        <v>#REF!</v>
      </c>
      <c r="E44" s="5" t="e">
        <f>'Plant loading'!#REF!</f>
        <v>#REF!</v>
      </c>
      <c r="F44" s="5" t="e">
        <f>'Plant loading'!#REF!</f>
        <v>#REF!</v>
      </c>
      <c r="G44" s="5" t="e">
        <f>'Plant loading'!#REF!</f>
        <v>#REF!</v>
      </c>
      <c r="H44" s="5" t="e">
        <f>'Plant loading'!#REF!</f>
        <v>#REF!</v>
      </c>
      <c r="I44" s="5" t="e">
        <f>'Plant loading'!#REF!</f>
        <v>#REF!</v>
      </c>
      <c r="J44" s="109" t="e">
        <f t="shared" si="8"/>
        <v>#REF!</v>
      </c>
      <c r="K44" s="109">
        <v>0.5</v>
      </c>
      <c r="L44" s="110" t="e">
        <f t="shared" si="9"/>
        <v>#REF!</v>
      </c>
      <c r="M44" s="5" t="e">
        <f t="shared" si="10"/>
        <v>#REF!</v>
      </c>
      <c r="N44" s="5" t="e">
        <f t="shared" si="11"/>
        <v>#REF!</v>
      </c>
      <c r="O44" s="5" t="e">
        <f t="shared" si="12"/>
        <v>#REF!</v>
      </c>
      <c r="P44" s="10" t="e">
        <f t="shared" si="13"/>
        <v>#REF!</v>
      </c>
      <c r="Q44" s="5" t="e">
        <f t="shared" si="14"/>
        <v>#REF!</v>
      </c>
      <c r="R44" s="5" t="e">
        <f t="shared" si="15"/>
        <v>#REF!</v>
      </c>
      <c r="S44" s="5" t="e">
        <f t="shared" si="16"/>
        <v>#REF!</v>
      </c>
    </row>
    <row r="45" spans="1:19">
      <c r="A45" t="str">
        <f>'Plant loading'!A49</f>
        <v>Kings Cross</v>
      </c>
      <c r="B45" s="5" t="str">
        <f>'Plant loading'!B49</f>
        <v>PEEKS</v>
      </c>
      <c r="C45" s="5" t="str">
        <f>'Plant loading'!C49</f>
        <v>eSure</v>
      </c>
      <c r="D45" s="5">
        <f>'Plant loading'!D49</f>
        <v>99</v>
      </c>
      <c r="E45" s="5">
        <f>'Plant loading'!E49</f>
        <v>100</v>
      </c>
      <c r="F45" s="5">
        <f>'Plant loading'!G49</f>
        <v>0</v>
      </c>
      <c r="G45" s="5">
        <f>'Plant loading'!H49</f>
        <v>12</v>
      </c>
      <c r="H45" s="5">
        <f>'Plant loading'!I49</f>
        <v>3.5</v>
      </c>
      <c r="I45" s="5">
        <f>'Plant loading'!J49</f>
        <v>42</v>
      </c>
      <c r="J45" s="109">
        <f t="shared" si="8"/>
        <v>0.1367142857142857</v>
      </c>
      <c r="K45" s="109">
        <v>0.5</v>
      </c>
      <c r="L45" s="110">
        <f t="shared" si="9"/>
        <v>60</v>
      </c>
      <c r="M45" s="5">
        <f t="shared" si="10"/>
        <v>30</v>
      </c>
      <c r="N45" s="5">
        <f t="shared" si="11"/>
        <v>4</v>
      </c>
      <c r="O45" s="5">
        <f t="shared" si="12"/>
        <v>240</v>
      </c>
      <c r="P45" s="10">
        <f t="shared" si="13"/>
        <v>180</v>
      </c>
      <c r="Q45" s="5">
        <f t="shared" si="14"/>
        <v>270</v>
      </c>
      <c r="R45" s="5">
        <f t="shared" si="15"/>
        <v>134</v>
      </c>
      <c r="S45" s="5">
        <f t="shared" si="16"/>
        <v>284</v>
      </c>
    </row>
    <row r="46" spans="1:19">
      <c r="A46" t="str">
        <f>'Plant loading'!A50</f>
        <v>Kings Cross</v>
      </c>
      <c r="B46" s="5" t="str">
        <f>'Plant loading'!B50</f>
        <v>PEIKS</v>
      </c>
      <c r="C46" s="5" t="str">
        <f>'Plant loading'!C50</f>
        <v>eSure</v>
      </c>
      <c r="D46" s="5">
        <f>'Plant loading'!D50</f>
        <v>527</v>
      </c>
      <c r="E46" s="5">
        <f>'Plant loading'!E50</f>
        <v>505</v>
      </c>
      <c r="F46" s="5">
        <f>'Plant loading'!G50</f>
        <v>0</v>
      </c>
      <c r="G46" s="5">
        <f>'Plant loading'!H50</f>
        <v>36</v>
      </c>
      <c r="H46" s="5">
        <f>'Plant loading'!I50</f>
        <v>3.5</v>
      </c>
      <c r="I46" s="5">
        <f>'Plant loading'!J50</f>
        <v>126</v>
      </c>
      <c r="J46" s="109">
        <f t="shared" si="8"/>
        <v>0.24258730158730157</v>
      </c>
      <c r="K46" s="109">
        <v>0.5</v>
      </c>
      <c r="L46" s="110">
        <f t="shared" si="9"/>
        <v>60</v>
      </c>
      <c r="M46" s="5">
        <f t="shared" si="10"/>
        <v>30</v>
      </c>
      <c r="N46" s="5">
        <f t="shared" si="11"/>
        <v>17</v>
      </c>
      <c r="O46" s="5">
        <f t="shared" si="12"/>
        <v>1020</v>
      </c>
      <c r="P46" s="10">
        <f t="shared" si="13"/>
        <v>960</v>
      </c>
      <c r="Q46" s="5">
        <f t="shared" si="14"/>
        <v>1050</v>
      </c>
      <c r="R46" s="5">
        <f t="shared" si="15"/>
        <v>759</v>
      </c>
      <c r="S46" s="5">
        <f t="shared" si="16"/>
        <v>909</v>
      </c>
    </row>
    <row r="47" spans="1:19">
      <c r="A47" t="str">
        <f>'Plant loading'!A51</f>
        <v>Kings Cross</v>
      </c>
      <c r="B47" s="5" t="str">
        <f>'Plant loading'!B51</f>
        <v>PEJKS</v>
      </c>
      <c r="C47" s="5" t="str">
        <f>'Plant loading'!C51</f>
        <v>eSure</v>
      </c>
      <c r="D47" s="5">
        <f>'Plant loading'!D51</f>
        <v>250</v>
      </c>
      <c r="E47" s="5">
        <f>'Plant loading'!E51</f>
        <v>251</v>
      </c>
      <c r="F47" s="5">
        <f>'Plant loading'!G51</f>
        <v>0</v>
      </c>
      <c r="G47" s="5">
        <f>'Plant loading'!H51</f>
        <v>36</v>
      </c>
      <c r="H47" s="5">
        <f>'Plant loading'!I51</f>
        <v>3.5</v>
      </c>
      <c r="I47" s="5">
        <f>'Plant loading'!J51</f>
        <v>126</v>
      </c>
      <c r="J47" s="109">
        <f t="shared" si="8"/>
        <v>0.11507936507936507</v>
      </c>
      <c r="K47" s="109">
        <v>0.5</v>
      </c>
      <c r="L47" s="110">
        <f t="shared" si="9"/>
        <v>60</v>
      </c>
      <c r="M47" s="5">
        <f t="shared" si="10"/>
        <v>30</v>
      </c>
      <c r="N47" s="5">
        <f t="shared" si="11"/>
        <v>9</v>
      </c>
      <c r="O47" s="5">
        <f t="shared" si="12"/>
        <v>540</v>
      </c>
      <c r="P47" s="10">
        <f t="shared" si="13"/>
        <v>480</v>
      </c>
      <c r="Q47" s="5">
        <f t="shared" si="14"/>
        <v>570</v>
      </c>
      <c r="R47" s="5">
        <f t="shared" si="15"/>
        <v>382</v>
      </c>
      <c r="S47" s="5">
        <f t="shared" si="16"/>
        <v>532</v>
      </c>
    </row>
    <row r="48" spans="1:19">
      <c r="A48" t="str">
        <f>'Plant loading'!A52</f>
        <v>Kings Cross</v>
      </c>
      <c r="B48" s="5" t="str">
        <f>'Plant loading'!B52</f>
        <v>PEKKS</v>
      </c>
      <c r="C48" s="5" t="str">
        <f>'Plant loading'!C52</f>
        <v>eSure</v>
      </c>
      <c r="D48" s="5">
        <f>'Plant loading'!D52</f>
        <v>450</v>
      </c>
      <c r="E48" s="5">
        <f>'Plant loading'!E52</f>
        <v>429</v>
      </c>
      <c r="F48" s="5">
        <f>'Plant loading'!G52</f>
        <v>0.30851381909547737</v>
      </c>
      <c r="G48" s="5">
        <f>'Plant loading'!H52</f>
        <v>30</v>
      </c>
      <c r="H48" s="5">
        <f>'Plant loading'!I52</f>
        <v>3.5</v>
      </c>
      <c r="I48" s="5">
        <f>'Plant loading'!J52</f>
        <v>105</v>
      </c>
      <c r="J48" s="109">
        <f t="shared" si="8"/>
        <v>0.24857142857142855</v>
      </c>
      <c r="K48" s="109">
        <v>0.5</v>
      </c>
      <c r="L48" s="110">
        <f t="shared" si="9"/>
        <v>60</v>
      </c>
      <c r="M48" s="5">
        <f t="shared" si="10"/>
        <v>30</v>
      </c>
      <c r="N48" s="5">
        <f t="shared" si="11"/>
        <v>15</v>
      </c>
      <c r="O48" s="5">
        <f t="shared" si="12"/>
        <v>900</v>
      </c>
      <c r="P48" s="10">
        <f t="shared" si="13"/>
        <v>840</v>
      </c>
      <c r="Q48" s="5">
        <f t="shared" si="14"/>
        <v>930</v>
      </c>
      <c r="R48" s="5">
        <f t="shared" si="15"/>
        <v>685</v>
      </c>
      <c r="S48" s="5">
        <f t="shared" si="16"/>
        <v>835</v>
      </c>
    </row>
    <row r="49" spans="1:19">
      <c r="A49" t="str">
        <f>'Plant loading'!A53</f>
        <v>Kings Cross</v>
      </c>
      <c r="B49" s="5" t="str">
        <f>'Plant loading'!B53</f>
        <v>PELKS</v>
      </c>
      <c r="C49" s="5" t="str">
        <f>'Plant loading'!C53</f>
        <v>eSure</v>
      </c>
      <c r="D49" s="5">
        <f>'Plant loading'!D53</f>
        <v>160</v>
      </c>
      <c r="E49" s="5">
        <f>'Plant loading'!E53</f>
        <v>154</v>
      </c>
      <c r="F49" s="5">
        <f>'Plant loading'!G53</f>
        <v>0</v>
      </c>
      <c r="G49" s="5">
        <f>'Plant loading'!H53</f>
        <v>24</v>
      </c>
      <c r="H49" s="5">
        <f>'Plant loading'!I53</f>
        <v>3.5</v>
      </c>
      <c r="I49" s="5">
        <f>'Plant loading'!J53</f>
        <v>84</v>
      </c>
      <c r="J49" s="109">
        <f t="shared" si="8"/>
        <v>0.11047619047619048</v>
      </c>
      <c r="K49" s="109">
        <v>0.5</v>
      </c>
      <c r="L49" s="110">
        <f t="shared" si="9"/>
        <v>60</v>
      </c>
      <c r="M49" s="5">
        <f t="shared" si="10"/>
        <v>30</v>
      </c>
      <c r="N49" s="5">
        <f t="shared" si="11"/>
        <v>6</v>
      </c>
      <c r="O49" s="5">
        <f t="shared" si="12"/>
        <v>360</v>
      </c>
      <c r="P49" s="10">
        <f t="shared" si="13"/>
        <v>300</v>
      </c>
      <c r="Q49" s="5">
        <f t="shared" si="14"/>
        <v>390</v>
      </c>
      <c r="R49" s="5">
        <f t="shared" si="15"/>
        <v>244</v>
      </c>
      <c r="S49" s="5">
        <f t="shared" si="16"/>
        <v>394</v>
      </c>
    </row>
    <row r="50" spans="1:19">
      <c r="A50" t="str">
        <f>'Plant loading'!A54</f>
        <v>Kings Cross</v>
      </c>
      <c r="B50" s="5" t="str">
        <f>'Plant loading'!B54</f>
        <v>PEMKS</v>
      </c>
      <c r="C50" s="5" t="str">
        <f>'Plant loading'!C54</f>
        <v>eSure</v>
      </c>
      <c r="D50" s="5">
        <f>'Plant loading'!D54</f>
        <v>145</v>
      </c>
      <c r="E50" s="5">
        <f>'Plant loading'!E54</f>
        <v>139</v>
      </c>
      <c r="F50" s="5">
        <f>'Plant loading'!G54</f>
        <v>0</v>
      </c>
      <c r="G50" s="5">
        <f>'Plant loading'!H54</f>
        <v>24</v>
      </c>
      <c r="H50" s="5">
        <f>'Plant loading'!I54</f>
        <v>3.5</v>
      </c>
      <c r="I50" s="5">
        <f>'Plant loading'!J54</f>
        <v>84</v>
      </c>
      <c r="J50" s="109">
        <f t="shared" si="8"/>
        <v>0.10011904761904762</v>
      </c>
      <c r="K50" s="109">
        <v>0.5</v>
      </c>
      <c r="L50" s="110">
        <f t="shared" si="9"/>
        <v>60</v>
      </c>
      <c r="M50" s="5">
        <f t="shared" si="10"/>
        <v>30</v>
      </c>
      <c r="N50" s="5">
        <f t="shared" si="11"/>
        <v>5</v>
      </c>
      <c r="O50" s="5">
        <f t="shared" si="12"/>
        <v>300</v>
      </c>
      <c r="P50" s="10">
        <f t="shared" si="13"/>
        <v>240</v>
      </c>
      <c r="Q50" s="5">
        <f t="shared" si="14"/>
        <v>330</v>
      </c>
      <c r="R50" s="5">
        <f t="shared" si="15"/>
        <v>169</v>
      </c>
      <c r="S50" s="5">
        <f t="shared" si="16"/>
        <v>319</v>
      </c>
    </row>
    <row r="51" spans="1:19">
      <c r="A51" t="str">
        <f>'Plant loading'!A55</f>
        <v>Kings Cross</v>
      </c>
      <c r="B51" s="5" t="str">
        <f>'Plant loading'!B55</f>
        <v>PENKS</v>
      </c>
      <c r="C51" s="5" t="str">
        <f>'Plant loading'!C55</f>
        <v>eSure</v>
      </c>
      <c r="D51" s="5">
        <f>'Plant loading'!D55</f>
        <v>102</v>
      </c>
      <c r="E51" s="5">
        <f>'Plant loading'!E55</f>
        <v>103</v>
      </c>
      <c r="F51" s="5">
        <f>'Plant loading'!G55</f>
        <v>0</v>
      </c>
      <c r="G51" s="5">
        <f>'Plant loading'!H55</f>
        <v>12</v>
      </c>
      <c r="H51" s="5">
        <f>'Plant loading'!I55</f>
        <v>3.5</v>
      </c>
      <c r="I51" s="5">
        <f>'Plant loading'!J55</f>
        <v>42</v>
      </c>
      <c r="J51" s="109">
        <f t="shared" si="8"/>
        <v>0.14085714285714285</v>
      </c>
      <c r="K51" s="109">
        <v>0.5</v>
      </c>
      <c r="L51" s="110">
        <f t="shared" si="9"/>
        <v>60</v>
      </c>
      <c r="M51" s="5">
        <f t="shared" si="10"/>
        <v>30</v>
      </c>
      <c r="N51" s="5">
        <f t="shared" si="11"/>
        <v>4</v>
      </c>
      <c r="O51" s="5">
        <f t="shared" si="12"/>
        <v>240</v>
      </c>
      <c r="P51" s="10">
        <f t="shared" si="13"/>
        <v>180</v>
      </c>
      <c r="Q51" s="5">
        <f t="shared" si="14"/>
        <v>270</v>
      </c>
      <c r="R51" s="5">
        <f t="shared" si="15"/>
        <v>129</v>
      </c>
      <c r="S51" s="5">
        <f t="shared" si="16"/>
        <v>279</v>
      </c>
    </row>
    <row r="52" spans="1:19">
      <c r="A52" t="str">
        <f>'Plant loading'!A56</f>
        <v>Leyland</v>
      </c>
      <c r="B52" s="5" t="str">
        <f>'Plant loading'!B56</f>
        <v>LLDMTX-DCSYS01</v>
      </c>
      <c r="C52" s="5" t="str">
        <f>'Plant loading'!C56</f>
        <v>HDR48-ES</v>
      </c>
      <c r="D52" s="5">
        <f>'Plant loading'!D56</f>
        <v>894</v>
      </c>
      <c r="E52" s="5">
        <f>'Plant loading'!E56</f>
        <v>896</v>
      </c>
      <c r="F52" s="5">
        <f>'Plant loading'!G56</f>
        <v>333.976</v>
      </c>
      <c r="G52" s="5">
        <f>'Plant loading'!H56</f>
        <v>44</v>
      </c>
      <c r="H52" s="5">
        <f>'Plant loading'!I56</f>
        <v>3</v>
      </c>
      <c r="I52" s="5">
        <f>'Plant loading'!J56</f>
        <v>132</v>
      </c>
      <c r="J52" s="109">
        <f t="shared" si="8"/>
        <v>0.39281818181818184</v>
      </c>
      <c r="K52" s="109">
        <v>0.5</v>
      </c>
      <c r="L52" s="110">
        <f t="shared" si="9"/>
        <v>51</v>
      </c>
      <c r="M52" s="5">
        <f t="shared" si="10"/>
        <v>25.5</v>
      </c>
      <c r="N52" s="5">
        <f t="shared" si="11"/>
        <v>36</v>
      </c>
      <c r="O52" s="5">
        <f t="shared" si="12"/>
        <v>1836</v>
      </c>
      <c r="P52" s="10">
        <f t="shared" si="13"/>
        <v>1785</v>
      </c>
      <c r="Q52" s="5">
        <f t="shared" si="14"/>
        <v>1861.5</v>
      </c>
      <c r="R52" s="5">
        <f t="shared" si="15"/>
        <v>1744</v>
      </c>
      <c r="S52" s="5">
        <f t="shared" si="16"/>
        <v>1894</v>
      </c>
    </row>
    <row r="53" spans="1:19">
      <c r="A53" t="str">
        <f>'Plant loading'!A57</f>
        <v>Leyland</v>
      </c>
      <c r="B53" s="5" t="str">
        <f>'Plant loading'!B57</f>
        <v>LLDMTX-DCSYS02</v>
      </c>
      <c r="C53" s="5" t="str">
        <f>'Plant loading'!C57</f>
        <v>HDR48-ES</v>
      </c>
      <c r="D53" s="5">
        <f>'Plant loading'!D57</f>
        <v>821</v>
      </c>
      <c r="E53" s="5">
        <f>'Plant loading'!E57</f>
        <v>822</v>
      </c>
      <c r="F53" s="5">
        <f>'Plant loading'!G57</f>
        <v>0</v>
      </c>
      <c r="G53" s="5">
        <f>'Plant loading'!H57</f>
        <v>44</v>
      </c>
      <c r="H53" s="5">
        <f>'Plant loading'!I57</f>
        <v>3</v>
      </c>
      <c r="I53" s="5">
        <f>'Plant loading'!J57</f>
        <v>132</v>
      </c>
      <c r="J53" s="109">
        <f t="shared" si="8"/>
        <v>0.36074242424242425</v>
      </c>
      <c r="K53" s="109">
        <v>0.5</v>
      </c>
      <c r="L53" s="110">
        <f t="shared" si="9"/>
        <v>51</v>
      </c>
      <c r="M53" s="5">
        <f t="shared" si="10"/>
        <v>25.5</v>
      </c>
      <c r="N53" s="5">
        <f t="shared" si="11"/>
        <v>33</v>
      </c>
      <c r="O53" s="5">
        <f t="shared" si="12"/>
        <v>1683</v>
      </c>
      <c r="P53" s="10">
        <f t="shared" si="13"/>
        <v>1632</v>
      </c>
      <c r="Q53" s="5">
        <f t="shared" si="14"/>
        <v>1708.5</v>
      </c>
      <c r="R53" s="5">
        <f t="shared" si="15"/>
        <v>1589</v>
      </c>
      <c r="S53" s="5">
        <f t="shared" si="16"/>
        <v>1739</v>
      </c>
    </row>
    <row r="54" spans="1:19">
      <c r="A54" t="str">
        <f>'Plant loading'!A58</f>
        <v>Leyland</v>
      </c>
      <c r="B54" s="5" t="str">
        <f>'Plant loading'!B58</f>
        <v>LLDMTX-DCSYS03</v>
      </c>
      <c r="C54" s="5" t="str">
        <f>'Plant loading'!C58</f>
        <v>HDR48-ES</v>
      </c>
      <c r="D54" s="5">
        <f>'Plant loading'!D58</f>
        <v>946</v>
      </c>
      <c r="E54" s="5">
        <f>'Plant loading'!E58</f>
        <v>945</v>
      </c>
      <c r="F54" s="5">
        <f>'Plant loading'!G58</f>
        <v>0</v>
      </c>
      <c r="G54" s="5">
        <f>'Plant loading'!H58</f>
        <v>44</v>
      </c>
      <c r="H54" s="5">
        <f>'Plant loading'!I58</f>
        <v>3</v>
      </c>
      <c r="I54" s="5">
        <f>'Plant loading'!J58</f>
        <v>132</v>
      </c>
      <c r="J54" s="109">
        <f t="shared" si="8"/>
        <v>0.41566666666666668</v>
      </c>
      <c r="K54" s="109">
        <v>0.5</v>
      </c>
      <c r="L54" s="110">
        <f t="shared" si="9"/>
        <v>51</v>
      </c>
      <c r="M54" s="5">
        <f t="shared" si="10"/>
        <v>25.5</v>
      </c>
      <c r="N54" s="5">
        <f t="shared" si="11"/>
        <v>38</v>
      </c>
      <c r="O54" s="5">
        <f t="shared" si="12"/>
        <v>1938</v>
      </c>
      <c r="P54" s="10">
        <f t="shared" si="13"/>
        <v>1887</v>
      </c>
      <c r="Q54" s="5">
        <f t="shared" si="14"/>
        <v>1963.5</v>
      </c>
      <c r="R54" s="5">
        <f t="shared" si="15"/>
        <v>1848</v>
      </c>
      <c r="S54" s="5">
        <f t="shared" si="16"/>
        <v>1998</v>
      </c>
    </row>
    <row r="55" spans="1:19">
      <c r="A55" t="str">
        <f>'Plant loading'!A59</f>
        <v>Leyland</v>
      </c>
      <c r="B55" s="5" t="str">
        <f>'Plant loading'!B59</f>
        <v>LLDMTX-DCSYS04</v>
      </c>
      <c r="C55" s="5" t="str">
        <f>'Plant loading'!C59</f>
        <v>HDR48-ES</v>
      </c>
      <c r="D55" s="5">
        <f>'Plant loading'!D59</f>
        <v>859</v>
      </c>
      <c r="E55" s="5">
        <f>'Plant loading'!E59</f>
        <v>860</v>
      </c>
      <c r="F55" s="5">
        <f>'Plant loading'!G59</f>
        <v>0.72603478260869569</v>
      </c>
      <c r="G55" s="5">
        <f>'Plant loading'!H59</f>
        <v>44</v>
      </c>
      <c r="H55" s="5">
        <f>'Plant loading'!I59</f>
        <v>3</v>
      </c>
      <c r="I55" s="5">
        <f>'Plant loading'!J59</f>
        <v>132</v>
      </c>
      <c r="J55" s="109">
        <f t="shared" si="8"/>
        <v>0.37743939393939396</v>
      </c>
      <c r="K55" s="109">
        <v>0.5</v>
      </c>
      <c r="L55" s="110">
        <f t="shared" si="9"/>
        <v>51</v>
      </c>
      <c r="M55" s="5">
        <f t="shared" si="10"/>
        <v>25.5</v>
      </c>
      <c r="N55" s="5">
        <f t="shared" si="11"/>
        <v>34</v>
      </c>
      <c r="O55" s="5">
        <f t="shared" si="12"/>
        <v>1734</v>
      </c>
      <c r="P55" s="10">
        <f t="shared" si="13"/>
        <v>1683</v>
      </c>
      <c r="Q55" s="5">
        <f t="shared" si="14"/>
        <v>1759.5</v>
      </c>
      <c r="R55" s="5">
        <f t="shared" si="15"/>
        <v>1614</v>
      </c>
      <c r="S55" s="5">
        <f t="shared" si="16"/>
        <v>1764</v>
      </c>
    </row>
    <row r="56" spans="1:19">
      <c r="A56" t="str">
        <f>'Plant loading'!A60</f>
        <v>Leyland</v>
      </c>
      <c r="B56" s="5" t="str">
        <f>'Plant loading'!B60</f>
        <v>LLDMTX-DCSYS05</v>
      </c>
      <c r="C56" s="5" t="str">
        <f>'Plant loading'!C60</f>
        <v>HDR48-ES</v>
      </c>
      <c r="D56" s="5">
        <f>'Plant loading'!D60</f>
        <v>914</v>
      </c>
      <c r="E56" s="5">
        <f>'Plant loading'!E60</f>
        <v>917</v>
      </c>
      <c r="F56" s="5">
        <f>'Plant loading'!G60</f>
        <v>0</v>
      </c>
      <c r="G56" s="5">
        <f>'Plant loading'!H60</f>
        <v>44</v>
      </c>
      <c r="H56" s="5">
        <f>'Plant loading'!I60</f>
        <v>3</v>
      </c>
      <c r="I56" s="5">
        <f>'Plant loading'!J60</f>
        <v>132</v>
      </c>
      <c r="J56" s="109">
        <f t="shared" si="8"/>
        <v>0.40160606060606063</v>
      </c>
      <c r="K56" s="109">
        <v>0.5</v>
      </c>
      <c r="L56" s="110">
        <f t="shared" si="9"/>
        <v>51</v>
      </c>
      <c r="M56" s="5">
        <f t="shared" si="10"/>
        <v>25.5</v>
      </c>
      <c r="N56" s="5">
        <f t="shared" si="11"/>
        <v>36</v>
      </c>
      <c r="O56" s="5">
        <f t="shared" si="12"/>
        <v>1836</v>
      </c>
      <c r="P56" s="10">
        <f t="shared" si="13"/>
        <v>1785</v>
      </c>
      <c r="Q56" s="5">
        <f t="shared" si="14"/>
        <v>1861.5</v>
      </c>
      <c r="R56" s="5">
        <f t="shared" si="15"/>
        <v>1702</v>
      </c>
      <c r="S56" s="5">
        <f t="shared" si="16"/>
        <v>1852</v>
      </c>
    </row>
    <row r="57" spans="1:19">
      <c r="A57" t="str">
        <f>'Plant loading'!A61</f>
        <v>Leyland</v>
      </c>
      <c r="B57" s="5" t="str">
        <f>'Plant loading'!B61</f>
        <v>LLDMTX-DCSYS06</v>
      </c>
      <c r="C57" s="5" t="str">
        <f>'Plant loading'!C61</f>
        <v>HDR48-ES</v>
      </c>
      <c r="D57" s="5">
        <f>'Plant loading'!D61</f>
        <v>894</v>
      </c>
      <c r="E57" s="5">
        <f>'Plant loading'!E61</f>
        <v>892</v>
      </c>
      <c r="F57" s="5">
        <f>'Plant loading'!G61</f>
        <v>0</v>
      </c>
      <c r="G57" s="5">
        <f>'Plant loading'!H61</f>
        <v>44</v>
      </c>
      <c r="H57" s="5">
        <f>'Plant loading'!I61</f>
        <v>3</v>
      </c>
      <c r="I57" s="5">
        <f>'Plant loading'!J61</f>
        <v>132</v>
      </c>
      <c r="J57" s="109">
        <f t="shared" si="8"/>
        <v>0.39281818181818184</v>
      </c>
      <c r="K57" s="109">
        <v>0.5</v>
      </c>
      <c r="L57" s="110">
        <f t="shared" si="9"/>
        <v>51</v>
      </c>
      <c r="M57" s="5">
        <f t="shared" si="10"/>
        <v>25.5</v>
      </c>
      <c r="N57" s="5">
        <f t="shared" si="11"/>
        <v>35</v>
      </c>
      <c r="O57" s="5">
        <f t="shared" si="12"/>
        <v>1785</v>
      </c>
      <c r="P57" s="10">
        <f t="shared" si="13"/>
        <v>1734</v>
      </c>
      <c r="Q57" s="5">
        <f t="shared" si="14"/>
        <v>1810.5</v>
      </c>
      <c r="R57" s="5">
        <f t="shared" si="15"/>
        <v>1651</v>
      </c>
      <c r="S57" s="5">
        <f t="shared" si="16"/>
        <v>1801</v>
      </c>
    </row>
    <row r="58" spans="1:19">
      <c r="A58" t="str">
        <f>'Plant loading'!A64</f>
        <v>Milton Keynes</v>
      </c>
      <c r="B58" s="5" t="str">
        <f>'Plant loading'!B64</f>
        <v>PEAMS</v>
      </c>
      <c r="C58" s="5" t="str">
        <f>'Plant loading'!C64</f>
        <v>eSure</v>
      </c>
      <c r="D58" s="5">
        <f>'Plant loading'!D64</f>
        <v>1093</v>
      </c>
      <c r="E58" s="5">
        <f>'Plant loading'!E64</f>
        <v>1106</v>
      </c>
      <c r="F58" s="5">
        <f>'Plant loading'!G64</f>
        <v>389.18450000000001</v>
      </c>
      <c r="G58" s="5">
        <f>'Plant loading'!H64</f>
        <v>42</v>
      </c>
      <c r="H58" s="5">
        <f>'Plant loading'!I64</f>
        <v>3.5</v>
      </c>
      <c r="I58" s="5">
        <f>'Plant loading'!J64</f>
        <v>147</v>
      </c>
      <c r="J58" s="109">
        <f t="shared" si="8"/>
        <v>0.43125170068027208</v>
      </c>
      <c r="K58" s="109">
        <v>0.5</v>
      </c>
      <c r="L58" s="110">
        <f t="shared" si="9"/>
        <v>60</v>
      </c>
      <c r="M58" s="5">
        <f t="shared" si="10"/>
        <v>30</v>
      </c>
      <c r="N58" s="5">
        <f t="shared" si="11"/>
        <v>37</v>
      </c>
      <c r="O58" s="5">
        <f t="shared" si="12"/>
        <v>2220</v>
      </c>
      <c r="P58" s="10">
        <f t="shared" si="13"/>
        <v>2160</v>
      </c>
      <c r="Q58" s="5">
        <f t="shared" si="14"/>
        <v>2250</v>
      </c>
      <c r="R58" s="5">
        <f t="shared" si="15"/>
        <v>1757</v>
      </c>
      <c r="S58" s="5">
        <f t="shared" si="16"/>
        <v>1907</v>
      </c>
    </row>
    <row r="59" spans="1:19">
      <c r="A59" t="str">
        <f>'Plant loading'!A65</f>
        <v>Milton Keynes</v>
      </c>
      <c r="B59" s="5" t="str">
        <f>'Plant loading'!B65</f>
        <v>PEBMS</v>
      </c>
      <c r="C59" s="5" t="str">
        <f>'Plant loading'!C65</f>
        <v>eSure</v>
      </c>
      <c r="D59" s="5">
        <f>'Plant loading'!D65</f>
        <v>1071</v>
      </c>
      <c r="E59" s="5">
        <f>'Plant loading'!E65</f>
        <v>1042</v>
      </c>
      <c r="F59" s="5">
        <f>'Plant loading'!G65</f>
        <v>0</v>
      </c>
      <c r="G59" s="5">
        <f>'Plant loading'!H65</f>
        <v>42</v>
      </c>
      <c r="H59" s="5">
        <f>'Plant loading'!I65</f>
        <v>3.5</v>
      </c>
      <c r="I59" s="5">
        <f>'Plant loading'!J65</f>
        <v>147</v>
      </c>
      <c r="J59" s="109">
        <f t="shared" si="8"/>
        <v>0.42257142857142854</v>
      </c>
      <c r="K59" s="109">
        <v>0.5</v>
      </c>
      <c r="L59" s="110">
        <f t="shared" si="9"/>
        <v>60</v>
      </c>
      <c r="M59" s="5">
        <f t="shared" si="10"/>
        <v>30</v>
      </c>
      <c r="N59" s="5">
        <f t="shared" si="11"/>
        <v>35</v>
      </c>
      <c r="O59" s="5">
        <f t="shared" si="12"/>
        <v>2100</v>
      </c>
      <c r="P59" s="10">
        <f t="shared" si="13"/>
        <v>2040</v>
      </c>
      <c r="Q59" s="5">
        <f t="shared" si="14"/>
        <v>2130</v>
      </c>
      <c r="R59" s="5">
        <f t="shared" si="15"/>
        <v>1664</v>
      </c>
      <c r="S59" s="5">
        <f t="shared" si="16"/>
        <v>1814</v>
      </c>
    </row>
    <row r="60" spans="1:19">
      <c r="A60" t="str">
        <f>'Plant loading'!A66</f>
        <v>Milton Keynes</v>
      </c>
      <c r="B60" s="5" t="str">
        <f>'Plant loading'!B66</f>
        <v>PECMS</v>
      </c>
      <c r="C60" s="5" t="str">
        <f>'Plant loading'!C66</f>
        <v>eSure</v>
      </c>
      <c r="D60" s="5">
        <f>'Plant loading'!D66</f>
        <v>1053</v>
      </c>
      <c r="E60" s="5">
        <f>'Plant loading'!E66</f>
        <v>1084</v>
      </c>
      <c r="F60" s="5">
        <f>'Plant loading'!G66</f>
        <v>0</v>
      </c>
      <c r="G60" s="5">
        <f>'Plant loading'!H66</f>
        <v>42</v>
      </c>
      <c r="H60" s="5">
        <f>'Plant loading'!I66</f>
        <v>3.5</v>
      </c>
      <c r="I60" s="5">
        <f>'Plant loading'!J66</f>
        <v>147</v>
      </c>
      <c r="J60" s="109">
        <f t="shared" si="8"/>
        <v>0.415469387755102</v>
      </c>
      <c r="K60" s="109">
        <v>0.5</v>
      </c>
      <c r="L60" s="110">
        <f t="shared" si="9"/>
        <v>60</v>
      </c>
      <c r="M60" s="5">
        <f t="shared" si="10"/>
        <v>30</v>
      </c>
      <c r="N60" s="5">
        <f t="shared" si="11"/>
        <v>37</v>
      </c>
      <c r="O60" s="5">
        <f t="shared" si="12"/>
        <v>2220</v>
      </c>
      <c r="P60" s="10">
        <f t="shared" si="13"/>
        <v>2160</v>
      </c>
      <c r="Q60" s="5">
        <f t="shared" si="14"/>
        <v>2250</v>
      </c>
      <c r="R60" s="5">
        <f t="shared" si="15"/>
        <v>1794</v>
      </c>
      <c r="S60" s="5">
        <f t="shared" si="16"/>
        <v>1944</v>
      </c>
    </row>
    <row r="61" spans="1:19">
      <c r="A61" t="str">
        <f>'Plant loading'!A67</f>
        <v>Milton Keynes</v>
      </c>
      <c r="B61" s="5" t="str">
        <f>'Plant loading'!B67</f>
        <v>PEDMS</v>
      </c>
      <c r="C61" s="5" t="str">
        <f>'Plant loading'!C67</f>
        <v>eSure</v>
      </c>
      <c r="D61" s="5">
        <f>'Plant loading'!D67</f>
        <v>1155</v>
      </c>
      <c r="E61" s="5">
        <f>'Plant loading'!E67</f>
        <v>1149</v>
      </c>
      <c r="F61" s="5">
        <f>'Plant loading'!G67</f>
        <v>0.81080104166666667</v>
      </c>
      <c r="G61" s="5">
        <f>'Plant loading'!H67</f>
        <v>42</v>
      </c>
      <c r="H61" s="5">
        <f>'Plant loading'!I67</f>
        <v>3.5</v>
      </c>
      <c r="I61" s="5">
        <f>'Plant loading'!J67</f>
        <v>147</v>
      </c>
      <c r="J61" s="109">
        <f t="shared" si="8"/>
        <v>0.45571428571428568</v>
      </c>
      <c r="K61" s="109">
        <v>0.5</v>
      </c>
      <c r="L61" s="110">
        <f t="shared" si="9"/>
        <v>60</v>
      </c>
      <c r="M61" s="5">
        <f t="shared" si="10"/>
        <v>30</v>
      </c>
      <c r="N61" s="5">
        <f t="shared" si="11"/>
        <v>39</v>
      </c>
      <c r="O61" s="5">
        <f t="shared" si="12"/>
        <v>2340</v>
      </c>
      <c r="P61" s="10">
        <f t="shared" si="13"/>
        <v>2280</v>
      </c>
      <c r="Q61" s="5">
        <f t="shared" si="14"/>
        <v>2370</v>
      </c>
      <c r="R61" s="5">
        <f t="shared" si="15"/>
        <v>1885</v>
      </c>
      <c r="S61" s="5">
        <f t="shared" si="16"/>
        <v>2035</v>
      </c>
    </row>
    <row r="62" spans="1:19">
      <c r="A62" t="str">
        <f>'Plant loading'!A68</f>
        <v>Milton Keynes</v>
      </c>
      <c r="B62" s="5" t="str">
        <f>'Plant loading'!B68</f>
        <v>PEEMS</v>
      </c>
      <c r="C62" s="5" t="str">
        <f>'Plant loading'!C68</f>
        <v>eSure</v>
      </c>
      <c r="D62" s="5">
        <f>'Plant loading'!D68</f>
        <v>1077</v>
      </c>
      <c r="E62" s="5">
        <f>'Plant loading'!E68</f>
        <v>1078</v>
      </c>
      <c r="F62" s="5">
        <f>'Plant loading'!G68</f>
        <v>0</v>
      </c>
      <c r="G62" s="5">
        <f>'Plant loading'!H68</f>
        <v>42</v>
      </c>
      <c r="H62" s="5">
        <f>'Plant loading'!I68</f>
        <v>3.5</v>
      </c>
      <c r="I62" s="5">
        <f>'Plant loading'!J68</f>
        <v>147</v>
      </c>
      <c r="J62" s="109">
        <f t="shared" si="8"/>
        <v>0.42493877551020404</v>
      </c>
      <c r="K62" s="109">
        <v>0.5</v>
      </c>
      <c r="L62" s="110">
        <f t="shared" si="9"/>
        <v>60</v>
      </c>
      <c r="M62" s="5">
        <f t="shared" si="10"/>
        <v>30</v>
      </c>
      <c r="N62" s="5">
        <f t="shared" si="11"/>
        <v>36</v>
      </c>
      <c r="O62" s="5">
        <f t="shared" si="12"/>
        <v>2160</v>
      </c>
      <c r="P62" s="10">
        <f t="shared" si="13"/>
        <v>2100</v>
      </c>
      <c r="Q62" s="5">
        <f t="shared" si="14"/>
        <v>2190</v>
      </c>
      <c r="R62" s="5">
        <f t="shared" si="15"/>
        <v>1704</v>
      </c>
      <c r="S62" s="5">
        <f t="shared" si="16"/>
        <v>1854</v>
      </c>
    </row>
    <row r="63" spans="1:19">
      <c r="A63" t="str">
        <f>'Plant loading'!A69</f>
        <v>Milton Keynes</v>
      </c>
      <c r="B63" s="5" t="str">
        <f>'Plant loading'!B69</f>
        <v>PEFMS</v>
      </c>
      <c r="C63" s="5" t="str">
        <f>'Plant loading'!C69</f>
        <v>eSure</v>
      </c>
      <c r="D63" s="5">
        <f>'Plant loading'!D69</f>
        <v>1095</v>
      </c>
      <c r="E63" s="5">
        <f>'Plant loading'!E69</f>
        <v>1088</v>
      </c>
      <c r="F63" s="5">
        <f>'Plant loading'!G69</f>
        <v>0</v>
      </c>
      <c r="G63" s="5">
        <f>'Plant loading'!H69</f>
        <v>42</v>
      </c>
      <c r="H63" s="5">
        <f>'Plant loading'!I69</f>
        <v>3.5</v>
      </c>
      <c r="I63" s="5">
        <f>'Plant loading'!J69</f>
        <v>147</v>
      </c>
      <c r="J63" s="109">
        <f t="shared" si="8"/>
        <v>0.43204081632653057</v>
      </c>
      <c r="K63" s="109">
        <v>0.5</v>
      </c>
      <c r="L63" s="110">
        <f t="shared" si="9"/>
        <v>60</v>
      </c>
      <c r="M63" s="5">
        <f t="shared" si="10"/>
        <v>30</v>
      </c>
      <c r="N63" s="5">
        <f t="shared" si="11"/>
        <v>37</v>
      </c>
      <c r="O63" s="5">
        <f t="shared" si="12"/>
        <v>2220</v>
      </c>
      <c r="P63" s="10">
        <f t="shared" si="13"/>
        <v>2160</v>
      </c>
      <c r="Q63" s="5">
        <f t="shared" si="14"/>
        <v>2250</v>
      </c>
      <c r="R63" s="5">
        <f t="shared" si="15"/>
        <v>1787</v>
      </c>
      <c r="S63" s="5">
        <f t="shared" si="16"/>
        <v>1937</v>
      </c>
    </row>
    <row r="64" spans="1:19">
      <c r="A64" t="str">
        <f>'Plant loading'!A72</f>
        <v>Oldham</v>
      </c>
      <c r="B64" s="5" t="str">
        <f>'Plant loading'!B72</f>
        <v>OLDMTX-DCSYS01</v>
      </c>
      <c r="C64" s="5" t="str">
        <f>'Plant loading'!C72</f>
        <v>HDR48-ES</v>
      </c>
      <c r="D64" s="5">
        <f>'Plant loading'!D72</f>
        <v>867</v>
      </c>
      <c r="E64" s="5">
        <f>'Plant loading'!E72</f>
        <v>865</v>
      </c>
      <c r="F64" s="5">
        <f>'Plant loading'!G72</f>
        <v>278.22250000000003</v>
      </c>
      <c r="G64" s="5">
        <f>'Plant loading'!H72</f>
        <v>44</v>
      </c>
      <c r="H64" s="5">
        <f>'Plant loading'!I72</f>
        <v>3</v>
      </c>
      <c r="I64" s="5">
        <f>'Plant loading'!J72</f>
        <v>132</v>
      </c>
      <c r="J64" s="109">
        <f t="shared" si="8"/>
        <v>0.38095454545454543</v>
      </c>
      <c r="K64" s="109">
        <v>0.5</v>
      </c>
      <c r="L64" s="110">
        <f t="shared" si="9"/>
        <v>51</v>
      </c>
      <c r="M64" s="5">
        <f t="shared" si="10"/>
        <v>25.5</v>
      </c>
      <c r="N64" s="5">
        <f t="shared" si="11"/>
        <v>34</v>
      </c>
      <c r="O64" s="5">
        <f t="shared" si="12"/>
        <v>1734</v>
      </c>
      <c r="P64" s="10">
        <f t="shared" si="13"/>
        <v>1683</v>
      </c>
      <c r="Q64" s="5">
        <f t="shared" si="14"/>
        <v>1759.5</v>
      </c>
      <c r="R64" s="5">
        <f t="shared" si="15"/>
        <v>1604</v>
      </c>
      <c r="S64" s="5">
        <f t="shared" si="16"/>
        <v>1754</v>
      </c>
    </row>
    <row r="65" spans="1:19">
      <c r="A65" t="str">
        <f>'Plant loading'!A73</f>
        <v>Oldham</v>
      </c>
      <c r="B65" s="5" t="str">
        <f>'Plant loading'!B73</f>
        <v>OLDMTX-DCSYS02</v>
      </c>
      <c r="C65" s="5" t="str">
        <f>'Plant loading'!C73</f>
        <v>HDR48-ES</v>
      </c>
      <c r="D65" s="5">
        <f>'Plant loading'!D73</f>
        <v>715</v>
      </c>
      <c r="E65" s="5">
        <f>'Plant loading'!E73</f>
        <v>726</v>
      </c>
      <c r="F65" s="5">
        <f>'Plant loading'!G73</f>
        <v>0</v>
      </c>
      <c r="G65" s="5">
        <f>'Plant loading'!H73</f>
        <v>44</v>
      </c>
      <c r="H65" s="5">
        <f>'Plant loading'!I73</f>
        <v>3</v>
      </c>
      <c r="I65" s="5">
        <f>'Plant loading'!J73</f>
        <v>132</v>
      </c>
      <c r="J65" s="109">
        <f t="shared" si="8"/>
        <v>0.31416666666666665</v>
      </c>
      <c r="K65" s="109">
        <v>0.5</v>
      </c>
      <c r="L65" s="110">
        <f t="shared" si="9"/>
        <v>51</v>
      </c>
      <c r="M65" s="5">
        <f t="shared" si="10"/>
        <v>25.5</v>
      </c>
      <c r="N65" s="5">
        <f t="shared" si="11"/>
        <v>29</v>
      </c>
      <c r="O65" s="5">
        <f t="shared" si="12"/>
        <v>1479</v>
      </c>
      <c r="P65" s="10">
        <f t="shared" si="13"/>
        <v>1428</v>
      </c>
      <c r="Q65" s="5">
        <f t="shared" si="14"/>
        <v>1504.5</v>
      </c>
      <c r="R65" s="5">
        <f t="shared" si="15"/>
        <v>1377</v>
      </c>
      <c r="S65" s="5">
        <f t="shared" si="16"/>
        <v>1527</v>
      </c>
    </row>
    <row r="66" spans="1:19">
      <c r="A66" t="str">
        <f>'Plant loading'!A74</f>
        <v>Oldham</v>
      </c>
      <c r="B66" s="5" t="str">
        <f>'Plant loading'!B74</f>
        <v>OLDMTX-DCSYS03</v>
      </c>
      <c r="C66" s="5" t="str">
        <f>'Plant loading'!C74</f>
        <v>HDR48-ES</v>
      </c>
      <c r="D66" s="5">
        <f>'Plant loading'!D74</f>
        <v>786</v>
      </c>
      <c r="E66" s="5">
        <f>'Plant loading'!E74</f>
        <v>789</v>
      </c>
      <c r="F66" s="5">
        <f>'Plant loading'!G74</f>
        <v>0</v>
      </c>
      <c r="G66" s="5">
        <f>'Plant loading'!H74</f>
        <v>44</v>
      </c>
      <c r="H66" s="5">
        <f>'Plant loading'!I74</f>
        <v>3</v>
      </c>
      <c r="I66" s="5">
        <f>'Plant loading'!J74</f>
        <v>132</v>
      </c>
      <c r="J66" s="109">
        <f t="shared" si="8"/>
        <v>0.34536363636363637</v>
      </c>
      <c r="K66" s="109">
        <v>0.5</v>
      </c>
      <c r="L66" s="110">
        <f t="shared" si="9"/>
        <v>51</v>
      </c>
      <c r="M66" s="5">
        <f t="shared" si="10"/>
        <v>25.5</v>
      </c>
      <c r="N66" s="5">
        <f t="shared" si="11"/>
        <v>31</v>
      </c>
      <c r="O66" s="5">
        <f t="shared" si="12"/>
        <v>1581</v>
      </c>
      <c r="P66" s="10">
        <f t="shared" si="13"/>
        <v>1530</v>
      </c>
      <c r="Q66" s="5">
        <f t="shared" si="14"/>
        <v>1606.5</v>
      </c>
      <c r="R66" s="5">
        <f t="shared" si="15"/>
        <v>1453</v>
      </c>
      <c r="S66" s="5">
        <f t="shared" si="16"/>
        <v>1603</v>
      </c>
    </row>
    <row r="67" spans="1:19">
      <c r="A67" t="str">
        <f>'Plant loading'!A75</f>
        <v>Oldham</v>
      </c>
      <c r="B67" s="5" t="str">
        <f>'Plant loading'!B75</f>
        <v>OLDMTX-DCSYS04</v>
      </c>
      <c r="C67" s="5" t="str">
        <f>'Plant loading'!C75</f>
        <v>HDR48-ES</v>
      </c>
      <c r="D67" s="5">
        <f>'Plant loading'!D75</f>
        <v>597</v>
      </c>
      <c r="E67" s="5">
        <f>'Plant loading'!E75</f>
        <v>597</v>
      </c>
      <c r="F67" s="5">
        <f>'Plant loading'!G75</f>
        <v>0.59832795698924734</v>
      </c>
      <c r="G67" s="5">
        <f>'Plant loading'!H75</f>
        <v>34</v>
      </c>
      <c r="H67" s="5">
        <f>'Plant loading'!I75</f>
        <v>3</v>
      </c>
      <c r="I67" s="5">
        <f>'Plant loading'!J75</f>
        <v>102</v>
      </c>
      <c r="J67" s="109">
        <f t="shared" si="8"/>
        <v>0.33947058823529408</v>
      </c>
      <c r="K67" s="109">
        <v>0.5</v>
      </c>
      <c r="L67" s="110">
        <f t="shared" si="9"/>
        <v>51</v>
      </c>
      <c r="M67" s="5">
        <f t="shared" si="10"/>
        <v>25.5</v>
      </c>
      <c r="N67" s="5">
        <f t="shared" si="11"/>
        <v>24</v>
      </c>
      <c r="O67" s="5">
        <f t="shared" si="12"/>
        <v>1224</v>
      </c>
      <c r="P67" s="10">
        <f t="shared" si="13"/>
        <v>1173</v>
      </c>
      <c r="Q67" s="5">
        <f t="shared" si="14"/>
        <v>1249.5</v>
      </c>
      <c r="R67" s="5">
        <f t="shared" si="15"/>
        <v>1130</v>
      </c>
      <c r="S67" s="5">
        <f t="shared" si="16"/>
        <v>1280</v>
      </c>
    </row>
    <row r="68" spans="1:19">
      <c r="A68" t="str">
        <f>'Plant loading'!A76</f>
        <v>Oldham</v>
      </c>
      <c r="B68" s="5" t="str">
        <f>'Plant loading'!B76</f>
        <v>OLDMTX-DCSYS05</v>
      </c>
      <c r="C68" s="5" t="str">
        <f>'Plant loading'!C76</f>
        <v>HDR48-ES</v>
      </c>
      <c r="D68" s="5">
        <f>'Plant loading'!D76</f>
        <v>538</v>
      </c>
      <c r="E68" s="5">
        <f>'Plant loading'!E76</f>
        <v>540</v>
      </c>
      <c r="F68" s="5">
        <f>'Plant loading'!G76</f>
        <v>0</v>
      </c>
      <c r="G68" s="5">
        <f>'Plant loading'!H76</f>
        <v>44</v>
      </c>
      <c r="H68" s="5">
        <f>'Plant loading'!I76</f>
        <v>3</v>
      </c>
      <c r="I68" s="5">
        <f>'Plant loading'!J76</f>
        <v>132</v>
      </c>
      <c r="J68" s="109">
        <f t="shared" si="8"/>
        <v>0.23639393939393941</v>
      </c>
      <c r="K68" s="109">
        <v>0.5</v>
      </c>
      <c r="L68" s="110">
        <f t="shared" si="9"/>
        <v>51</v>
      </c>
      <c r="M68" s="5">
        <f t="shared" si="10"/>
        <v>25.5</v>
      </c>
      <c r="N68" s="5">
        <f t="shared" si="11"/>
        <v>22</v>
      </c>
      <c r="O68" s="5">
        <f t="shared" si="12"/>
        <v>1122</v>
      </c>
      <c r="P68" s="10">
        <f t="shared" si="13"/>
        <v>1071</v>
      </c>
      <c r="Q68" s="5">
        <f t="shared" si="14"/>
        <v>1147.5</v>
      </c>
      <c r="R68" s="5">
        <f t="shared" si="15"/>
        <v>1042</v>
      </c>
      <c r="S68" s="5">
        <f t="shared" si="16"/>
        <v>1192</v>
      </c>
    </row>
    <row r="69" spans="1:19">
      <c r="A69" t="str">
        <f>'Plant loading'!A77</f>
        <v>Oldham</v>
      </c>
      <c r="B69" s="5" t="str">
        <f>'Plant loading'!B77</f>
        <v>OLDMTX-DCSYS06</v>
      </c>
      <c r="C69" s="5" t="str">
        <f>'Plant loading'!C77</f>
        <v>HDR48-ES</v>
      </c>
      <c r="D69" s="5">
        <f>'Plant loading'!D77</f>
        <v>628</v>
      </c>
      <c r="E69" s="5">
        <f>'Plant loading'!E77</f>
        <v>629</v>
      </c>
      <c r="F69" s="5">
        <f>'Plant loading'!G77</f>
        <v>0</v>
      </c>
      <c r="G69" s="5">
        <f>'Plant loading'!H77</f>
        <v>44</v>
      </c>
      <c r="H69" s="5">
        <f>'Plant loading'!I77</f>
        <v>3</v>
      </c>
      <c r="I69" s="5">
        <f>'Plant loading'!J77</f>
        <v>132</v>
      </c>
      <c r="J69" s="109">
        <f t="shared" ref="J69:J115" si="17">D69/(G69*((H69*1000)/58))</f>
        <v>0.27593939393939393</v>
      </c>
      <c r="K69" s="109">
        <v>0.5</v>
      </c>
      <c r="L69" s="110">
        <f t="shared" si="9"/>
        <v>51</v>
      </c>
      <c r="M69" s="5">
        <f t="shared" si="10"/>
        <v>25.5</v>
      </c>
      <c r="N69" s="5">
        <f t="shared" si="11"/>
        <v>25</v>
      </c>
      <c r="O69" s="5">
        <f t="shared" si="12"/>
        <v>1275</v>
      </c>
      <c r="P69" s="10">
        <f t="shared" si="13"/>
        <v>1224</v>
      </c>
      <c r="Q69" s="5">
        <f t="shared" si="14"/>
        <v>1300.5</v>
      </c>
      <c r="R69" s="5">
        <f t="shared" si="15"/>
        <v>1167</v>
      </c>
      <c r="S69" s="5">
        <f t="shared" si="16"/>
        <v>1317</v>
      </c>
    </row>
    <row r="70" spans="1:19" s="112" customFormat="1">
      <c r="A70" s="112" t="str">
        <f>'Plant loading'!A80</f>
        <v>Rotherham</v>
      </c>
      <c r="B70" s="113" t="str">
        <f>'Plant loading'!B80</f>
        <v>PEARM</v>
      </c>
      <c r="C70" s="113" t="str">
        <f>'Plant loading'!C80</f>
        <v>eSure</v>
      </c>
      <c r="D70" s="113">
        <f>'Plant loading'!D80</f>
        <v>424</v>
      </c>
      <c r="E70" s="113">
        <f>'Plant loading'!E80</f>
        <v>422</v>
      </c>
      <c r="F70" s="113">
        <f>'Plant loading'!G80</f>
        <v>106.384</v>
      </c>
      <c r="G70" s="113">
        <f>'Plant loading'!H80</f>
        <v>36</v>
      </c>
      <c r="H70" s="113">
        <f>'Plant loading'!I80</f>
        <v>3.5</v>
      </c>
      <c r="I70" s="113">
        <f>'Plant loading'!J80</f>
        <v>126</v>
      </c>
      <c r="J70" s="509">
        <f t="shared" si="17"/>
        <v>0.19517460317460317</v>
      </c>
      <c r="K70" s="509">
        <v>0.5</v>
      </c>
      <c r="L70" s="510">
        <f t="shared" si="9"/>
        <v>60</v>
      </c>
      <c r="M70" s="113">
        <f t="shared" si="10"/>
        <v>30</v>
      </c>
      <c r="N70" s="113">
        <f t="shared" si="11"/>
        <v>15</v>
      </c>
      <c r="O70" s="113">
        <f t="shared" si="12"/>
        <v>900</v>
      </c>
      <c r="P70" s="114">
        <f t="shared" si="13"/>
        <v>840</v>
      </c>
      <c r="Q70" s="113">
        <f t="shared" si="14"/>
        <v>930</v>
      </c>
      <c r="R70" s="113">
        <f t="shared" si="15"/>
        <v>697</v>
      </c>
      <c r="S70" s="113">
        <f t="shared" si="16"/>
        <v>847</v>
      </c>
    </row>
    <row r="71" spans="1:19" s="112" customFormat="1">
      <c r="A71" s="112" t="str">
        <f>'Plant loading'!A81</f>
        <v>Rotherham</v>
      </c>
      <c r="B71" s="113" t="str">
        <f>'Plant loading'!B81</f>
        <v>PEBRM</v>
      </c>
      <c r="C71" s="113" t="str">
        <f>'Plant loading'!C81</f>
        <v>eSure</v>
      </c>
      <c r="D71" s="113">
        <f>'Plant loading'!D81</f>
        <v>521</v>
      </c>
      <c r="E71" s="113">
        <f>'Plant loading'!E81</f>
        <v>523</v>
      </c>
      <c r="F71" s="113">
        <f>'Plant loading'!G81</f>
        <v>0</v>
      </c>
      <c r="G71" s="113">
        <f>'Plant loading'!H81</f>
        <v>36</v>
      </c>
      <c r="H71" s="113">
        <f>'Plant loading'!I81</f>
        <v>3.5</v>
      </c>
      <c r="I71" s="113">
        <f>'Plant loading'!J81</f>
        <v>126</v>
      </c>
      <c r="J71" s="509">
        <f t="shared" si="17"/>
        <v>0.2398253968253968</v>
      </c>
      <c r="K71" s="509">
        <v>0.5</v>
      </c>
      <c r="L71" s="510">
        <f t="shared" si="9"/>
        <v>60</v>
      </c>
      <c r="M71" s="113">
        <f t="shared" si="10"/>
        <v>30</v>
      </c>
      <c r="N71" s="113">
        <f t="shared" si="11"/>
        <v>18</v>
      </c>
      <c r="O71" s="113">
        <f t="shared" si="12"/>
        <v>1080</v>
      </c>
      <c r="P71" s="114">
        <f t="shared" si="13"/>
        <v>1020</v>
      </c>
      <c r="Q71" s="113">
        <f t="shared" si="14"/>
        <v>1110</v>
      </c>
      <c r="R71" s="113">
        <f t="shared" si="15"/>
        <v>829</v>
      </c>
      <c r="S71" s="113">
        <f t="shared" si="16"/>
        <v>979</v>
      </c>
    </row>
    <row r="72" spans="1:19" s="112" customFormat="1">
      <c r="A72" s="112" t="str">
        <f>'Plant loading'!A82</f>
        <v>Rotherham</v>
      </c>
      <c r="B72" s="113" t="str">
        <f>'Plant loading'!B82</f>
        <v>PECRM</v>
      </c>
      <c r="C72" s="113" t="str">
        <f>'Plant loading'!C82</f>
        <v>eSure</v>
      </c>
      <c r="D72" s="113">
        <f>'Plant loading'!D82</f>
        <v>539</v>
      </c>
      <c r="E72" s="113">
        <f>'Plant loading'!E82</f>
        <v>532</v>
      </c>
      <c r="F72" s="113">
        <f>'Plant loading'!G82</f>
        <v>0</v>
      </c>
      <c r="G72" s="113">
        <f>'Plant loading'!H82</f>
        <v>36</v>
      </c>
      <c r="H72" s="113">
        <f>'Plant loading'!I82</f>
        <v>3.5</v>
      </c>
      <c r="I72" s="113">
        <f>'Plant loading'!J82</f>
        <v>126</v>
      </c>
      <c r="J72" s="509">
        <f t="shared" si="17"/>
        <v>0.24811111111111109</v>
      </c>
      <c r="K72" s="509">
        <v>0.5</v>
      </c>
      <c r="L72" s="510">
        <f t="shared" si="9"/>
        <v>60</v>
      </c>
      <c r="M72" s="113">
        <f t="shared" si="10"/>
        <v>30</v>
      </c>
      <c r="N72" s="113">
        <f t="shared" si="11"/>
        <v>18</v>
      </c>
      <c r="O72" s="113">
        <f t="shared" si="12"/>
        <v>1080</v>
      </c>
      <c r="P72" s="114">
        <f t="shared" si="13"/>
        <v>1020</v>
      </c>
      <c r="Q72" s="113">
        <f t="shared" si="14"/>
        <v>1110</v>
      </c>
      <c r="R72" s="113">
        <f t="shared" si="15"/>
        <v>814</v>
      </c>
      <c r="S72" s="113">
        <f t="shared" si="16"/>
        <v>964</v>
      </c>
    </row>
    <row r="73" spans="1:19" s="112" customFormat="1">
      <c r="A73" s="112" t="str">
        <f>'Plant loading'!A83</f>
        <v>Rotherham</v>
      </c>
      <c r="B73" s="113" t="str">
        <f>'Plant loading'!B83</f>
        <v>PEDRM</v>
      </c>
      <c r="C73" s="113" t="str">
        <f>'Plant loading'!C83</f>
        <v>eSure</v>
      </c>
      <c r="D73" s="113">
        <f>'Plant loading'!D83</f>
        <v>258</v>
      </c>
      <c r="E73" s="113">
        <f>'Plant loading'!E83</f>
        <v>263</v>
      </c>
      <c r="F73" s="113">
        <f>'Plant loading'!G83</f>
        <v>0.33772698412698415</v>
      </c>
      <c r="G73" s="113">
        <f>'Plant loading'!H83</f>
        <v>36</v>
      </c>
      <c r="H73" s="113">
        <f>'Plant loading'!I83</f>
        <v>3.5</v>
      </c>
      <c r="I73" s="113">
        <f>'Plant loading'!J83</f>
        <v>126</v>
      </c>
      <c r="J73" s="509">
        <f t="shared" si="17"/>
        <v>0.11876190476190476</v>
      </c>
      <c r="K73" s="509">
        <v>0.5</v>
      </c>
      <c r="L73" s="510">
        <f t="shared" si="9"/>
        <v>60</v>
      </c>
      <c r="M73" s="113">
        <f t="shared" si="10"/>
        <v>30</v>
      </c>
      <c r="N73" s="113">
        <f t="shared" si="11"/>
        <v>9</v>
      </c>
      <c r="O73" s="113">
        <f t="shared" si="12"/>
        <v>540</v>
      </c>
      <c r="P73" s="114">
        <f t="shared" si="13"/>
        <v>480</v>
      </c>
      <c r="Q73" s="113">
        <f t="shared" si="14"/>
        <v>570</v>
      </c>
      <c r="R73" s="113">
        <f t="shared" si="15"/>
        <v>362</v>
      </c>
      <c r="S73" s="113">
        <f t="shared" si="16"/>
        <v>512</v>
      </c>
    </row>
    <row r="74" spans="1:19" s="112" customFormat="1">
      <c r="A74" s="112" t="str">
        <f>'Plant loading'!A84</f>
        <v>Rotherham</v>
      </c>
      <c r="B74" s="113" t="str">
        <f>'Plant loading'!B84</f>
        <v>PEERM</v>
      </c>
      <c r="C74" s="113" t="str">
        <f>'Plant loading'!C84</f>
        <v>eSure</v>
      </c>
      <c r="D74" s="113">
        <f>'Plant loading'!D84</f>
        <v>213</v>
      </c>
      <c r="E74" s="113">
        <f>'Plant loading'!E84</f>
        <v>212</v>
      </c>
      <c r="F74" s="113">
        <f>'Plant loading'!G84</f>
        <v>0</v>
      </c>
      <c r="G74" s="113">
        <f>'Plant loading'!H84</f>
        <v>36</v>
      </c>
      <c r="H74" s="113">
        <f>'Plant loading'!I84</f>
        <v>3.5</v>
      </c>
      <c r="I74" s="113">
        <f>'Plant loading'!J84</f>
        <v>126</v>
      </c>
      <c r="J74" s="509">
        <f t="shared" si="17"/>
        <v>9.804761904761905E-2</v>
      </c>
      <c r="K74" s="509">
        <v>0.5</v>
      </c>
      <c r="L74" s="510">
        <f t="shared" si="9"/>
        <v>60</v>
      </c>
      <c r="M74" s="113">
        <f t="shared" si="10"/>
        <v>30</v>
      </c>
      <c r="N74" s="113">
        <f t="shared" si="11"/>
        <v>8</v>
      </c>
      <c r="O74" s="113">
        <f t="shared" si="12"/>
        <v>480</v>
      </c>
      <c r="P74" s="114">
        <f t="shared" si="13"/>
        <v>420</v>
      </c>
      <c r="Q74" s="113">
        <f t="shared" si="14"/>
        <v>510</v>
      </c>
      <c r="R74" s="113">
        <f t="shared" si="15"/>
        <v>347</v>
      </c>
      <c r="S74" s="113">
        <f t="shared" si="16"/>
        <v>497</v>
      </c>
    </row>
    <row r="75" spans="1:19">
      <c r="A75" t="str">
        <f>'Plant loading'!A85</f>
        <v>Southampton</v>
      </c>
      <c r="B75" s="5" t="str">
        <f>'Plant loading'!B85</f>
        <v>PEASN</v>
      </c>
      <c r="C75" s="5" t="str">
        <f>'Plant loading'!C85</f>
        <v>eSure</v>
      </c>
      <c r="D75" s="5">
        <f>'Plant loading'!D85</f>
        <v>360</v>
      </c>
      <c r="E75" s="5">
        <f>'Plant loading'!E85</f>
        <v>364</v>
      </c>
      <c r="F75" s="5">
        <f>'Plant loading'!G85</f>
        <v>92.867999999999995</v>
      </c>
      <c r="G75" s="5">
        <f>'Plant loading'!H85</f>
        <v>36</v>
      </c>
      <c r="H75" s="5">
        <f>'Plant loading'!I85</f>
        <v>3.5</v>
      </c>
      <c r="I75" s="5">
        <f>'Plant loading'!J85</f>
        <v>126</v>
      </c>
      <c r="J75" s="109">
        <f t="shared" si="17"/>
        <v>0.1657142857142857</v>
      </c>
      <c r="K75" s="109">
        <v>0.5</v>
      </c>
      <c r="L75" s="110">
        <f t="shared" si="9"/>
        <v>60</v>
      </c>
      <c r="M75" s="5">
        <f t="shared" si="10"/>
        <v>30</v>
      </c>
      <c r="N75" s="5">
        <f t="shared" si="11"/>
        <v>13</v>
      </c>
      <c r="O75" s="5">
        <f t="shared" si="12"/>
        <v>780</v>
      </c>
      <c r="P75" s="10">
        <f t="shared" si="13"/>
        <v>720</v>
      </c>
      <c r="Q75" s="5">
        <f t="shared" si="14"/>
        <v>810</v>
      </c>
      <c r="R75" s="5">
        <f t="shared" si="15"/>
        <v>594</v>
      </c>
      <c r="S75" s="5">
        <f t="shared" si="16"/>
        <v>744</v>
      </c>
    </row>
    <row r="76" spans="1:19">
      <c r="A76" t="str">
        <f>'Plant loading'!A86</f>
        <v>Southampton</v>
      </c>
      <c r="B76" s="5" t="str">
        <f>'Plant loading'!B86</f>
        <v>PEBSN</v>
      </c>
      <c r="C76" s="5" t="str">
        <f>'Plant loading'!C86</f>
        <v>eSure</v>
      </c>
      <c r="D76" s="5">
        <f>'Plant loading'!D86</f>
        <v>523</v>
      </c>
      <c r="E76" s="5">
        <f>'Plant loading'!E86</f>
        <v>520</v>
      </c>
      <c r="F76" s="5">
        <f>'Plant loading'!G86</f>
        <v>0</v>
      </c>
      <c r="G76" s="5">
        <f>'Plant loading'!H86</f>
        <v>36</v>
      </c>
      <c r="H76" s="5">
        <f>'Plant loading'!I86</f>
        <v>3.5</v>
      </c>
      <c r="I76" s="5">
        <f>'Plant loading'!J86</f>
        <v>126</v>
      </c>
      <c r="J76" s="109">
        <f t="shared" si="17"/>
        <v>0.24074603174603174</v>
      </c>
      <c r="K76" s="109">
        <v>0.5</v>
      </c>
      <c r="L76" s="110">
        <f t="shared" si="9"/>
        <v>60</v>
      </c>
      <c r="M76" s="5">
        <f t="shared" si="10"/>
        <v>30</v>
      </c>
      <c r="N76" s="5">
        <f t="shared" si="11"/>
        <v>18</v>
      </c>
      <c r="O76" s="5">
        <f t="shared" si="12"/>
        <v>1080</v>
      </c>
      <c r="P76" s="10">
        <f t="shared" si="13"/>
        <v>1020</v>
      </c>
      <c r="Q76" s="5">
        <f t="shared" si="14"/>
        <v>1110</v>
      </c>
      <c r="R76" s="5">
        <f t="shared" si="15"/>
        <v>834</v>
      </c>
      <c r="S76" s="5">
        <f t="shared" si="16"/>
        <v>984</v>
      </c>
    </row>
    <row r="77" spans="1:19">
      <c r="A77" t="str">
        <f>'Plant loading'!A87</f>
        <v>Southampton</v>
      </c>
      <c r="B77" s="5" t="str">
        <f>'Plant loading'!B87</f>
        <v>PECSN</v>
      </c>
      <c r="C77" s="5" t="str">
        <f>'Plant loading'!C87</f>
        <v>eSure</v>
      </c>
      <c r="D77" s="5">
        <f>'Plant loading'!D87</f>
        <v>473</v>
      </c>
      <c r="E77" s="5">
        <f>'Plant loading'!E87</f>
        <v>472</v>
      </c>
      <c r="F77" s="5">
        <f>'Plant loading'!G87</f>
        <v>0.36852380952380953</v>
      </c>
      <c r="G77" s="5">
        <f>'Plant loading'!H87</f>
        <v>36</v>
      </c>
      <c r="H77" s="5">
        <f>'Plant loading'!I87</f>
        <v>3.5</v>
      </c>
      <c r="I77" s="5">
        <f>'Plant loading'!J87</f>
        <v>126</v>
      </c>
      <c r="J77" s="109">
        <f t="shared" si="17"/>
        <v>0.21773015873015872</v>
      </c>
      <c r="K77" s="109">
        <v>0.5</v>
      </c>
      <c r="L77" s="110">
        <f t="shared" si="9"/>
        <v>60</v>
      </c>
      <c r="M77" s="5">
        <f t="shared" si="10"/>
        <v>30</v>
      </c>
      <c r="N77" s="5">
        <f t="shared" si="11"/>
        <v>16</v>
      </c>
      <c r="O77" s="5">
        <f t="shared" si="12"/>
        <v>960</v>
      </c>
      <c r="P77" s="10">
        <f t="shared" si="13"/>
        <v>900</v>
      </c>
      <c r="Q77" s="5">
        <f t="shared" si="14"/>
        <v>990</v>
      </c>
      <c r="R77" s="5">
        <f t="shared" si="15"/>
        <v>714</v>
      </c>
      <c r="S77" s="5">
        <f t="shared" si="16"/>
        <v>864</v>
      </c>
    </row>
    <row r="78" spans="1:19">
      <c r="A78" t="str">
        <f>'Plant loading'!A88</f>
        <v>Southampton</v>
      </c>
      <c r="B78" s="5" t="str">
        <f>'Plant loading'!B88</f>
        <v>PEESN</v>
      </c>
      <c r="C78" s="5" t="str">
        <f>'Plant loading'!C88</f>
        <v>eSure</v>
      </c>
      <c r="D78" s="5">
        <f>'Plant loading'!D88</f>
        <v>344</v>
      </c>
      <c r="E78" s="5">
        <f>'Plant loading'!E88</f>
        <v>348</v>
      </c>
      <c r="F78" s="5">
        <f>'Plant loading'!G88</f>
        <v>0</v>
      </c>
      <c r="G78" s="5">
        <f>'Plant loading'!H88</f>
        <v>36</v>
      </c>
      <c r="H78" s="5">
        <f>'Plant loading'!I88</f>
        <v>3.5</v>
      </c>
      <c r="I78" s="5">
        <f>'Plant loading'!J88</f>
        <v>126</v>
      </c>
      <c r="J78" s="109">
        <f t="shared" si="17"/>
        <v>0.15834920634920635</v>
      </c>
      <c r="K78" s="109">
        <v>0.5</v>
      </c>
      <c r="L78" s="110">
        <f t="shared" ref="L78:L115" si="18">ROUNDDOWN((H78*1000/58),0)</f>
        <v>60</v>
      </c>
      <c r="M78" s="5">
        <f t="shared" ref="M78:M115" si="19">L78*K78</f>
        <v>30</v>
      </c>
      <c r="N78" s="5">
        <f t="shared" ref="N78:N115" si="20">ROUNDUP((E78/M78),0)</f>
        <v>12</v>
      </c>
      <c r="O78" s="5">
        <f t="shared" ref="O78:O115" si="21">N78*L78</f>
        <v>720</v>
      </c>
      <c r="P78" s="10">
        <f t="shared" ref="P78:P115" si="22">O78-L78</f>
        <v>660</v>
      </c>
      <c r="Q78" s="5">
        <f t="shared" ref="Q78:Q115" si="23">O78+(L78*K78)</f>
        <v>750</v>
      </c>
      <c r="R78" s="5">
        <f t="shared" ref="R78:R115" si="24">ROUNDUP((P78-E78)/L78*100,0)</f>
        <v>520</v>
      </c>
      <c r="S78" s="5">
        <f t="shared" ref="S78:S115" si="25">ROUNDUP((Q78-E78)/(L78)*100,0)</f>
        <v>670</v>
      </c>
    </row>
    <row r="79" spans="1:19">
      <c r="A79" t="str">
        <f>'Plant loading'!A89</f>
        <v>Swanley</v>
      </c>
      <c r="B79" s="5" t="str">
        <f>'Plant loading'!B89</f>
        <v>PEASY</v>
      </c>
      <c r="C79" s="5" t="str">
        <f>'Plant loading'!C89</f>
        <v>eSure</v>
      </c>
      <c r="D79" s="5">
        <f>'Plant loading'!D89</f>
        <v>547</v>
      </c>
      <c r="E79" s="5">
        <f>'Plant loading'!E89</f>
        <v>546</v>
      </c>
      <c r="F79" s="5">
        <f>'Plant loading'!G89</f>
        <v>109.8175</v>
      </c>
      <c r="G79" s="5">
        <f>'Plant loading'!H89</f>
        <v>36</v>
      </c>
      <c r="H79" s="5">
        <f>'Plant loading'!I89</f>
        <v>3.5</v>
      </c>
      <c r="I79" s="5">
        <f>'Plant loading'!J89</f>
        <v>126</v>
      </c>
      <c r="J79" s="109">
        <f t="shared" si="17"/>
        <v>0.25179365079365079</v>
      </c>
      <c r="K79" s="109">
        <v>0.5</v>
      </c>
      <c r="L79" s="110">
        <f t="shared" si="18"/>
        <v>60</v>
      </c>
      <c r="M79" s="5">
        <f t="shared" si="19"/>
        <v>30</v>
      </c>
      <c r="N79" s="5">
        <f t="shared" si="20"/>
        <v>19</v>
      </c>
      <c r="O79" s="5">
        <f t="shared" si="21"/>
        <v>1140</v>
      </c>
      <c r="P79" s="10">
        <f t="shared" si="22"/>
        <v>1080</v>
      </c>
      <c r="Q79" s="5">
        <f t="shared" si="23"/>
        <v>1170</v>
      </c>
      <c r="R79" s="5">
        <f t="shared" si="24"/>
        <v>890</v>
      </c>
      <c r="S79" s="5">
        <f t="shared" si="25"/>
        <v>1040</v>
      </c>
    </row>
    <row r="80" spans="1:19">
      <c r="A80" t="str">
        <f>'Plant loading'!A90</f>
        <v>Swanley</v>
      </c>
      <c r="B80" s="5" t="str">
        <f>'Plant loading'!B90</f>
        <v>PEBSY</v>
      </c>
      <c r="C80" s="5" t="str">
        <f>'Plant loading'!C90</f>
        <v>eSure</v>
      </c>
      <c r="D80" s="5">
        <f>'Plant loading'!D90</f>
        <v>466</v>
      </c>
      <c r="E80" s="5">
        <f>'Plant loading'!E90</f>
        <v>465</v>
      </c>
      <c r="F80" s="5">
        <f>'Plant loading'!G90</f>
        <v>0</v>
      </c>
      <c r="G80" s="5">
        <f>'Plant loading'!H90</f>
        <v>36</v>
      </c>
      <c r="H80" s="5">
        <f>'Plant loading'!I90</f>
        <v>3.5</v>
      </c>
      <c r="I80" s="5">
        <f>'Plant loading'!J90</f>
        <v>126</v>
      </c>
      <c r="J80" s="109">
        <f t="shared" si="17"/>
        <v>0.21450793650793651</v>
      </c>
      <c r="K80" s="109">
        <v>0.5</v>
      </c>
      <c r="L80" s="110">
        <f t="shared" si="18"/>
        <v>60</v>
      </c>
      <c r="M80" s="5">
        <f t="shared" si="19"/>
        <v>30</v>
      </c>
      <c r="N80" s="5">
        <f t="shared" si="20"/>
        <v>16</v>
      </c>
      <c r="O80" s="5">
        <f t="shared" si="21"/>
        <v>960</v>
      </c>
      <c r="P80" s="10">
        <f t="shared" si="22"/>
        <v>900</v>
      </c>
      <c r="Q80" s="5">
        <f t="shared" si="23"/>
        <v>990</v>
      </c>
      <c r="R80" s="5">
        <f t="shared" si="24"/>
        <v>725</v>
      </c>
      <c r="S80" s="5">
        <f t="shared" si="25"/>
        <v>875</v>
      </c>
    </row>
    <row r="81" spans="1:19">
      <c r="A81" t="str">
        <f>'Plant loading'!A91</f>
        <v>Swanley</v>
      </c>
      <c r="B81" s="5" t="str">
        <f>'Plant loading'!B91</f>
        <v>PECSY</v>
      </c>
      <c r="C81" s="5" t="str">
        <f>'Plant loading'!C91</f>
        <v>eSure</v>
      </c>
      <c r="D81" s="5">
        <f>'Plant loading'!D91</f>
        <v>400</v>
      </c>
      <c r="E81" s="5">
        <f>'Plant loading'!E91</f>
        <v>398</v>
      </c>
      <c r="F81" s="5">
        <f>'Plant loading'!G91</f>
        <v>0</v>
      </c>
      <c r="G81" s="5">
        <f>'Plant loading'!H91</f>
        <v>36</v>
      </c>
      <c r="H81" s="5">
        <f>'Plant loading'!I91</f>
        <v>3.5</v>
      </c>
      <c r="I81" s="5">
        <f>'Plant loading'!J91</f>
        <v>126</v>
      </c>
      <c r="J81" s="109">
        <f t="shared" si="17"/>
        <v>0.18412698412698411</v>
      </c>
      <c r="K81" s="109">
        <v>0.5</v>
      </c>
      <c r="L81" s="110">
        <f t="shared" si="18"/>
        <v>60</v>
      </c>
      <c r="M81" s="5">
        <f t="shared" si="19"/>
        <v>30</v>
      </c>
      <c r="N81" s="5">
        <f t="shared" si="20"/>
        <v>14</v>
      </c>
      <c r="O81" s="5">
        <f t="shared" si="21"/>
        <v>840</v>
      </c>
      <c r="P81" s="10">
        <f t="shared" si="22"/>
        <v>780</v>
      </c>
      <c r="Q81" s="5">
        <f t="shared" si="23"/>
        <v>870</v>
      </c>
      <c r="R81" s="5">
        <f t="shared" si="24"/>
        <v>637</v>
      </c>
      <c r="S81" s="5">
        <f t="shared" si="25"/>
        <v>787</v>
      </c>
    </row>
    <row r="82" spans="1:19">
      <c r="A82" t="str">
        <f>'Plant loading'!A92</f>
        <v>Swanley</v>
      </c>
      <c r="B82" s="5" t="str">
        <f>'Plant loading'!B92</f>
        <v>PEDSY</v>
      </c>
      <c r="C82" s="5" t="str">
        <f>'Plant loading'!C92</f>
        <v>eSure</v>
      </c>
      <c r="D82" s="5">
        <f>'Plant loading'!D92</f>
        <v>283</v>
      </c>
      <c r="E82" s="5">
        <f>'Plant loading'!E92</f>
        <v>285</v>
      </c>
      <c r="F82" s="5">
        <f>'Plant loading'!G92</f>
        <v>0.36124177631578946</v>
      </c>
      <c r="G82" s="5">
        <f>'Plant loading'!H92</f>
        <v>36</v>
      </c>
      <c r="H82" s="5">
        <f>'Plant loading'!I92</f>
        <v>3.5</v>
      </c>
      <c r="I82" s="5">
        <f>'Plant loading'!J92</f>
        <v>126</v>
      </c>
      <c r="J82" s="109">
        <f t="shared" si="17"/>
        <v>0.13026984126984126</v>
      </c>
      <c r="K82" s="109">
        <v>0.5</v>
      </c>
      <c r="L82" s="110">
        <f t="shared" si="18"/>
        <v>60</v>
      </c>
      <c r="M82" s="5">
        <f t="shared" si="19"/>
        <v>30</v>
      </c>
      <c r="N82" s="5">
        <f t="shared" si="20"/>
        <v>10</v>
      </c>
      <c r="O82" s="5">
        <f t="shared" si="21"/>
        <v>600</v>
      </c>
      <c r="P82" s="10">
        <f t="shared" si="22"/>
        <v>540</v>
      </c>
      <c r="Q82" s="5">
        <f t="shared" si="23"/>
        <v>630</v>
      </c>
      <c r="R82" s="5">
        <f t="shared" si="24"/>
        <v>425</v>
      </c>
      <c r="S82" s="5">
        <f t="shared" si="25"/>
        <v>575</v>
      </c>
    </row>
    <row r="83" spans="1:19">
      <c r="A83" t="str">
        <f>'Plant loading'!A93</f>
        <v>Swanley</v>
      </c>
      <c r="B83" s="5" t="str">
        <f>'Plant loading'!B93</f>
        <v>PEESY</v>
      </c>
      <c r="C83" s="5" t="str">
        <f>'Plant loading'!C93</f>
        <v>eSure</v>
      </c>
      <c r="D83" s="5">
        <f>'Plant loading'!D93</f>
        <v>321</v>
      </c>
      <c r="E83" s="5">
        <f>'Plant loading'!E93</f>
        <v>321</v>
      </c>
      <c r="F83" s="5">
        <f>'Plant loading'!G93</f>
        <v>0</v>
      </c>
      <c r="G83" s="5">
        <f>'Plant loading'!H93</f>
        <v>30</v>
      </c>
      <c r="H83" s="5">
        <f>'Plant loading'!I93</f>
        <v>3.5</v>
      </c>
      <c r="I83" s="5">
        <f>'Plant loading'!J93</f>
        <v>105</v>
      </c>
      <c r="J83" s="109">
        <f t="shared" si="17"/>
        <v>0.1773142857142857</v>
      </c>
      <c r="K83" s="109">
        <v>0.5</v>
      </c>
      <c r="L83" s="110">
        <f t="shared" si="18"/>
        <v>60</v>
      </c>
      <c r="M83" s="5">
        <f t="shared" si="19"/>
        <v>30</v>
      </c>
      <c r="N83" s="5">
        <f t="shared" si="20"/>
        <v>11</v>
      </c>
      <c r="O83" s="5">
        <f t="shared" si="21"/>
        <v>660</v>
      </c>
      <c r="P83" s="10">
        <f t="shared" si="22"/>
        <v>600</v>
      </c>
      <c r="Q83" s="5">
        <f t="shared" si="23"/>
        <v>690</v>
      </c>
      <c r="R83" s="5">
        <f t="shared" si="24"/>
        <v>465</v>
      </c>
      <c r="S83" s="5">
        <f t="shared" si="25"/>
        <v>615</v>
      </c>
    </row>
    <row r="84" spans="1:19">
      <c r="A84" t="str">
        <f>'Plant loading'!A94</f>
        <v>Bristol</v>
      </c>
      <c r="B84" s="5" t="str">
        <f>'Plant loading'!B94</f>
        <v>PEFBL</v>
      </c>
      <c r="C84" s="5" t="str">
        <f>'Plant loading'!C94</f>
        <v>NetSure</v>
      </c>
      <c r="D84" s="5">
        <f>'Plant loading'!D94</f>
        <v>427</v>
      </c>
      <c r="E84" s="5">
        <f>'Plant loading'!E94</f>
        <v>428</v>
      </c>
      <c r="F84" s="5">
        <f>'Plant loading'!G94</f>
        <v>40.548000000000002</v>
      </c>
      <c r="G84" s="5">
        <f>'Plant loading'!H94</f>
        <v>36</v>
      </c>
      <c r="H84" s="5">
        <f>'Plant loading'!I94</f>
        <v>3.2</v>
      </c>
      <c r="I84" s="5">
        <f>'Plant loading'!J94</f>
        <v>115</v>
      </c>
      <c r="J84" s="109">
        <f t="shared" si="17"/>
        <v>0.21498263888888891</v>
      </c>
      <c r="K84" s="109">
        <v>0.5</v>
      </c>
      <c r="L84" s="110">
        <f t="shared" si="18"/>
        <v>55</v>
      </c>
      <c r="M84" s="5">
        <f t="shared" si="19"/>
        <v>27.5</v>
      </c>
      <c r="N84" s="5">
        <f t="shared" si="20"/>
        <v>16</v>
      </c>
      <c r="O84" s="5">
        <f t="shared" si="21"/>
        <v>880</v>
      </c>
      <c r="P84" s="10">
        <f t="shared" si="22"/>
        <v>825</v>
      </c>
      <c r="Q84" s="5">
        <f t="shared" si="23"/>
        <v>907.5</v>
      </c>
      <c r="R84" s="5">
        <f t="shared" si="24"/>
        <v>722</v>
      </c>
      <c r="S84" s="5">
        <f t="shared" si="25"/>
        <v>872</v>
      </c>
    </row>
    <row r="85" spans="1:19">
      <c r="A85" t="str">
        <f>'Plant loading'!A95</f>
        <v>Bristol</v>
      </c>
      <c r="B85" s="5" t="str">
        <f>'Plant loading'!B95</f>
        <v>PEHBL</v>
      </c>
      <c r="C85" s="5" t="str">
        <f>'Plant loading'!C95</f>
        <v>NetSure</v>
      </c>
      <c r="D85" s="5">
        <f>'Plant loading'!D95</f>
        <v>313</v>
      </c>
      <c r="E85" s="5">
        <f>'Plant loading'!E95</f>
        <v>316</v>
      </c>
      <c r="F85" s="5">
        <f>'Plant loading'!G95</f>
        <v>0</v>
      </c>
      <c r="G85" s="5">
        <f>'Plant loading'!H95</f>
        <v>36</v>
      </c>
      <c r="H85" s="5">
        <f>'Plant loading'!I95</f>
        <v>3.2</v>
      </c>
      <c r="I85" s="5">
        <f>'Plant loading'!J95</f>
        <v>115</v>
      </c>
      <c r="J85" s="109">
        <f t="shared" si="17"/>
        <v>0.15758680555555557</v>
      </c>
      <c r="K85" s="109">
        <v>0.5</v>
      </c>
      <c r="L85" s="110">
        <f t="shared" si="18"/>
        <v>55</v>
      </c>
      <c r="M85" s="5">
        <f t="shared" si="19"/>
        <v>27.5</v>
      </c>
      <c r="N85" s="5">
        <f t="shared" si="20"/>
        <v>12</v>
      </c>
      <c r="O85" s="5">
        <f t="shared" si="21"/>
        <v>660</v>
      </c>
      <c r="P85" s="10">
        <f t="shared" si="22"/>
        <v>605</v>
      </c>
      <c r="Q85" s="5">
        <f t="shared" si="23"/>
        <v>687.5</v>
      </c>
      <c r="R85" s="5">
        <f t="shared" si="24"/>
        <v>526</v>
      </c>
      <c r="S85" s="5">
        <f t="shared" si="25"/>
        <v>676</v>
      </c>
    </row>
    <row r="86" spans="1:19">
      <c r="A86" t="str">
        <f>'Plant loading'!A96</f>
        <v>Cardiff</v>
      </c>
      <c r="B86" s="5" t="str">
        <f>'Plant loading'!B96</f>
        <v>PECCF</v>
      </c>
      <c r="C86" s="5" t="str">
        <f>'Plant loading'!C96</f>
        <v>NetSure</v>
      </c>
      <c r="D86" s="5">
        <f>'Plant loading'!D96</f>
        <v>352</v>
      </c>
      <c r="E86" s="5">
        <f>'Plant loading'!E96</f>
        <v>352</v>
      </c>
      <c r="F86" s="5">
        <f>'Plant loading'!G96</f>
        <v>39.185499999999998</v>
      </c>
      <c r="G86" s="5">
        <f>'Plant loading'!H96</f>
        <v>36</v>
      </c>
      <c r="H86" s="5">
        <f>'Plant loading'!I96</f>
        <v>3.2</v>
      </c>
      <c r="I86" s="5">
        <f>'Plant loading'!J96</f>
        <v>115</v>
      </c>
      <c r="J86" s="109">
        <f t="shared" si="17"/>
        <v>0.17722222222222223</v>
      </c>
      <c r="K86" s="109">
        <v>0.5</v>
      </c>
      <c r="L86" s="110">
        <f t="shared" si="18"/>
        <v>55</v>
      </c>
      <c r="M86" s="5">
        <f t="shared" si="19"/>
        <v>27.5</v>
      </c>
      <c r="N86" s="5">
        <f t="shared" si="20"/>
        <v>13</v>
      </c>
      <c r="O86" s="5">
        <f t="shared" si="21"/>
        <v>715</v>
      </c>
      <c r="P86" s="10">
        <f t="shared" si="22"/>
        <v>660</v>
      </c>
      <c r="Q86" s="5">
        <f t="shared" si="23"/>
        <v>742.5</v>
      </c>
      <c r="R86" s="5">
        <f t="shared" si="24"/>
        <v>560</v>
      </c>
      <c r="S86" s="5">
        <f t="shared" si="25"/>
        <v>710</v>
      </c>
    </row>
    <row r="87" spans="1:19">
      <c r="A87" t="str">
        <f>'Plant loading'!A97</f>
        <v>Cardiff</v>
      </c>
      <c r="B87" s="5" t="str">
        <f>'Plant loading'!B97</f>
        <v>PEDCF</v>
      </c>
      <c r="C87" s="5" t="str">
        <f>'Plant loading'!C97</f>
        <v>NetSure</v>
      </c>
      <c r="D87" s="5">
        <f>'Plant loading'!D97</f>
        <v>166</v>
      </c>
      <c r="E87" s="5">
        <f>'Plant loading'!E97</f>
        <v>167</v>
      </c>
      <c r="F87" s="5">
        <f>'Plant loading'!G97</f>
        <v>0</v>
      </c>
      <c r="G87" s="5">
        <f>'Plant loading'!H97</f>
        <v>18</v>
      </c>
      <c r="H87" s="5">
        <f>'Plant loading'!I97</f>
        <v>3.2</v>
      </c>
      <c r="I87" s="5">
        <f>'Plant loading'!J97</f>
        <v>57</v>
      </c>
      <c r="J87" s="109">
        <f t="shared" si="17"/>
        <v>0.16715277777777779</v>
      </c>
      <c r="K87" s="109">
        <v>0.5</v>
      </c>
      <c r="L87" s="110">
        <f t="shared" si="18"/>
        <v>55</v>
      </c>
      <c r="M87" s="5">
        <f t="shared" si="19"/>
        <v>27.5</v>
      </c>
      <c r="N87" s="5">
        <f t="shared" si="20"/>
        <v>7</v>
      </c>
      <c r="O87" s="5">
        <f t="shared" si="21"/>
        <v>385</v>
      </c>
      <c r="P87" s="10">
        <f t="shared" si="22"/>
        <v>330</v>
      </c>
      <c r="Q87" s="5">
        <f t="shared" si="23"/>
        <v>412.5</v>
      </c>
      <c r="R87" s="5">
        <f t="shared" si="24"/>
        <v>297</v>
      </c>
      <c r="S87" s="5">
        <f t="shared" si="25"/>
        <v>447</v>
      </c>
    </row>
    <row r="88" spans="1:19">
      <c r="A88" t="str">
        <f>'Plant loading'!A98</f>
        <v>Cardiff</v>
      </c>
      <c r="B88" s="5" t="str">
        <f>'Plant loading'!B98</f>
        <v>PEECF</v>
      </c>
      <c r="C88" s="5" t="str">
        <f>'Plant loading'!C98</f>
        <v>NetSure</v>
      </c>
      <c r="D88" s="5">
        <f>'Plant loading'!D98</f>
        <v>198</v>
      </c>
      <c r="E88" s="5">
        <f>'Plant loading'!E98</f>
        <v>200</v>
      </c>
      <c r="F88" s="5">
        <f>'Plant loading'!G98</f>
        <v>0</v>
      </c>
      <c r="G88" s="5">
        <f>'Plant loading'!H98</f>
        <v>18</v>
      </c>
      <c r="H88" s="5">
        <f>'Plant loading'!I98</f>
        <v>3.2</v>
      </c>
      <c r="I88" s="5">
        <f>'Plant loading'!J98</f>
        <v>57</v>
      </c>
      <c r="J88" s="109">
        <f t="shared" si="17"/>
        <v>0.19937500000000002</v>
      </c>
      <c r="K88" s="109">
        <v>0.5</v>
      </c>
      <c r="L88" s="110">
        <f t="shared" si="18"/>
        <v>55</v>
      </c>
      <c r="M88" s="5">
        <f t="shared" si="19"/>
        <v>27.5</v>
      </c>
      <c r="N88" s="5">
        <f t="shared" si="20"/>
        <v>8</v>
      </c>
      <c r="O88" s="5">
        <f t="shared" si="21"/>
        <v>440</v>
      </c>
      <c r="P88" s="10">
        <f t="shared" si="22"/>
        <v>385</v>
      </c>
      <c r="Q88" s="5">
        <f t="shared" si="23"/>
        <v>467.5</v>
      </c>
      <c r="R88" s="5">
        <f t="shared" si="24"/>
        <v>337</v>
      </c>
      <c r="S88" s="5">
        <f t="shared" si="25"/>
        <v>487</v>
      </c>
    </row>
    <row r="89" spans="1:19">
      <c r="A89" t="str">
        <f>'Plant loading'!A99</f>
        <v>Carlisle</v>
      </c>
      <c r="B89" s="5" t="str">
        <f>'Plant loading'!B99</f>
        <v>PEACE</v>
      </c>
      <c r="C89" s="5" t="str">
        <f>'Plant loading'!C99</f>
        <v>NetSure</v>
      </c>
      <c r="D89" s="5">
        <f>'Plant loading'!D99</f>
        <v>397</v>
      </c>
      <c r="E89" s="5">
        <f>'Plant loading'!E99</f>
        <v>396</v>
      </c>
      <c r="F89" s="5">
        <f>'Plant loading'!G99</f>
        <v>45.9435</v>
      </c>
      <c r="G89" s="5">
        <f>'Plant loading'!H99</f>
        <v>36</v>
      </c>
      <c r="H89" s="5">
        <f>'Plant loading'!I99</f>
        <v>3.2</v>
      </c>
      <c r="I89" s="5">
        <f>'Plant loading'!J99</f>
        <v>115</v>
      </c>
      <c r="J89" s="109">
        <f t="shared" si="17"/>
        <v>0.19987847222222224</v>
      </c>
      <c r="K89" s="109">
        <v>0.5</v>
      </c>
      <c r="L89" s="110">
        <f t="shared" si="18"/>
        <v>55</v>
      </c>
      <c r="M89" s="5">
        <f t="shared" si="19"/>
        <v>27.5</v>
      </c>
      <c r="N89" s="5">
        <f t="shared" si="20"/>
        <v>15</v>
      </c>
      <c r="O89" s="5">
        <f t="shared" si="21"/>
        <v>825</v>
      </c>
      <c r="P89" s="10">
        <f t="shared" si="22"/>
        <v>770</v>
      </c>
      <c r="Q89" s="5">
        <f t="shared" si="23"/>
        <v>852.5</v>
      </c>
      <c r="R89" s="5">
        <f t="shared" si="24"/>
        <v>680</v>
      </c>
      <c r="S89" s="5">
        <f t="shared" si="25"/>
        <v>830</v>
      </c>
    </row>
    <row r="90" spans="1:19">
      <c r="A90" t="str">
        <f>'Plant loading'!A100</f>
        <v>Carlisle</v>
      </c>
      <c r="B90" s="5" t="str">
        <f>'Plant loading'!B100</f>
        <v>PEBCE</v>
      </c>
      <c r="C90" s="5" t="str">
        <f>'Plant loading'!C100</f>
        <v>NetSure</v>
      </c>
      <c r="D90" s="5">
        <f>'Plant loading'!D100</f>
        <v>448</v>
      </c>
      <c r="E90" s="5">
        <f>'Plant loading'!E100</f>
        <v>447</v>
      </c>
      <c r="F90" s="5">
        <f>'Plant loading'!G100</f>
        <v>0</v>
      </c>
      <c r="G90" s="5">
        <f>'Plant loading'!H100</f>
        <v>36</v>
      </c>
      <c r="H90" s="5">
        <f>'Plant loading'!I100</f>
        <v>3.2</v>
      </c>
      <c r="I90" s="5">
        <f>'Plant loading'!J100</f>
        <v>115</v>
      </c>
      <c r="J90" s="109">
        <f t="shared" si="17"/>
        <v>0.22555555555555556</v>
      </c>
      <c r="K90" s="109">
        <v>0.5</v>
      </c>
      <c r="L90" s="110">
        <f t="shared" si="18"/>
        <v>55</v>
      </c>
      <c r="M90" s="5">
        <f t="shared" si="19"/>
        <v>27.5</v>
      </c>
      <c r="N90" s="5">
        <f t="shared" si="20"/>
        <v>17</v>
      </c>
      <c r="O90" s="5">
        <f t="shared" si="21"/>
        <v>935</v>
      </c>
      <c r="P90" s="10">
        <f t="shared" si="22"/>
        <v>880</v>
      </c>
      <c r="Q90" s="5">
        <f t="shared" si="23"/>
        <v>962.5</v>
      </c>
      <c r="R90" s="5">
        <f t="shared" si="24"/>
        <v>788</v>
      </c>
      <c r="S90" s="5">
        <f t="shared" si="25"/>
        <v>938</v>
      </c>
    </row>
    <row r="91" spans="1:19">
      <c r="A91" t="str">
        <f>'Plant loading'!A101</f>
        <v>Croydon</v>
      </c>
      <c r="B91" s="5" t="str">
        <f>'Plant loading'!B101</f>
        <v>PEFCN</v>
      </c>
      <c r="C91" s="5" t="str">
        <f>'Plant loading'!C101</f>
        <v>NetSure</v>
      </c>
      <c r="D91" s="5">
        <f>'Plant loading'!D101</f>
        <v>257</v>
      </c>
      <c r="E91" s="5">
        <f>'Plant loading'!E101</f>
        <v>256</v>
      </c>
      <c r="F91" s="5">
        <f>'Plant loading'!G101</f>
        <v>32.917999999999999</v>
      </c>
      <c r="G91" s="5">
        <f>'Plant loading'!H101</f>
        <v>36</v>
      </c>
      <c r="H91" s="5">
        <f>'Plant loading'!I101</f>
        <v>3.2</v>
      </c>
      <c r="I91" s="5">
        <f>'Plant loading'!J101</f>
        <v>115</v>
      </c>
      <c r="J91" s="109">
        <f t="shared" si="17"/>
        <v>0.12939236111111113</v>
      </c>
      <c r="K91" s="109">
        <v>0.5</v>
      </c>
      <c r="L91" s="110">
        <f t="shared" si="18"/>
        <v>55</v>
      </c>
      <c r="M91" s="5">
        <f t="shared" si="19"/>
        <v>27.5</v>
      </c>
      <c r="N91" s="5">
        <f t="shared" si="20"/>
        <v>10</v>
      </c>
      <c r="O91" s="5">
        <f t="shared" si="21"/>
        <v>550</v>
      </c>
      <c r="P91" s="10">
        <f t="shared" si="22"/>
        <v>495</v>
      </c>
      <c r="Q91" s="5">
        <f t="shared" si="23"/>
        <v>577.5</v>
      </c>
      <c r="R91" s="5">
        <f t="shared" si="24"/>
        <v>435</v>
      </c>
      <c r="S91" s="5">
        <f t="shared" si="25"/>
        <v>585</v>
      </c>
    </row>
    <row r="92" spans="1:19">
      <c r="A92" t="str">
        <f>'Plant loading'!A102</f>
        <v>Croydon</v>
      </c>
      <c r="B92" s="5" t="str">
        <f>'Plant loading'!B102</f>
        <v>PEGCN</v>
      </c>
      <c r="C92" s="5" t="str">
        <f>'Plant loading'!C102</f>
        <v>NetSure</v>
      </c>
      <c r="D92" s="5">
        <f>'Plant loading'!D102</f>
        <v>348</v>
      </c>
      <c r="E92" s="5">
        <f>'Plant loading'!E102</f>
        <v>348</v>
      </c>
      <c r="F92" s="5">
        <f>'Plant loading'!G102</f>
        <v>0</v>
      </c>
      <c r="G92" s="5">
        <f>'Plant loading'!H102</f>
        <v>36</v>
      </c>
      <c r="H92" s="5">
        <f>'Plant loading'!I102</f>
        <v>3.2</v>
      </c>
      <c r="I92" s="5">
        <f>'Plant loading'!J102</f>
        <v>115</v>
      </c>
      <c r="J92" s="109">
        <f t="shared" si="17"/>
        <v>0.17520833333333335</v>
      </c>
      <c r="K92" s="109">
        <v>0.5</v>
      </c>
      <c r="L92" s="110">
        <f t="shared" si="18"/>
        <v>55</v>
      </c>
      <c r="M92" s="5">
        <f t="shared" si="19"/>
        <v>27.5</v>
      </c>
      <c r="N92" s="5">
        <f t="shared" si="20"/>
        <v>13</v>
      </c>
      <c r="O92" s="5">
        <f t="shared" si="21"/>
        <v>715</v>
      </c>
      <c r="P92" s="10">
        <f t="shared" si="22"/>
        <v>660</v>
      </c>
      <c r="Q92" s="5">
        <f t="shared" si="23"/>
        <v>742.5</v>
      </c>
      <c r="R92" s="5">
        <f t="shared" si="24"/>
        <v>568</v>
      </c>
      <c r="S92" s="5">
        <f t="shared" si="25"/>
        <v>718</v>
      </c>
    </row>
    <row r="93" spans="1:19">
      <c r="A93" t="str">
        <f>'Plant loading'!A103</f>
        <v>Glasgow TXO</v>
      </c>
      <c r="B93" s="5" t="str">
        <f>'Plant loading'!B103</f>
        <v>PEJGW</v>
      </c>
      <c r="C93" s="5" t="str">
        <f>'Plant loading'!C103</f>
        <v>eSure</v>
      </c>
      <c r="D93" s="5">
        <f>'Plant loading'!D103</f>
        <v>90</v>
      </c>
      <c r="E93" s="5">
        <f>'Plant loading'!E103</f>
        <v>89</v>
      </c>
      <c r="F93" s="5">
        <f>'Plant loading'!G103</f>
        <v>9.5374999999999996</v>
      </c>
      <c r="G93" s="5">
        <f>'Plant loading'!H103</f>
        <v>9</v>
      </c>
      <c r="H93" s="5">
        <f>'Plant loading'!I103</f>
        <v>3.5</v>
      </c>
      <c r="I93" s="5">
        <f>'Plant loading'!J103</f>
        <v>31</v>
      </c>
      <c r="J93" s="109">
        <f t="shared" si="17"/>
        <v>0.1657142857142857</v>
      </c>
      <c r="K93" s="109">
        <v>0.5</v>
      </c>
      <c r="L93" s="110">
        <f t="shared" si="18"/>
        <v>60</v>
      </c>
      <c r="M93" s="5">
        <f t="shared" si="19"/>
        <v>30</v>
      </c>
      <c r="N93" s="5">
        <f t="shared" si="20"/>
        <v>3</v>
      </c>
      <c r="O93" s="5">
        <f t="shared" si="21"/>
        <v>180</v>
      </c>
      <c r="P93" s="10">
        <f t="shared" si="22"/>
        <v>120</v>
      </c>
      <c r="Q93" s="5">
        <f t="shared" si="23"/>
        <v>210</v>
      </c>
      <c r="R93" s="5">
        <f t="shared" si="24"/>
        <v>52</v>
      </c>
      <c r="S93" s="5">
        <f t="shared" si="25"/>
        <v>202</v>
      </c>
    </row>
    <row r="94" spans="1:19">
      <c r="A94" t="str">
        <f>'Plant loading'!A104</f>
        <v>Glasgow TXO</v>
      </c>
      <c r="B94" s="5" t="str">
        <f>'Plant loading'!B104</f>
        <v>PEKGW</v>
      </c>
      <c r="C94" s="5" t="str">
        <f>'Plant loading'!C104</f>
        <v>eSure</v>
      </c>
      <c r="D94" s="5">
        <f>'Plant loading'!D104</f>
        <v>84</v>
      </c>
      <c r="E94" s="5">
        <f>'Plant loading'!E104</f>
        <v>86</v>
      </c>
      <c r="F94" s="5">
        <f>'Plant loading'!G104</f>
        <v>0</v>
      </c>
      <c r="G94" s="5">
        <f>'Plant loading'!H104</f>
        <v>9</v>
      </c>
      <c r="H94" s="5">
        <f>'Plant loading'!I104</f>
        <v>3.5</v>
      </c>
      <c r="I94" s="5">
        <f>'Plant loading'!J104</f>
        <v>31</v>
      </c>
      <c r="J94" s="109">
        <f t="shared" si="17"/>
        <v>0.15466666666666665</v>
      </c>
      <c r="K94" s="109">
        <v>0.5</v>
      </c>
      <c r="L94" s="110">
        <f t="shared" si="18"/>
        <v>60</v>
      </c>
      <c r="M94" s="5">
        <f t="shared" si="19"/>
        <v>30</v>
      </c>
      <c r="N94" s="5">
        <f t="shared" si="20"/>
        <v>3</v>
      </c>
      <c r="O94" s="5">
        <f t="shared" si="21"/>
        <v>180</v>
      </c>
      <c r="P94" s="10">
        <f t="shared" si="22"/>
        <v>120</v>
      </c>
      <c r="Q94" s="5">
        <f t="shared" si="23"/>
        <v>210</v>
      </c>
      <c r="R94" s="5">
        <f t="shared" si="24"/>
        <v>57</v>
      </c>
      <c r="S94" s="5">
        <f t="shared" si="25"/>
        <v>207</v>
      </c>
    </row>
    <row r="95" spans="1:19">
      <c r="A95" t="e">
        <f>'Plant loading'!#REF!</f>
        <v>#REF!</v>
      </c>
      <c r="B95" s="5" t="e">
        <f>'Plant loading'!#REF!</f>
        <v>#REF!</v>
      </c>
      <c r="C95" s="5" t="e">
        <f>'Plant loading'!#REF!</f>
        <v>#REF!</v>
      </c>
      <c r="D95" s="5" t="e">
        <f>'Plant loading'!#REF!</f>
        <v>#REF!</v>
      </c>
      <c r="E95" s="5" t="e">
        <f>'Plant loading'!#REF!</f>
        <v>#REF!</v>
      </c>
      <c r="F95" s="5" t="e">
        <f>'Plant loading'!#REF!</f>
        <v>#REF!</v>
      </c>
      <c r="G95" s="5" t="e">
        <f>'Plant loading'!#REF!</f>
        <v>#REF!</v>
      </c>
      <c r="H95" s="5" t="e">
        <f>'Plant loading'!#REF!</f>
        <v>#REF!</v>
      </c>
      <c r="I95" s="5" t="e">
        <f>'Plant loading'!#REF!</f>
        <v>#REF!</v>
      </c>
      <c r="J95" s="109" t="e">
        <f t="shared" si="17"/>
        <v>#REF!</v>
      </c>
      <c r="K95" s="109">
        <v>0.5</v>
      </c>
      <c r="L95" s="110" t="e">
        <f t="shared" si="18"/>
        <v>#REF!</v>
      </c>
      <c r="M95" s="5" t="e">
        <f t="shared" si="19"/>
        <v>#REF!</v>
      </c>
      <c r="N95" s="5" t="e">
        <f t="shared" si="20"/>
        <v>#REF!</v>
      </c>
      <c r="O95" s="5" t="e">
        <f t="shared" si="21"/>
        <v>#REF!</v>
      </c>
      <c r="P95" s="10" t="e">
        <f t="shared" si="22"/>
        <v>#REF!</v>
      </c>
      <c r="Q95" s="5" t="e">
        <f t="shared" si="23"/>
        <v>#REF!</v>
      </c>
      <c r="R95" s="5" t="e">
        <f t="shared" si="24"/>
        <v>#REF!</v>
      </c>
      <c r="S95" s="5" t="e">
        <f t="shared" si="25"/>
        <v>#REF!</v>
      </c>
    </row>
    <row r="96" spans="1:19">
      <c r="A96" t="e">
        <f>'Plant loading'!#REF!</f>
        <v>#REF!</v>
      </c>
      <c r="B96" s="5" t="e">
        <f>'Plant loading'!#REF!</f>
        <v>#REF!</v>
      </c>
      <c r="C96" s="5" t="e">
        <f>'Plant loading'!#REF!</f>
        <v>#REF!</v>
      </c>
      <c r="D96" s="5" t="e">
        <f>'Plant loading'!#REF!</f>
        <v>#REF!</v>
      </c>
      <c r="E96" s="5" t="e">
        <f>'Plant loading'!#REF!</f>
        <v>#REF!</v>
      </c>
      <c r="F96" s="5" t="e">
        <f>'Plant loading'!#REF!</f>
        <v>#REF!</v>
      </c>
      <c r="G96" s="5" t="e">
        <f>'Plant loading'!#REF!</f>
        <v>#REF!</v>
      </c>
      <c r="H96" s="5" t="e">
        <f>'Plant loading'!#REF!</f>
        <v>#REF!</v>
      </c>
      <c r="I96" s="5" t="e">
        <f>'Plant loading'!#REF!</f>
        <v>#REF!</v>
      </c>
      <c r="J96" s="109" t="e">
        <f t="shared" si="17"/>
        <v>#REF!</v>
      </c>
      <c r="K96" s="109">
        <v>0.5</v>
      </c>
      <c r="L96" s="110" t="e">
        <f t="shared" si="18"/>
        <v>#REF!</v>
      </c>
      <c r="M96" s="5" t="e">
        <f t="shared" si="19"/>
        <v>#REF!</v>
      </c>
      <c r="N96" s="5" t="e">
        <f t="shared" si="20"/>
        <v>#REF!</v>
      </c>
      <c r="O96" s="5" t="e">
        <f t="shared" si="21"/>
        <v>#REF!</v>
      </c>
      <c r="P96" s="10" t="e">
        <f t="shared" si="22"/>
        <v>#REF!</v>
      </c>
      <c r="Q96" s="5" t="e">
        <f t="shared" si="23"/>
        <v>#REF!</v>
      </c>
      <c r="R96" s="5" t="e">
        <f t="shared" si="24"/>
        <v>#REF!</v>
      </c>
      <c r="S96" s="5" t="e">
        <f t="shared" si="25"/>
        <v>#REF!</v>
      </c>
    </row>
    <row r="97" spans="1:19">
      <c r="A97" t="e">
        <f>'Plant loading'!#REF!</f>
        <v>#REF!</v>
      </c>
      <c r="B97" s="5" t="e">
        <f>'Plant loading'!#REF!</f>
        <v>#REF!</v>
      </c>
      <c r="C97" s="5" t="e">
        <f>'Plant loading'!#REF!</f>
        <v>#REF!</v>
      </c>
      <c r="D97" s="5" t="e">
        <f>'Plant loading'!#REF!</f>
        <v>#REF!</v>
      </c>
      <c r="E97" s="5" t="e">
        <f>'Plant loading'!#REF!</f>
        <v>#REF!</v>
      </c>
      <c r="F97" s="5" t="e">
        <f>'Plant loading'!#REF!</f>
        <v>#REF!</v>
      </c>
      <c r="G97" s="5" t="e">
        <f>'Plant loading'!#REF!</f>
        <v>#REF!</v>
      </c>
      <c r="H97" s="5" t="e">
        <f>'Plant loading'!#REF!</f>
        <v>#REF!</v>
      </c>
      <c r="I97" s="5" t="e">
        <f>'Plant loading'!#REF!</f>
        <v>#REF!</v>
      </c>
      <c r="J97" s="109" t="e">
        <f t="shared" si="17"/>
        <v>#REF!</v>
      </c>
      <c r="K97" s="109">
        <v>0.5</v>
      </c>
      <c r="L97" s="110" t="e">
        <f t="shared" si="18"/>
        <v>#REF!</v>
      </c>
      <c r="M97" s="5" t="e">
        <f t="shared" si="19"/>
        <v>#REF!</v>
      </c>
      <c r="N97" s="5" t="e">
        <f t="shared" si="20"/>
        <v>#REF!</v>
      </c>
      <c r="O97" s="5" t="e">
        <f t="shared" si="21"/>
        <v>#REF!</v>
      </c>
      <c r="P97" s="10" t="e">
        <f t="shared" si="22"/>
        <v>#REF!</v>
      </c>
      <c r="Q97" s="5" t="e">
        <f t="shared" si="23"/>
        <v>#REF!</v>
      </c>
      <c r="R97" s="5" t="e">
        <f t="shared" si="24"/>
        <v>#REF!</v>
      </c>
      <c r="S97" s="5" t="e">
        <f t="shared" si="25"/>
        <v>#REF!</v>
      </c>
    </row>
    <row r="98" spans="1:19">
      <c r="A98" t="e">
        <f>'Plant loading'!#REF!</f>
        <v>#REF!</v>
      </c>
      <c r="B98" s="5" t="e">
        <f>'Plant loading'!#REF!</f>
        <v>#REF!</v>
      </c>
      <c r="C98" s="5" t="e">
        <f>'Plant loading'!#REF!</f>
        <v>#REF!</v>
      </c>
      <c r="D98" s="5" t="e">
        <f>'Plant loading'!#REF!</f>
        <v>#REF!</v>
      </c>
      <c r="E98" s="5" t="e">
        <f>'Plant loading'!#REF!</f>
        <v>#REF!</v>
      </c>
      <c r="F98" s="5" t="e">
        <f>'Plant loading'!#REF!</f>
        <v>#REF!</v>
      </c>
      <c r="G98" s="5" t="e">
        <f>'Plant loading'!#REF!</f>
        <v>#REF!</v>
      </c>
      <c r="H98" s="5" t="e">
        <f>'Plant loading'!#REF!</f>
        <v>#REF!</v>
      </c>
      <c r="I98" s="5" t="e">
        <f>'Plant loading'!#REF!</f>
        <v>#REF!</v>
      </c>
      <c r="J98" s="109" t="e">
        <f t="shared" si="17"/>
        <v>#REF!</v>
      </c>
      <c r="K98" s="109">
        <v>0.5</v>
      </c>
      <c r="L98" s="110" t="e">
        <f t="shared" si="18"/>
        <v>#REF!</v>
      </c>
      <c r="M98" s="5" t="e">
        <f t="shared" si="19"/>
        <v>#REF!</v>
      </c>
      <c r="N98" s="5" t="e">
        <f t="shared" si="20"/>
        <v>#REF!</v>
      </c>
      <c r="O98" s="5" t="e">
        <f t="shared" si="21"/>
        <v>#REF!</v>
      </c>
      <c r="P98" s="10" t="e">
        <f t="shared" si="22"/>
        <v>#REF!</v>
      </c>
      <c r="Q98" s="5" t="e">
        <f t="shared" si="23"/>
        <v>#REF!</v>
      </c>
      <c r="R98" s="5" t="e">
        <f t="shared" si="24"/>
        <v>#REF!</v>
      </c>
      <c r="S98" s="5" t="e">
        <f t="shared" si="25"/>
        <v>#REF!</v>
      </c>
    </row>
    <row r="99" spans="1:19">
      <c r="A99" t="str">
        <f>'Plant loading'!A105</f>
        <v>Leicester</v>
      </c>
      <c r="B99" s="5" t="str">
        <f>'Plant loading'!B105</f>
        <v>PEFLR</v>
      </c>
      <c r="C99" s="5" t="str">
        <f>'Plant loading'!C105</f>
        <v>NetSure</v>
      </c>
      <c r="D99" s="5">
        <f>'Plant loading'!D105</f>
        <v>618</v>
      </c>
      <c r="E99" s="5">
        <f>'Plant loading'!E105</f>
        <v>606</v>
      </c>
      <c r="F99" s="5">
        <f>'Plant loading'!G105</f>
        <v>61.094499999999996</v>
      </c>
      <c r="G99" s="5">
        <f>'Plant loading'!H105</f>
        <v>36</v>
      </c>
      <c r="H99" s="5">
        <f>'Plant loading'!I105</f>
        <v>3.2</v>
      </c>
      <c r="I99" s="5">
        <f>'Plant loading'!J105</f>
        <v>115</v>
      </c>
      <c r="J99" s="109">
        <f t="shared" si="17"/>
        <v>0.31114583333333334</v>
      </c>
      <c r="K99" s="109">
        <v>0.5</v>
      </c>
      <c r="L99" s="110">
        <f t="shared" si="18"/>
        <v>55</v>
      </c>
      <c r="M99" s="5">
        <f t="shared" si="19"/>
        <v>27.5</v>
      </c>
      <c r="N99" s="5">
        <f t="shared" si="20"/>
        <v>23</v>
      </c>
      <c r="O99" s="5">
        <f t="shared" si="21"/>
        <v>1265</v>
      </c>
      <c r="P99" s="10">
        <f t="shared" si="22"/>
        <v>1210</v>
      </c>
      <c r="Q99" s="5">
        <f t="shared" si="23"/>
        <v>1292.5</v>
      </c>
      <c r="R99" s="5">
        <f t="shared" si="24"/>
        <v>1099</v>
      </c>
      <c r="S99" s="5">
        <f t="shared" si="25"/>
        <v>1249</v>
      </c>
    </row>
    <row r="100" spans="1:19">
      <c r="A100" t="str">
        <f>'Plant loading'!A106</f>
        <v>Leicester</v>
      </c>
      <c r="B100" s="5" t="str">
        <f>'Plant loading'!B106</f>
        <v>PEGLR</v>
      </c>
      <c r="C100" s="5" t="str">
        <f>'Plant loading'!C106</f>
        <v>NetSure</v>
      </c>
      <c r="D100" s="5">
        <f>'Plant loading'!D106</f>
        <v>521</v>
      </c>
      <c r="E100" s="5">
        <f>'Plant loading'!E106</f>
        <v>515</v>
      </c>
      <c r="F100" s="5">
        <f>'Plant loading'!G106</f>
        <v>0</v>
      </c>
      <c r="G100" s="5">
        <f>'Plant loading'!H106</f>
        <v>36</v>
      </c>
      <c r="H100" s="5">
        <f>'Plant loading'!I106</f>
        <v>3.2</v>
      </c>
      <c r="I100" s="5">
        <f>'Plant loading'!J106</f>
        <v>115</v>
      </c>
      <c r="J100" s="109">
        <f t="shared" si="17"/>
        <v>0.26230902777777781</v>
      </c>
      <c r="K100" s="109">
        <v>0.5</v>
      </c>
      <c r="L100" s="110">
        <f t="shared" si="18"/>
        <v>55</v>
      </c>
      <c r="M100" s="5">
        <f t="shared" si="19"/>
        <v>27.5</v>
      </c>
      <c r="N100" s="5">
        <f t="shared" si="20"/>
        <v>19</v>
      </c>
      <c r="O100" s="5">
        <f t="shared" si="21"/>
        <v>1045</v>
      </c>
      <c r="P100" s="10">
        <f t="shared" si="22"/>
        <v>990</v>
      </c>
      <c r="Q100" s="5">
        <f t="shared" si="23"/>
        <v>1072.5</v>
      </c>
      <c r="R100" s="5">
        <f t="shared" si="24"/>
        <v>864</v>
      </c>
      <c r="S100" s="5">
        <f t="shared" si="25"/>
        <v>1014</v>
      </c>
    </row>
    <row r="101" spans="1:19">
      <c r="A101" t="str">
        <f>'Plant loading'!A107</f>
        <v>Newbury</v>
      </c>
      <c r="B101" s="5" t="str">
        <f>'Plant loading'!B107</f>
        <v>PEGNY</v>
      </c>
      <c r="C101" s="5" t="str">
        <f>'Plant loading'!C107</f>
        <v>NetSure</v>
      </c>
      <c r="D101" s="5">
        <f>'Plant loading'!D107</f>
        <v>320</v>
      </c>
      <c r="E101" s="5">
        <f>'Plant loading'!E107</f>
        <v>317</v>
      </c>
      <c r="F101" s="5">
        <f>'Plant loading'!G107</f>
        <v>33.244999999999997</v>
      </c>
      <c r="G101" s="5">
        <f>'Plant loading'!H107</f>
        <v>36</v>
      </c>
      <c r="H101" s="5">
        <f>'Plant loading'!I107</f>
        <v>3.2</v>
      </c>
      <c r="I101" s="5">
        <f>'Plant loading'!J107</f>
        <v>115</v>
      </c>
      <c r="J101" s="109">
        <f t="shared" si="17"/>
        <v>0.16111111111111112</v>
      </c>
      <c r="K101" s="109">
        <v>0.5</v>
      </c>
      <c r="L101" s="110">
        <f t="shared" si="18"/>
        <v>55</v>
      </c>
      <c r="M101" s="5">
        <f t="shared" si="19"/>
        <v>27.5</v>
      </c>
      <c r="N101" s="5">
        <f t="shared" si="20"/>
        <v>12</v>
      </c>
      <c r="O101" s="5">
        <f t="shared" si="21"/>
        <v>660</v>
      </c>
      <c r="P101" s="10">
        <f t="shared" si="22"/>
        <v>605</v>
      </c>
      <c r="Q101" s="5">
        <f t="shared" si="23"/>
        <v>687.5</v>
      </c>
      <c r="R101" s="5">
        <f t="shared" si="24"/>
        <v>524</v>
      </c>
      <c r="S101" s="5">
        <f t="shared" si="25"/>
        <v>674</v>
      </c>
    </row>
    <row r="102" spans="1:19">
      <c r="A102" t="str">
        <f>'Plant loading'!A108</f>
        <v>Newbury</v>
      </c>
      <c r="B102" s="5" t="str">
        <f>'Plant loading'!B108</f>
        <v>PEHNY</v>
      </c>
      <c r="C102" s="5" t="str">
        <f>'Plant loading'!C108</f>
        <v>NetSure</v>
      </c>
      <c r="D102" s="5">
        <f>'Plant loading'!D108</f>
        <v>294</v>
      </c>
      <c r="E102" s="5">
        <f>'Plant loading'!E108</f>
        <v>293</v>
      </c>
      <c r="F102" s="5">
        <f>'Plant loading'!G108</f>
        <v>0</v>
      </c>
      <c r="G102" s="5">
        <f>'Plant loading'!H108</f>
        <v>36</v>
      </c>
      <c r="H102" s="5">
        <f>'Plant loading'!I108</f>
        <v>3.2</v>
      </c>
      <c r="I102" s="5">
        <f>'Plant loading'!J108</f>
        <v>115</v>
      </c>
      <c r="J102" s="109">
        <f t="shared" si="17"/>
        <v>0.14802083333333335</v>
      </c>
      <c r="K102" s="109">
        <v>0.5</v>
      </c>
      <c r="L102" s="110">
        <f t="shared" si="18"/>
        <v>55</v>
      </c>
      <c r="M102" s="5">
        <f t="shared" si="19"/>
        <v>27.5</v>
      </c>
      <c r="N102" s="5">
        <f t="shared" si="20"/>
        <v>11</v>
      </c>
      <c r="O102" s="5">
        <f t="shared" si="21"/>
        <v>605</v>
      </c>
      <c r="P102" s="10">
        <f t="shared" si="22"/>
        <v>550</v>
      </c>
      <c r="Q102" s="5">
        <f t="shared" si="23"/>
        <v>632.5</v>
      </c>
      <c r="R102" s="5">
        <f t="shared" si="24"/>
        <v>468</v>
      </c>
      <c r="S102" s="5">
        <f t="shared" si="25"/>
        <v>618</v>
      </c>
    </row>
    <row r="103" spans="1:19">
      <c r="A103" t="e">
        <f>'Plant loading'!#REF!</f>
        <v>#REF!</v>
      </c>
      <c r="B103" s="5" t="e">
        <f>'Plant loading'!#REF!</f>
        <v>#REF!</v>
      </c>
      <c r="C103" s="5" t="e">
        <f>'Plant loading'!#REF!</f>
        <v>#REF!</v>
      </c>
      <c r="D103" s="5" t="e">
        <f>'Plant loading'!#REF!</f>
        <v>#REF!</v>
      </c>
      <c r="E103" s="5" t="e">
        <f>'Plant loading'!#REF!</f>
        <v>#REF!</v>
      </c>
      <c r="F103" s="5"/>
      <c r="G103" s="5" t="e">
        <f>'Plant loading'!#REF!</f>
        <v>#REF!</v>
      </c>
      <c r="H103" s="5" t="e">
        <f>'Plant loading'!#REF!</f>
        <v>#REF!</v>
      </c>
      <c r="I103" s="5" t="e">
        <f>'Plant loading'!#REF!</f>
        <v>#REF!</v>
      </c>
      <c r="J103" s="109" t="e">
        <f t="shared" si="17"/>
        <v>#REF!</v>
      </c>
      <c r="K103" s="109">
        <v>1.5</v>
      </c>
      <c r="L103" s="110" t="e">
        <f>ROUNDDOWN((H103*1000/58),0)</f>
        <v>#REF!</v>
      </c>
      <c r="M103" s="5" t="e">
        <f>L103*K103</f>
        <v>#REF!</v>
      </c>
      <c r="N103" s="5" t="e">
        <f>ROUNDUP((E103/M103),0)</f>
        <v>#REF!</v>
      </c>
      <c r="O103" s="5" t="e">
        <f>N103*L103</f>
        <v>#REF!</v>
      </c>
      <c r="P103" s="10" t="e">
        <f>O103-L103</f>
        <v>#REF!</v>
      </c>
      <c r="Q103" s="5" t="e">
        <f>O103+(L103*K103)</f>
        <v>#REF!</v>
      </c>
      <c r="R103" s="5" t="e">
        <f>ROUNDUP((P103-E103)/L103*100,0)</f>
        <v>#REF!</v>
      </c>
      <c r="S103" s="5" t="e">
        <f>ROUNDUP((Q103-E103)/(L103)*100,0)</f>
        <v>#REF!</v>
      </c>
    </row>
    <row r="104" spans="1:19">
      <c r="A104" t="e">
        <f>'Plant loading'!#REF!</f>
        <v>#REF!</v>
      </c>
      <c r="B104" s="5" t="e">
        <f>'Plant loading'!#REF!</f>
        <v>#REF!</v>
      </c>
      <c r="C104" s="5" t="e">
        <f>'Plant loading'!#REF!</f>
        <v>#REF!</v>
      </c>
      <c r="D104" s="5" t="e">
        <f>'Plant loading'!#REF!</f>
        <v>#REF!</v>
      </c>
      <c r="E104" s="5" t="e">
        <f>'Plant loading'!#REF!</f>
        <v>#REF!</v>
      </c>
      <c r="F104" s="5"/>
      <c r="G104" s="5" t="e">
        <f>'Plant loading'!#REF!</f>
        <v>#REF!</v>
      </c>
      <c r="H104" s="5" t="e">
        <f>'Plant loading'!#REF!</f>
        <v>#REF!</v>
      </c>
      <c r="I104" s="5" t="e">
        <f>'Plant loading'!#REF!</f>
        <v>#REF!</v>
      </c>
      <c r="J104" s="109" t="e">
        <f t="shared" si="17"/>
        <v>#REF!</v>
      </c>
      <c r="K104" s="109">
        <v>2.5</v>
      </c>
      <c r="L104" s="110" t="e">
        <f>ROUNDDOWN((H104*1000/58),0)</f>
        <v>#REF!</v>
      </c>
      <c r="M104" s="5" t="e">
        <f>L104*K104</f>
        <v>#REF!</v>
      </c>
      <c r="N104" s="5" t="e">
        <f>ROUNDUP((E104/M104),0)</f>
        <v>#REF!</v>
      </c>
      <c r="O104" s="5" t="e">
        <f>N104*L104</f>
        <v>#REF!</v>
      </c>
      <c r="P104" s="10" t="e">
        <f>O104-L104</f>
        <v>#REF!</v>
      </c>
      <c r="Q104" s="5" t="e">
        <f>O104+(L104*K104)</f>
        <v>#REF!</v>
      </c>
      <c r="R104" s="5" t="e">
        <f>ROUNDUP((P104-E104)/L104*100,0)</f>
        <v>#REF!</v>
      </c>
      <c r="S104" s="5" t="e">
        <f>ROUNDUP((Q104-E104)/(L104)*100,0)</f>
        <v>#REF!</v>
      </c>
    </row>
    <row r="105" spans="1:19">
      <c r="A105" t="str">
        <f>'Plant loading'!A109</f>
        <v>Newcastle</v>
      </c>
      <c r="B105" s="5" t="str">
        <f>'Plant loading'!B109</f>
        <v>PEENE</v>
      </c>
      <c r="C105" s="5" t="str">
        <f>'Plant loading'!C109</f>
        <v>NetSure</v>
      </c>
      <c r="D105" s="5">
        <f>'Plant loading'!D109</f>
        <v>285</v>
      </c>
      <c r="E105" s="5">
        <f>'Plant loading'!E109</f>
        <v>285</v>
      </c>
      <c r="F105" s="5">
        <f>'Plant loading'!G109</f>
        <v>43.927</v>
      </c>
      <c r="G105" s="5">
        <f>'Plant loading'!H109</f>
        <v>36</v>
      </c>
      <c r="H105" s="5">
        <f>'Plant loading'!I109</f>
        <v>3.2</v>
      </c>
      <c r="I105" s="5">
        <f>'Plant loading'!J109</f>
        <v>115</v>
      </c>
      <c r="J105" s="109">
        <f t="shared" si="17"/>
        <v>0.14348958333333334</v>
      </c>
      <c r="K105" s="109">
        <v>0.5</v>
      </c>
      <c r="L105" s="110">
        <f t="shared" si="18"/>
        <v>55</v>
      </c>
      <c r="M105" s="5">
        <f t="shared" si="19"/>
        <v>27.5</v>
      </c>
      <c r="N105" s="5">
        <f t="shared" si="20"/>
        <v>11</v>
      </c>
      <c r="O105" s="5">
        <f t="shared" si="21"/>
        <v>605</v>
      </c>
      <c r="P105" s="10">
        <f t="shared" si="22"/>
        <v>550</v>
      </c>
      <c r="Q105" s="5">
        <f t="shared" si="23"/>
        <v>632.5</v>
      </c>
      <c r="R105" s="5">
        <f t="shared" si="24"/>
        <v>482</v>
      </c>
      <c r="S105" s="5">
        <f t="shared" si="25"/>
        <v>632</v>
      </c>
    </row>
    <row r="106" spans="1:19">
      <c r="A106" t="str">
        <f>'Plant loading'!A110</f>
        <v>Newcastle</v>
      </c>
      <c r="B106" s="5" t="str">
        <f>'Plant loading'!B110</f>
        <v>PEFNE</v>
      </c>
      <c r="C106" s="5" t="str">
        <f>'Plant loading'!C110</f>
        <v>NetSure</v>
      </c>
      <c r="D106" s="5">
        <f>'Plant loading'!D110</f>
        <v>368</v>
      </c>
      <c r="E106" s="5">
        <f>'Plant loading'!E110</f>
        <v>371</v>
      </c>
      <c r="F106" s="5">
        <f>'Plant loading'!G110</f>
        <v>0</v>
      </c>
      <c r="G106" s="5">
        <f>'Plant loading'!H110</f>
        <v>36</v>
      </c>
      <c r="H106" s="5">
        <f>'Plant loading'!I110</f>
        <v>3.2</v>
      </c>
      <c r="I106" s="5">
        <f>'Plant loading'!J110</f>
        <v>115</v>
      </c>
      <c r="J106" s="109">
        <f t="shared" si="17"/>
        <v>0.18527777777777779</v>
      </c>
      <c r="K106" s="109">
        <v>0.5</v>
      </c>
      <c r="L106" s="110">
        <f t="shared" si="18"/>
        <v>55</v>
      </c>
      <c r="M106" s="5">
        <f t="shared" si="19"/>
        <v>27.5</v>
      </c>
      <c r="N106" s="5">
        <f t="shared" si="20"/>
        <v>14</v>
      </c>
      <c r="O106" s="5">
        <f t="shared" si="21"/>
        <v>770</v>
      </c>
      <c r="P106" s="10">
        <f t="shared" si="22"/>
        <v>715</v>
      </c>
      <c r="Q106" s="5">
        <f t="shared" si="23"/>
        <v>797.5</v>
      </c>
      <c r="R106" s="5">
        <f t="shared" si="24"/>
        <v>626</v>
      </c>
      <c r="S106" s="5">
        <f t="shared" si="25"/>
        <v>776</v>
      </c>
    </row>
    <row r="107" spans="1:19">
      <c r="A107" t="str">
        <f>'Plant loading'!A111</f>
        <v>Newcastle</v>
      </c>
      <c r="B107" s="5" t="str">
        <f>'Plant loading'!B111</f>
        <v>PEGNE</v>
      </c>
      <c r="C107" s="5" t="str">
        <f>'Plant loading'!C111</f>
        <v>NetSure</v>
      </c>
      <c r="D107" s="5">
        <f>'Plant loading'!D111</f>
        <v>150</v>
      </c>
      <c r="E107" s="5">
        <f>'Plant loading'!E111</f>
        <v>150</v>
      </c>
      <c r="F107" s="5">
        <f>'Plant loading'!G111</f>
        <v>0</v>
      </c>
      <c r="G107" s="5">
        <f>'Plant loading'!H111</f>
        <v>18</v>
      </c>
      <c r="H107" s="5">
        <f>'Plant loading'!I111</f>
        <v>3.2</v>
      </c>
      <c r="I107" s="5">
        <f>'Plant loading'!J111</f>
        <v>57</v>
      </c>
      <c r="J107" s="109">
        <f t="shared" si="17"/>
        <v>0.15104166666666669</v>
      </c>
      <c r="K107" s="109">
        <v>0.5</v>
      </c>
      <c r="L107" s="110">
        <f t="shared" si="18"/>
        <v>55</v>
      </c>
      <c r="M107" s="5">
        <f t="shared" si="19"/>
        <v>27.5</v>
      </c>
      <c r="N107" s="5">
        <f t="shared" si="20"/>
        <v>6</v>
      </c>
      <c r="O107" s="5">
        <f t="shared" si="21"/>
        <v>330</v>
      </c>
      <c r="P107" s="10">
        <f t="shared" si="22"/>
        <v>275</v>
      </c>
      <c r="Q107" s="5">
        <f t="shared" si="23"/>
        <v>357.5</v>
      </c>
      <c r="R107" s="5">
        <f t="shared" si="24"/>
        <v>228</v>
      </c>
      <c r="S107" s="5">
        <f t="shared" si="25"/>
        <v>378</v>
      </c>
    </row>
    <row r="108" spans="1:19">
      <c r="A108" t="str">
        <f>'Plant loading'!A112</f>
        <v>Oxford</v>
      </c>
      <c r="B108" s="5" t="str">
        <f>'Plant loading'!B112</f>
        <v>PECOD</v>
      </c>
      <c r="C108" s="5" t="str">
        <f>'Plant loading'!C112</f>
        <v>NetSure</v>
      </c>
      <c r="D108" s="5">
        <f>'Plant loading'!D112</f>
        <v>214</v>
      </c>
      <c r="E108" s="5">
        <f>'Plant loading'!E112</f>
        <v>213</v>
      </c>
      <c r="F108" s="5">
        <f>'Plant loading'!G112</f>
        <v>19.1295</v>
      </c>
      <c r="G108" s="5">
        <f>'Plant loading'!H112</f>
        <v>36</v>
      </c>
      <c r="H108" s="5">
        <f>'Plant loading'!I112</f>
        <v>3.2</v>
      </c>
      <c r="I108" s="5">
        <f>'Plant loading'!J112</f>
        <v>115</v>
      </c>
      <c r="J108" s="109">
        <f t="shared" si="17"/>
        <v>0.10774305555555556</v>
      </c>
      <c r="K108" s="109">
        <v>0.5</v>
      </c>
      <c r="L108" s="110">
        <f t="shared" si="18"/>
        <v>55</v>
      </c>
      <c r="M108" s="5">
        <f t="shared" si="19"/>
        <v>27.5</v>
      </c>
      <c r="N108" s="5">
        <f t="shared" si="20"/>
        <v>8</v>
      </c>
      <c r="O108" s="5">
        <f t="shared" si="21"/>
        <v>440</v>
      </c>
      <c r="P108" s="10">
        <f t="shared" si="22"/>
        <v>385</v>
      </c>
      <c r="Q108" s="5">
        <f t="shared" si="23"/>
        <v>467.5</v>
      </c>
      <c r="R108" s="5">
        <f t="shared" si="24"/>
        <v>313</v>
      </c>
      <c r="S108" s="5">
        <f t="shared" si="25"/>
        <v>463</v>
      </c>
    </row>
    <row r="109" spans="1:19">
      <c r="A109" t="str">
        <f>'Plant loading'!A113</f>
        <v>Oxford</v>
      </c>
      <c r="B109" s="5" t="str">
        <f>'Plant loading'!B113</f>
        <v>PEFOD</v>
      </c>
      <c r="C109" s="5" t="str">
        <f>'Plant loading'!C113</f>
        <v>NetSure</v>
      </c>
      <c r="D109" s="5">
        <f>'Plant loading'!D113</f>
        <v>138</v>
      </c>
      <c r="E109" s="5">
        <f>'Plant loading'!E113</f>
        <v>138</v>
      </c>
      <c r="F109" s="5">
        <f>'Plant loading'!G113</f>
        <v>0</v>
      </c>
      <c r="G109" s="5">
        <f>'Plant loading'!H113</f>
        <v>30</v>
      </c>
      <c r="H109" s="5">
        <f>'Plant loading'!I113</f>
        <v>3.2</v>
      </c>
      <c r="I109" s="5">
        <f>'Plant loading'!J113</f>
        <v>96</v>
      </c>
      <c r="J109" s="109">
        <f t="shared" si="17"/>
        <v>8.3375000000000005E-2</v>
      </c>
      <c r="K109" s="109">
        <v>0.5</v>
      </c>
      <c r="L109" s="110">
        <f t="shared" si="18"/>
        <v>55</v>
      </c>
      <c r="M109" s="5">
        <f t="shared" si="19"/>
        <v>27.5</v>
      </c>
      <c r="N109" s="5">
        <f t="shared" si="20"/>
        <v>6</v>
      </c>
      <c r="O109" s="5">
        <f t="shared" si="21"/>
        <v>330</v>
      </c>
      <c r="P109" s="10">
        <f t="shared" si="22"/>
        <v>275</v>
      </c>
      <c r="Q109" s="5">
        <f t="shared" si="23"/>
        <v>357.5</v>
      </c>
      <c r="R109" s="5">
        <f t="shared" si="24"/>
        <v>250</v>
      </c>
      <c r="S109" s="5">
        <f t="shared" si="25"/>
        <v>400</v>
      </c>
    </row>
    <row r="110" spans="1:19">
      <c r="A110" t="str">
        <f>'Plant loading'!A114</f>
        <v>Stafford</v>
      </c>
      <c r="B110" s="5" t="str">
        <f>'Plant loading'!B114</f>
        <v>PEESD</v>
      </c>
      <c r="C110" s="5" t="str">
        <f>'Plant loading'!C114</f>
        <v>NetSure</v>
      </c>
      <c r="D110" s="5">
        <f>'Plant loading'!D114</f>
        <v>392</v>
      </c>
      <c r="E110" s="5">
        <f>'Plant loading'!E114</f>
        <v>390</v>
      </c>
      <c r="F110" s="5">
        <f>'Plant loading'!G114</f>
        <v>44.253999999999998</v>
      </c>
      <c r="G110" s="5">
        <f>'Plant loading'!H114</f>
        <v>36</v>
      </c>
      <c r="H110" s="5">
        <f>'Plant loading'!I114</f>
        <v>3.2</v>
      </c>
      <c r="I110" s="5">
        <f>'Plant loading'!J114</f>
        <v>115</v>
      </c>
      <c r="J110" s="109">
        <f t="shared" si="17"/>
        <v>0.19736111111111113</v>
      </c>
      <c r="K110" s="109">
        <v>0.5</v>
      </c>
      <c r="L110" s="110">
        <f t="shared" si="18"/>
        <v>55</v>
      </c>
      <c r="M110" s="5">
        <f t="shared" si="19"/>
        <v>27.5</v>
      </c>
      <c r="N110" s="5">
        <f t="shared" si="20"/>
        <v>15</v>
      </c>
      <c r="O110" s="5">
        <f t="shared" si="21"/>
        <v>825</v>
      </c>
      <c r="P110" s="10">
        <f t="shared" si="22"/>
        <v>770</v>
      </c>
      <c r="Q110" s="5">
        <f t="shared" si="23"/>
        <v>852.5</v>
      </c>
      <c r="R110" s="5">
        <f t="shared" si="24"/>
        <v>691</v>
      </c>
      <c r="S110" s="5">
        <f t="shared" si="25"/>
        <v>841</v>
      </c>
    </row>
    <row r="111" spans="1:19">
      <c r="A111" t="str">
        <f>'Plant loading'!A115</f>
        <v>Stafford</v>
      </c>
      <c r="B111" s="5" t="str">
        <f>'Plant loading'!B115</f>
        <v>PEGSD</v>
      </c>
      <c r="C111" s="5" t="str">
        <f>'Plant loading'!C115</f>
        <v>NetSure</v>
      </c>
      <c r="D111" s="5">
        <f>'Plant loading'!D115</f>
        <v>418</v>
      </c>
      <c r="E111" s="5">
        <f>'Plant loading'!E115</f>
        <v>422</v>
      </c>
      <c r="F111" s="5">
        <f>'Plant loading'!G115</f>
        <v>0</v>
      </c>
      <c r="G111" s="5">
        <f>'Plant loading'!H115</f>
        <v>36</v>
      </c>
      <c r="H111" s="5">
        <f>'Plant loading'!I115</f>
        <v>3.2</v>
      </c>
      <c r="I111" s="5">
        <f>'Plant loading'!J115</f>
        <v>115</v>
      </c>
      <c r="J111" s="109">
        <f t="shared" si="17"/>
        <v>0.2104513888888889</v>
      </c>
      <c r="K111" s="109">
        <v>0.5</v>
      </c>
      <c r="L111" s="110">
        <f t="shared" si="18"/>
        <v>55</v>
      </c>
      <c r="M111" s="5">
        <f t="shared" si="19"/>
        <v>27.5</v>
      </c>
      <c r="N111" s="5">
        <f t="shared" si="20"/>
        <v>16</v>
      </c>
      <c r="O111" s="5">
        <f t="shared" si="21"/>
        <v>880</v>
      </c>
      <c r="P111" s="10">
        <f t="shared" si="22"/>
        <v>825</v>
      </c>
      <c r="Q111" s="5">
        <f t="shared" si="23"/>
        <v>907.5</v>
      </c>
      <c r="R111" s="5">
        <f t="shared" si="24"/>
        <v>733</v>
      </c>
      <c r="S111" s="5">
        <f t="shared" si="25"/>
        <v>883</v>
      </c>
    </row>
    <row r="112" spans="1:19">
      <c r="A112" t="str">
        <f>'Plant loading'!A116</f>
        <v>Warrington TXO</v>
      </c>
      <c r="B112" s="5" t="str">
        <f>'Plant loading'!B116</f>
        <v>PELWN</v>
      </c>
      <c r="C112" s="5" t="str">
        <f>'Plant loading'!C116</f>
        <v>NetSure</v>
      </c>
      <c r="D112" s="5">
        <f>'Plant loading'!D116</f>
        <v>208</v>
      </c>
      <c r="E112" s="5">
        <f>'Plant loading'!E116</f>
        <v>208</v>
      </c>
      <c r="F112" s="5">
        <f>'Plant loading'!G116</f>
        <v>39.567</v>
      </c>
      <c r="G112" s="5">
        <f>'Plant loading'!H116</f>
        <v>18</v>
      </c>
      <c r="H112" s="5">
        <f>'Plant loading'!I116</f>
        <v>3.2</v>
      </c>
      <c r="I112" s="5">
        <f>'Plant loading'!J116</f>
        <v>57</v>
      </c>
      <c r="J112" s="109">
        <f t="shared" si="17"/>
        <v>0.20944444444444446</v>
      </c>
      <c r="K112" s="109">
        <v>0.5</v>
      </c>
      <c r="L112" s="110">
        <f t="shared" si="18"/>
        <v>55</v>
      </c>
      <c r="M112" s="5">
        <f t="shared" si="19"/>
        <v>27.5</v>
      </c>
      <c r="N112" s="5">
        <f t="shared" si="20"/>
        <v>8</v>
      </c>
      <c r="O112" s="5">
        <f t="shared" si="21"/>
        <v>440</v>
      </c>
      <c r="P112" s="10">
        <f t="shared" si="22"/>
        <v>385</v>
      </c>
      <c r="Q112" s="5">
        <f t="shared" si="23"/>
        <v>467.5</v>
      </c>
      <c r="R112" s="5">
        <f t="shared" si="24"/>
        <v>322</v>
      </c>
      <c r="S112" s="5">
        <f t="shared" si="25"/>
        <v>472</v>
      </c>
    </row>
    <row r="113" spans="1:19">
      <c r="A113" t="str">
        <f>'Plant loading'!A117</f>
        <v>Warrington TXO</v>
      </c>
      <c r="B113" s="5" t="str">
        <f>'Plant loading'!B117</f>
        <v>PEMWN</v>
      </c>
      <c r="C113" s="5" t="str">
        <f>'Plant loading'!C117</f>
        <v>NetSure</v>
      </c>
      <c r="D113" s="5">
        <f>'Plant loading'!D117</f>
        <v>156</v>
      </c>
      <c r="E113" s="5">
        <f>'Plant loading'!E117</f>
        <v>156</v>
      </c>
      <c r="F113" s="5">
        <f>'Plant loading'!G117</f>
        <v>0</v>
      </c>
      <c r="G113" s="5">
        <f>'Plant loading'!H117</f>
        <v>18</v>
      </c>
      <c r="H113" s="5">
        <f>'Plant loading'!I117</f>
        <v>3.2</v>
      </c>
      <c r="I113" s="5">
        <f>'Plant loading'!J117</f>
        <v>57</v>
      </c>
      <c r="J113" s="109">
        <f t="shared" si="17"/>
        <v>0.15708333333333335</v>
      </c>
      <c r="K113" s="109">
        <v>0.5</v>
      </c>
      <c r="L113" s="110">
        <f t="shared" si="18"/>
        <v>55</v>
      </c>
      <c r="M113" s="5">
        <f t="shared" si="19"/>
        <v>27.5</v>
      </c>
      <c r="N113" s="5">
        <f t="shared" si="20"/>
        <v>6</v>
      </c>
      <c r="O113" s="5">
        <f t="shared" si="21"/>
        <v>330</v>
      </c>
      <c r="P113" s="10">
        <f t="shared" si="22"/>
        <v>275</v>
      </c>
      <c r="Q113" s="5">
        <f t="shared" si="23"/>
        <v>357.5</v>
      </c>
      <c r="R113" s="5">
        <f t="shared" si="24"/>
        <v>217</v>
      </c>
      <c r="S113" s="5">
        <f t="shared" si="25"/>
        <v>367</v>
      </c>
    </row>
    <row r="114" spans="1:19">
      <c r="A114" t="str">
        <f>'Plant loading'!A118</f>
        <v>Warrington TXO</v>
      </c>
      <c r="B114" s="5" t="str">
        <f>'Plant loading'!B118</f>
        <v>PENWN</v>
      </c>
      <c r="C114" s="5" t="str">
        <f>'Plant loading'!C118</f>
        <v>NetSure</v>
      </c>
      <c r="D114" s="5">
        <f>'Plant loading'!D118</f>
        <v>362</v>
      </c>
      <c r="E114" s="5">
        <f>'Plant loading'!E118</f>
        <v>362</v>
      </c>
      <c r="F114" s="5">
        <f>'Plant loading'!G118</f>
        <v>0</v>
      </c>
      <c r="G114" s="5">
        <f>'Plant loading'!H118</f>
        <v>18</v>
      </c>
      <c r="H114" s="5">
        <f>'Plant loading'!I118</f>
        <v>3.2</v>
      </c>
      <c r="I114" s="5">
        <f>'Plant loading'!J118</f>
        <v>57</v>
      </c>
      <c r="J114" s="109">
        <f t="shared" si="17"/>
        <v>0.36451388888888892</v>
      </c>
      <c r="K114" s="109">
        <v>0.5</v>
      </c>
      <c r="L114" s="110">
        <f t="shared" si="18"/>
        <v>55</v>
      </c>
      <c r="M114" s="5">
        <f t="shared" si="19"/>
        <v>27.5</v>
      </c>
      <c r="N114" s="5">
        <f t="shared" si="20"/>
        <v>14</v>
      </c>
      <c r="O114" s="5">
        <f t="shared" si="21"/>
        <v>770</v>
      </c>
      <c r="P114" s="10">
        <f t="shared" si="22"/>
        <v>715</v>
      </c>
      <c r="Q114" s="5">
        <f t="shared" si="23"/>
        <v>797.5</v>
      </c>
      <c r="R114" s="5">
        <f t="shared" si="24"/>
        <v>642</v>
      </c>
      <c r="S114" s="5">
        <f t="shared" si="25"/>
        <v>792</v>
      </c>
    </row>
    <row r="115" spans="1:19">
      <c r="A115" t="e">
        <f>'Plant loading'!#REF!</f>
        <v>#REF!</v>
      </c>
      <c r="B115" s="5" t="e">
        <f>'Plant loading'!#REF!</f>
        <v>#REF!</v>
      </c>
      <c r="C115" s="5" t="e">
        <f>'Plant loading'!#REF!</f>
        <v>#REF!</v>
      </c>
      <c r="D115" s="5" t="e">
        <f>'Plant loading'!#REF!</f>
        <v>#REF!</v>
      </c>
      <c r="E115" s="5" t="e">
        <f>'Plant loading'!#REF!</f>
        <v>#REF!</v>
      </c>
      <c r="F115" s="5" t="e">
        <f>'Plant loading'!#REF!</f>
        <v>#REF!</v>
      </c>
      <c r="G115" s="5" t="e">
        <f>'Plant loading'!#REF!</f>
        <v>#REF!</v>
      </c>
      <c r="H115" s="5" t="e">
        <f>'Plant loading'!#REF!</f>
        <v>#REF!</v>
      </c>
      <c r="I115" s="5" t="e">
        <f>'Plant loading'!#REF!</f>
        <v>#REF!</v>
      </c>
      <c r="J115" s="109" t="e">
        <f t="shared" si="17"/>
        <v>#REF!</v>
      </c>
      <c r="K115" s="109">
        <v>0.5</v>
      </c>
      <c r="L115" s="110" t="e">
        <f t="shared" si="18"/>
        <v>#REF!</v>
      </c>
      <c r="M115" s="5" t="e">
        <f t="shared" si="19"/>
        <v>#REF!</v>
      </c>
      <c r="N115" s="5" t="e">
        <f t="shared" si="20"/>
        <v>#REF!</v>
      </c>
      <c r="O115" s="5" t="e">
        <f t="shared" si="21"/>
        <v>#REF!</v>
      </c>
      <c r="P115" s="10" t="e">
        <f t="shared" si="22"/>
        <v>#REF!</v>
      </c>
      <c r="Q115" s="5" t="e">
        <f t="shared" si="23"/>
        <v>#REF!</v>
      </c>
      <c r="R115" s="5" t="e">
        <f t="shared" si="24"/>
        <v>#REF!</v>
      </c>
      <c r="S115" s="5" t="e">
        <f t="shared" si="25"/>
        <v>#REF!</v>
      </c>
    </row>
  </sheetData>
  <conditionalFormatting sqref="J4:J115">
    <cfRule type="cellIs" dxfId="81" priority="1" stopIfTrue="1" operator="greaterThanOrEqual">
      <formula>0.4</formula>
    </cfRule>
    <cfRule type="cellIs" dxfId="80" priority="2" stopIfTrue="1" operator="lessThanOrEqual">
      <formula>0.399</formula>
    </cfRule>
  </conditionalFormatting>
  <pageMargins left="0.7" right="0.7" top="0.75" bottom="0.75" header="0.3" footer="0.3"/>
  <pageSetup paperSize="9" orientation="portrait" r:id="rId1"/>
  <headerFooter>
    <oddFooter>&amp;L&amp;1#&amp;"Calibri"&amp;7&amp;K000000C2 General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dimension ref="A1:AB129"/>
  <sheetViews>
    <sheetView zoomScaleNormal="100" workbookViewId="0">
      <selection activeCell="D21" sqref="D21"/>
    </sheetView>
  </sheetViews>
  <sheetFormatPr defaultColWidth="8.6640625" defaultRowHeight="10.15" outlineLevelRow="2"/>
  <cols>
    <col min="1" max="1" width="15.6640625" bestFit="1" customWidth="1"/>
    <col min="2" max="2" width="12.5" customWidth="1"/>
    <col min="3" max="3" width="8.6640625" bestFit="1" customWidth="1"/>
    <col min="4" max="4" width="17" bestFit="1" customWidth="1"/>
    <col min="5" max="5" width="12.1640625" bestFit="1" customWidth="1"/>
    <col min="6" max="6" width="17.6640625" bestFit="1" customWidth="1"/>
    <col min="7" max="7" width="16.6640625" style="41" bestFit="1" customWidth="1"/>
    <col min="8" max="8" width="12.1640625" bestFit="1" customWidth="1"/>
    <col min="9" max="9" width="17" customWidth="1"/>
    <col min="10" max="10" width="12.1640625" bestFit="1" customWidth="1"/>
    <col min="11" max="11" width="11.5" bestFit="1" customWidth="1"/>
    <col min="12" max="12" width="12.6640625" customWidth="1"/>
    <col min="13" max="13" width="13" bestFit="1" customWidth="1"/>
    <col min="14" max="14" width="16.1640625" customWidth="1"/>
    <col min="15" max="15" width="13.6640625" customWidth="1"/>
    <col min="16" max="16" width="13" customWidth="1"/>
    <col min="17" max="17" width="15.1640625" customWidth="1"/>
    <col min="18" max="18" width="14.6640625" customWidth="1"/>
    <col min="19" max="19" width="1.1640625" customWidth="1"/>
    <col min="20" max="20" width="9" bestFit="1" customWidth="1"/>
    <col min="21" max="21" width="29.6640625" bestFit="1" customWidth="1"/>
    <col min="22" max="22" width="18.6640625" bestFit="1" customWidth="1"/>
    <col min="23" max="23" width="12.1640625" bestFit="1" customWidth="1"/>
    <col min="24" max="24" width="14.1640625" bestFit="1" customWidth="1"/>
    <col min="25" max="26" width="11.5" bestFit="1" customWidth="1"/>
    <col min="27" max="27" width="6.1640625" bestFit="1" customWidth="1"/>
    <col min="28" max="28" width="11.5" bestFit="1" customWidth="1"/>
  </cols>
  <sheetData>
    <row r="1" spans="1:24" ht="40.9">
      <c r="A1" s="33" t="s">
        <v>7</v>
      </c>
      <c r="B1" s="33" t="s">
        <v>580</v>
      </c>
      <c r="C1" s="33" t="s">
        <v>1485</v>
      </c>
      <c r="D1" s="33" t="s">
        <v>1486</v>
      </c>
      <c r="E1" s="33" t="s">
        <v>1487</v>
      </c>
      <c r="F1" s="33" t="s">
        <v>1488</v>
      </c>
      <c r="G1" s="69" t="s">
        <v>1489</v>
      </c>
      <c r="H1" s="33" t="s">
        <v>1490</v>
      </c>
      <c r="I1" s="75" t="s">
        <v>1491</v>
      </c>
      <c r="J1" s="75" t="s">
        <v>1492</v>
      </c>
      <c r="K1" s="75" t="s">
        <v>1493</v>
      </c>
      <c r="L1" s="72" t="s">
        <v>1494</v>
      </c>
      <c r="M1" s="72" t="s">
        <v>1495</v>
      </c>
      <c r="N1" s="72" t="s">
        <v>1496</v>
      </c>
      <c r="O1" s="72" t="s">
        <v>1497</v>
      </c>
      <c r="P1" s="70" t="s">
        <v>1498</v>
      </c>
      <c r="Q1" s="70" t="s">
        <v>1499</v>
      </c>
      <c r="R1" s="70" t="s">
        <v>1500</v>
      </c>
      <c r="S1" s="33"/>
    </row>
    <row r="2" spans="1:24">
      <c r="A2" s="5" t="str">
        <f>'Plant loading'!A4</f>
        <v>Acton</v>
      </c>
      <c r="B2" s="5" t="str">
        <f>'Plant loading'!B4</f>
        <v>PEAAN</v>
      </c>
      <c r="C2" s="5">
        <f>'Plant loading'!E4</f>
        <v>630</v>
      </c>
      <c r="D2" s="10">
        <v>36</v>
      </c>
      <c r="E2" s="5">
        <f>C2/D2</f>
        <v>17.5</v>
      </c>
      <c r="F2" s="5">
        <f>E2*54.5</f>
        <v>953.75</v>
      </c>
      <c r="G2" s="16">
        <f t="shared" ref="G2:G33" si="0">CHOOSE(MATCH(F2,W$3:W$14,1),X$3,X$4,X$5,X$6,X$7,X$8,X$9,X$10,X$11,X$12,X$13,X$14)</f>
        <v>90.745146605757995</v>
      </c>
      <c r="H2">
        <f t="shared" ref="H2:H15" si="1">((($D2*$E2)*54.5)*(1+(1-(G2/100)))/1000)</f>
        <v>37.512653912912988</v>
      </c>
      <c r="I2" s="76">
        <f>((($D2*$E2)*54.5)*(1+(1-0.92))/1000)</f>
        <v>37.081800000000001</v>
      </c>
      <c r="J2" s="76">
        <f>H2-I2</f>
        <v>0.43085391291298691</v>
      </c>
      <c r="K2" s="511">
        <f t="shared" ref="K2:K33" si="2">(J2*24*365)*$V$18</f>
        <v>487.25958377590348</v>
      </c>
      <c r="L2" s="73">
        <f>CHOOSE(MATCH(F2,N$96:N$107,1),O$96,O$97,O$98,O$99,O$100,O$101,O$102,O$103,O$104,O$105,O$106,O$107)</f>
        <v>95.5</v>
      </c>
      <c r="M2" s="74">
        <f>((($D2*$E2)*54.5)*(1+(1-(L2/100)))/1000)</f>
        <v>35.880074999999998</v>
      </c>
      <c r="N2" s="74">
        <f>H2-M2</f>
        <v>1.6325789129129902</v>
      </c>
      <c r="O2" s="512">
        <f t="shared" ref="O2:O33" si="3">(N2*24*365)*$V$18</f>
        <v>1846.3096138759072</v>
      </c>
      <c r="P2" s="71">
        <f>((($D2*$E2)*54.5)*(1+(1-0.97))/1000)</f>
        <v>35.365050000000004</v>
      </c>
      <c r="Q2" s="71">
        <f>H2-P2</f>
        <v>2.1476039129129845</v>
      </c>
      <c r="R2" s="513">
        <f t="shared" ref="R2:R33" si="4">(Q2*24*365)*$V$18</f>
        <v>2428.7596267759009</v>
      </c>
      <c r="S2" s="65"/>
      <c r="T2" s="47" t="s">
        <v>1501</v>
      </c>
      <c r="U2" s="47" t="s">
        <v>1502</v>
      </c>
      <c r="V2" s="47" t="s">
        <v>1503</v>
      </c>
      <c r="W2" s="47" t="s">
        <v>1504</v>
      </c>
      <c r="X2" s="47" t="s">
        <v>1505</v>
      </c>
    </row>
    <row r="3" spans="1:24">
      <c r="A3" s="5" t="str">
        <f>'Plant loading'!A5</f>
        <v>Acton</v>
      </c>
      <c r="B3" s="5" t="str">
        <f>'Plant loading'!B5</f>
        <v>PEBAN</v>
      </c>
      <c r="C3" s="5">
        <f>'Plant loading'!E5</f>
        <v>607</v>
      </c>
      <c r="D3" s="10">
        <f>'Plant loading'!H5</f>
        <v>36</v>
      </c>
      <c r="E3" s="5">
        <f>C3/D3</f>
        <v>16.861111111111111</v>
      </c>
      <c r="F3" s="5">
        <f t="shared" ref="F3:F40" si="5">E3*54.5</f>
        <v>918.93055555555554</v>
      </c>
      <c r="G3" s="16">
        <f t="shared" si="0"/>
        <v>90.745146605757995</v>
      </c>
      <c r="H3">
        <f t="shared" si="1"/>
        <v>36.143144325616163</v>
      </c>
      <c r="I3" s="76">
        <f t="shared" ref="I3:I40" si="6">((($D3*$E3)*54.5)*(1+(1-0.92))/1000)</f>
        <v>35.728020000000001</v>
      </c>
      <c r="J3" s="76">
        <f t="shared" ref="J3:J40" si="7">H3-I3</f>
        <v>0.41512432561616208</v>
      </c>
      <c r="K3" s="511">
        <f t="shared" si="2"/>
        <v>469.47074182852754</v>
      </c>
      <c r="L3" s="73">
        <f t="shared" ref="L3:L56" si="8">CHOOSE(MATCH(F3,N$96:N$107,1),O$96,O$97,O$98,O$99,O$100,O$101,O$102,O$103,O$104,O$105,O$106,O$107)</f>
        <v>95.5</v>
      </c>
      <c r="M3" s="74">
        <f t="shared" ref="M3:M56" si="9">((($D3*$E3)*54.5)*(1+(1-(L3/100)))/1000)</f>
        <v>34.570167499999997</v>
      </c>
      <c r="N3" s="74">
        <f t="shared" ref="N3:N56" si="10">H3-M3</f>
        <v>1.5729768256161663</v>
      </c>
      <c r="O3" s="512">
        <f t="shared" si="3"/>
        <v>1778.904659718532</v>
      </c>
      <c r="P3" s="71">
        <f t="shared" ref="P3:P66" si="11">((($D3*$E3)*54.5)*(1+(1-0.97))/1000)</f>
        <v>34.073945000000002</v>
      </c>
      <c r="Q3" s="71">
        <f t="shared" ref="Q3:Q66" si="12">H3-P3</f>
        <v>2.0691993256161609</v>
      </c>
      <c r="R3" s="513">
        <f t="shared" si="4"/>
        <v>2340.090624528526</v>
      </c>
      <c r="T3" s="47">
        <v>57.039000000000001</v>
      </c>
      <c r="U3" s="47">
        <v>3.0259999999999998</v>
      </c>
      <c r="V3" s="47">
        <v>230.4</v>
      </c>
      <c r="W3" s="47">
        <f>U3*T3</f>
        <v>172.60001399999999</v>
      </c>
      <c r="X3" s="60">
        <f t="shared" ref="X3:X14" si="13">T3*U3*100/V3</f>
        <v>74.913200520833314</v>
      </c>
    </row>
    <row r="4" spans="1:24">
      <c r="A4" s="5" t="str">
        <f>'Plant loading'!A6</f>
        <v>Acton</v>
      </c>
      <c r="B4" s="5" t="str">
        <f>'Plant loading'!B6</f>
        <v>PECAN</v>
      </c>
      <c r="C4" s="5">
        <f>'Plant loading'!E6</f>
        <v>476</v>
      </c>
      <c r="D4" s="10">
        <v>36</v>
      </c>
      <c r="E4" s="5">
        <f>C4/D4</f>
        <v>13.222222222222221</v>
      </c>
      <c r="F4" s="5">
        <f t="shared" si="5"/>
        <v>720.61111111111109</v>
      </c>
      <c r="G4" s="16">
        <f t="shared" si="0"/>
        <v>88.516235330546522</v>
      </c>
      <c r="H4">
        <f t="shared" si="1"/>
        <v>28.921118230549627</v>
      </c>
      <c r="I4" s="76">
        <f t="shared" si="6"/>
        <v>28.01736</v>
      </c>
      <c r="J4" s="76">
        <f t="shared" si="7"/>
        <v>0.90375823054962723</v>
      </c>
      <c r="K4" s="511">
        <f t="shared" si="2"/>
        <v>1022.0746430602621</v>
      </c>
      <c r="L4" s="73">
        <f t="shared" si="8"/>
        <v>95</v>
      </c>
      <c r="M4" s="74">
        <f t="shared" si="9"/>
        <v>27.239100000000001</v>
      </c>
      <c r="N4" s="74">
        <f t="shared" si="10"/>
        <v>1.6820182305496267</v>
      </c>
      <c r="O4" s="512">
        <f t="shared" si="3"/>
        <v>1902.2213292202616</v>
      </c>
      <c r="P4" s="71">
        <f t="shared" si="11"/>
        <v>26.720260000000003</v>
      </c>
      <c r="Q4" s="71">
        <f t="shared" si="12"/>
        <v>2.200858230549624</v>
      </c>
      <c r="R4" s="513">
        <f t="shared" si="4"/>
        <v>2488.9857866602583</v>
      </c>
      <c r="T4" s="47">
        <v>57.031999999999996</v>
      </c>
      <c r="U4" s="47">
        <v>5.0309999999999997</v>
      </c>
      <c r="V4" s="47">
        <v>349.6</v>
      </c>
      <c r="W4" s="47">
        <f t="shared" ref="W4:W14" si="14">U4*T4</f>
        <v>286.92799199999996</v>
      </c>
      <c r="X4" s="60">
        <f t="shared" si="13"/>
        <v>82.073224256292889</v>
      </c>
    </row>
    <row r="5" spans="1:24">
      <c r="A5" s="5" t="str">
        <f>'Plant loading'!A7</f>
        <v>Acton</v>
      </c>
      <c r="B5" s="5" t="str">
        <f>'Plant loading'!B7</f>
        <v>PEFAN</v>
      </c>
      <c r="C5" s="5">
        <f>'Plant loading'!E7</f>
        <v>696</v>
      </c>
      <c r="D5" s="10">
        <f>'Plant loading'!H7</f>
        <v>36</v>
      </c>
      <c r="E5" s="5">
        <f>C5/D5</f>
        <v>19.333333333333332</v>
      </c>
      <c r="F5" s="5">
        <f t="shared" si="5"/>
        <v>1053.6666666666665</v>
      </c>
      <c r="G5" s="16">
        <f t="shared" si="0"/>
        <v>90.745146605757995</v>
      </c>
      <c r="H5">
        <f t="shared" si="1"/>
        <v>41.442550989503872</v>
      </c>
      <c r="I5" s="76">
        <f t="shared" si="6"/>
        <v>40.966560000000008</v>
      </c>
      <c r="J5" s="76">
        <f t="shared" si="7"/>
        <v>0.4759909895038632</v>
      </c>
      <c r="K5" s="511">
        <f t="shared" si="2"/>
        <v>538.30582588575101</v>
      </c>
      <c r="L5" s="73">
        <f t="shared" si="8"/>
        <v>96</v>
      </c>
      <c r="M5" s="74">
        <f t="shared" si="9"/>
        <v>39.449280000000002</v>
      </c>
      <c r="N5" s="74">
        <f t="shared" si="10"/>
        <v>1.9932709895038698</v>
      </c>
      <c r="O5" s="512">
        <f t="shared" si="3"/>
        <v>2254.2220543657581</v>
      </c>
      <c r="P5" s="71">
        <f t="shared" si="11"/>
        <v>39.069960000000002</v>
      </c>
      <c r="Q5" s="71">
        <f t="shared" si="12"/>
        <v>2.3725909895038697</v>
      </c>
      <c r="R5" s="513">
        <f t="shared" si="4"/>
        <v>2683.2011114857582</v>
      </c>
      <c r="T5" s="47">
        <v>57.012999999999998</v>
      </c>
      <c r="U5" s="47">
        <v>10.028</v>
      </c>
      <c r="V5" s="47">
        <v>645.9</v>
      </c>
      <c r="W5" s="47">
        <f t="shared" si="14"/>
        <v>571.72636399999999</v>
      </c>
      <c r="X5" s="60">
        <f t="shared" si="13"/>
        <v>88.516235330546522</v>
      </c>
    </row>
    <row r="6" spans="1:24">
      <c r="A6" s="5" t="str">
        <f>'Plant loading'!A8</f>
        <v>Acton</v>
      </c>
      <c r="B6" s="5" t="str">
        <f>'Plant loading'!B8</f>
        <v>PEGAN</v>
      </c>
      <c r="C6" s="5">
        <f>'Plant loading'!E8</f>
        <v>727</v>
      </c>
      <c r="D6" s="10">
        <f>'Plant loading'!H8</f>
        <v>36</v>
      </c>
      <c r="E6" s="5">
        <f>C6/D6</f>
        <v>20.194444444444443</v>
      </c>
      <c r="F6" s="5">
        <f t="shared" si="5"/>
        <v>1100.5972222222222</v>
      </c>
      <c r="G6" s="16">
        <f t="shared" si="0"/>
        <v>90.745146605757995</v>
      </c>
      <c r="H6">
        <f t="shared" si="1"/>
        <v>43.288411737599588</v>
      </c>
      <c r="I6" s="76">
        <f t="shared" si="6"/>
        <v>42.791220000000003</v>
      </c>
      <c r="J6" s="76">
        <f t="shared" si="7"/>
        <v>0.49719173759958579</v>
      </c>
      <c r="K6" s="511">
        <f t="shared" si="2"/>
        <v>562.28209111917306</v>
      </c>
      <c r="L6" s="73">
        <f t="shared" si="8"/>
        <v>96</v>
      </c>
      <c r="M6" s="74">
        <v>0</v>
      </c>
      <c r="N6" s="74">
        <v>0</v>
      </c>
      <c r="O6" s="512">
        <f t="shared" si="3"/>
        <v>0</v>
      </c>
      <c r="P6" s="71">
        <f t="shared" si="11"/>
        <v>40.810145000000006</v>
      </c>
      <c r="Q6" s="71">
        <f t="shared" si="12"/>
        <v>2.4782667375995828</v>
      </c>
      <c r="R6" s="513">
        <f t="shared" si="4"/>
        <v>2802.7115058191694</v>
      </c>
      <c r="T6" s="47">
        <v>56.994999999999997</v>
      </c>
      <c r="U6" s="47">
        <v>14.987</v>
      </c>
      <c r="V6" s="47">
        <v>941.3</v>
      </c>
      <c r="W6" s="47">
        <f t="shared" si="14"/>
        <v>854.18406499999992</v>
      </c>
      <c r="X6" s="60">
        <f t="shared" si="13"/>
        <v>90.745146605757995</v>
      </c>
    </row>
    <row r="7" spans="1:24">
      <c r="A7" s="5" t="str">
        <f>'Plant loading'!A17</f>
        <v>Crawley</v>
      </c>
      <c r="B7" s="5" t="str">
        <f>'Plant loading'!B17</f>
        <v>PEACY</v>
      </c>
      <c r="C7" s="5">
        <f>'Plant loading'!E17</f>
        <v>363</v>
      </c>
      <c r="D7" s="10">
        <f>'Plant loading'!H17</f>
        <v>36</v>
      </c>
      <c r="E7" s="5">
        <f t="shared" ref="E7:E44" si="15">C7/D7</f>
        <v>10.083333333333334</v>
      </c>
      <c r="F7" s="5">
        <f t="shared" si="5"/>
        <v>549.54166666666674</v>
      </c>
      <c r="G7" s="16">
        <f t="shared" si="0"/>
        <v>82.073224256292889</v>
      </c>
      <c r="H7">
        <f t="shared" si="1"/>
        <v>23.330043679256299</v>
      </c>
      <c r="I7" s="76">
        <f t="shared" si="6"/>
        <v>21.36618</v>
      </c>
      <c r="J7" s="76">
        <f t="shared" si="7"/>
        <v>1.9638636792562991</v>
      </c>
      <c r="K7" s="511">
        <f t="shared" si="2"/>
        <v>2220.9648566898168</v>
      </c>
      <c r="L7" s="73">
        <f t="shared" si="8"/>
        <v>93</v>
      </c>
      <c r="M7" s="74">
        <f t="shared" si="9"/>
        <v>21.168344999999999</v>
      </c>
      <c r="N7" s="74">
        <f t="shared" si="10"/>
        <v>2.1616986792563004</v>
      </c>
      <c r="O7" s="512">
        <f t="shared" si="3"/>
        <v>2444.6996235498182</v>
      </c>
      <c r="P7" s="71">
        <f t="shared" si="11"/>
        <v>20.377005</v>
      </c>
      <c r="Q7" s="71">
        <f t="shared" si="12"/>
        <v>2.9530386792562986</v>
      </c>
      <c r="R7" s="513">
        <f t="shared" si="4"/>
        <v>3339.638690989816</v>
      </c>
      <c r="T7" s="47">
        <v>56.975999999999999</v>
      </c>
      <c r="U7" s="47">
        <v>20</v>
      </c>
      <c r="V7" s="47">
        <v>1242.0999999999999</v>
      </c>
      <c r="W7" s="47">
        <f t="shared" si="14"/>
        <v>1139.52</v>
      </c>
      <c r="X7" s="60">
        <f t="shared" si="13"/>
        <v>91.741405683922395</v>
      </c>
    </row>
    <row r="8" spans="1:24">
      <c r="A8" s="5" t="str">
        <f>'Plant loading'!A18</f>
        <v>Crawley</v>
      </c>
      <c r="B8" s="5" t="str">
        <f>'Plant loading'!B18</f>
        <v>PEBCY</v>
      </c>
      <c r="C8" s="5">
        <f>'Plant loading'!E18</f>
        <v>482</v>
      </c>
      <c r="D8" s="10">
        <f>'Plant loading'!H18</f>
        <v>36</v>
      </c>
      <c r="E8" s="5">
        <f t="shared" si="15"/>
        <v>13.388888888888889</v>
      </c>
      <c r="F8" s="5">
        <f t="shared" si="5"/>
        <v>729.69444444444446</v>
      </c>
      <c r="G8" s="16">
        <f t="shared" si="0"/>
        <v>88.516235330546522</v>
      </c>
      <c r="H8">
        <f t="shared" si="1"/>
        <v>29.285670141018738</v>
      </c>
      <c r="I8" s="76">
        <f t="shared" si="6"/>
        <v>28.370519999999999</v>
      </c>
      <c r="J8" s="76">
        <f t="shared" si="7"/>
        <v>0.91515014101873859</v>
      </c>
      <c r="K8" s="511">
        <f t="shared" si="2"/>
        <v>1034.9579368803477</v>
      </c>
      <c r="L8" s="73">
        <f t="shared" si="8"/>
        <v>95</v>
      </c>
      <c r="M8" s="74">
        <f t="shared" si="9"/>
        <v>27.582450000000001</v>
      </c>
      <c r="N8" s="74">
        <f t="shared" si="10"/>
        <v>1.7032201410187362</v>
      </c>
      <c r="O8" s="512">
        <f t="shared" si="3"/>
        <v>1926.1989090003451</v>
      </c>
      <c r="P8" s="71">
        <f t="shared" si="11"/>
        <v>27.05707</v>
      </c>
      <c r="Q8" s="71">
        <f t="shared" si="12"/>
        <v>2.2286001410187382</v>
      </c>
      <c r="R8" s="513">
        <f t="shared" si="4"/>
        <v>2520.3595570803473</v>
      </c>
      <c r="T8" s="47">
        <v>56.945999999999998</v>
      </c>
      <c r="U8" s="47">
        <v>25.006</v>
      </c>
      <c r="V8" s="47">
        <v>1541</v>
      </c>
      <c r="W8" s="47">
        <f t="shared" si="14"/>
        <v>1423.9916759999999</v>
      </c>
      <c r="X8" s="60">
        <f t="shared" si="13"/>
        <v>92.406987410772217</v>
      </c>
    </row>
    <row r="9" spans="1:24">
      <c r="A9" s="5" t="str">
        <f>'Plant loading'!A19</f>
        <v>Crawley</v>
      </c>
      <c r="B9" s="5" t="str">
        <f>'Plant loading'!B19</f>
        <v>PECCY</v>
      </c>
      <c r="C9" s="5">
        <f>'Plant loading'!E19</f>
        <v>618</v>
      </c>
      <c r="D9" s="10">
        <f>'Plant loading'!H19</f>
        <v>36</v>
      </c>
      <c r="E9" s="5">
        <f t="shared" si="15"/>
        <v>17.166666666666668</v>
      </c>
      <c r="F9" s="5">
        <f t="shared" si="5"/>
        <v>935.58333333333337</v>
      </c>
      <c r="G9" s="16">
        <f t="shared" si="0"/>
        <v>90.745146605757995</v>
      </c>
      <c r="H9">
        <f t="shared" si="1"/>
        <v>36.798127171714647</v>
      </c>
      <c r="I9" s="76">
        <f t="shared" si="6"/>
        <v>36.375480000000003</v>
      </c>
      <c r="J9" s="76">
        <f t="shared" si="7"/>
        <v>0.42264717171464383</v>
      </c>
      <c r="K9" s="511">
        <f t="shared" si="2"/>
        <v>477.97844884683815</v>
      </c>
      <c r="L9" s="73">
        <f t="shared" si="8"/>
        <v>95.5</v>
      </c>
      <c r="M9" s="74">
        <f t="shared" si="9"/>
        <v>35.196644999999997</v>
      </c>
      <c r="N9" s="74">
        <f t="shared" si="10"/>
        <v>1.6014821717146503</v>
      </c>
      <c r="O9" s="512">
        <f t="shared" si="3"/>
        <v>1811.1418117068454</v>
      </c>
      <c r="P9" s="71">
        <f t="shared" si="11"/>
        <v>34.691429999999997</v>
      </c>
      <c r="Q9" s="71">
        <f t="shared" si="12"/>
        <v>2.1066971717146501</v>
      </c>
      <c r="R9" s="513">
        <f t="shared" si="4"/>
        <v>2382.497538646845</v>
      </c>
      <c r="T9" s="47">
        <v>56.929000000000002</v>
      </c>
      <c r="U9" s="47">
        <v>30.01</v>
      </c>
      <c r="V9" s="47">
        <v>1852.4</v>
      </c>
      <c r="W9" s="47">
        <f t="shared" si="14"/>
        <v>1708.4392900000003</v>
      </c>
      <c r="X9" s="60">
        <f t="shared" si="13"/>
        <v>92.228422047074076</v>
      </c>
    </row>
    <row r="10" spans="1:24">
      <c r="A10" s="5" t="str">
        <f>'Plant loading'!A20</f>
        <v>Crawley</v>
      </c>
      <c r="B10" s="5" t="str">
        <f>'Plant loading'!B20</f>
        <v>PEDCY</v>
      </c>
      <c r="C10" s="5">
        <f>'Plant loading'!E20</f>
        <v>481</v>
      </c>
      <c r="D10" s="10">
        <f>'Plant loading'!H20</f>
        <v>36</v>
      </c>
      <c r="E10" s="5">
        <f t="shared" si="15"/>
        <v>13.361111111111111</v>
      </c>
      <c r="F10" s="5">
        <f t="shared" si="5"/>
        <v>728.18055555555554</v>
      </c>
      <c r="G10" s="16">
        <f t="shared" si="0"/>
        <v>88.516235330546522</v>
      </c>
      <c r="H10">
        <f t="shared" si="1"/>
        <v>29.224911489273882</v>
      </c>
      <c r="I10" s="76">
        <f t="shared" si="6"/>
        <v>28.311660000000003</v>
      </c>
      <c r="J10" s="76">
        <f t="shared" si="7"/>
        <v>0.913251489273879</v>
      </c>
      <c r="K10" s="511">
        <f t="shared" si="2"/>
        <v>1032.810721243658</v>
      </c>
      <c r="L10" s="73">
        <f t="shared" si="8"/>
        <v>95</v>
      </c>
      <c r="M10" s="74">
        <f t="shared" si="9"/>
        <v>27.525225000000002</v>
      </c>
      <c r="N10" s="74">
        <f t="shared" si="10"/>
        <v>1.6996864892738799</v>
      </c>
      <c r="O10" s="512">
        <f t="shared" si="3"/>
        <v>1922.2026457036591</v>
      </c>
      <c r="P10" s="71">
        <f t="shared" si="11"/>
        <v>27.000935000000002</v>
      </c>
      <c r="Q10" s="71">
        <f t="shared" si="12"/>
        <v>2.2239764892738805</v>
      </c>
      <c r="R10" s="513">
        <f t="shared" si="4"/>
        <v>2515.1305953436595</v>
      </c>
      <c r="T10" s="47">
        <v>56.917000000000002</v>
      </c>
      <c r="U10" s="47">
        <v>35.073999999999998</v>
      </c>
      <c r="V10" s="47">
        <v>2166</v>
      </c>
      <c r="W10" s="47">
        <f t="shared" si="14"/>
        <v>1996.3068579999999</v>
      </c>
      <c r="X10" s="60">
        <f t="shared" si="13"/>
        <v>92.165598245614021</v>
      </c>
    </row>
    <row r="11" spans="1:24">
      <c r="A11" s="5" t="str">
        <f>'Plant loading'!A21</f>
        <v>Crawley</v>
      </c>
      <c r="B11" s="5" t="str">
        <f>'Plant loading'!B21</f>
        <v>PEECY</v>
      </c>
      <c r="C11" s="5">
        <f>'Plant loading'!E21</f>
        <v>321</v>
      </c>
      <c r="D11" s="10">
        <f>'Plant loading'!H21</f>
        <v>36</v>
      </c>
      <c r="E11" s="5">
        <f t="shared" si="15"/>
        <v>8.9166666666666661</v>
      </c>
      <c r="F11" s="5">
        <f t="shared" si="5"/>
        <v>485.95833333333331</v>
      </c>
      <c r="G11" s="16">
        <f t="shared" si="0"/>
        <v>82.073224256292889</v>
      </c>
      <c r="H11">
        <f t="shared" si="1"/>
        <v>20.630699782482839</v>
      </c>
      <c r="I11" s="76">
        <f t="shared" si="6"/>
        <v>18.89406</v>
      </c>
      <c r="J11" s="76">
        <f t="shared" si="7"/>
        <v>1.7366397824828397</v>
      </c>
      <c r="K11" s="511">
        <f t="shared" si="2"/>
        <v>1963.993716246363</v>
      </c>
      <c r="L11" s="73">
        <f t="shared" si="8"/>
        <v>91</v>
      </c>
      <c r="M11" s="74">
        <f t="shared" si="9"/>
        <v>19.069004999999997</v>
      </c>
      <c r="N11" s="74">
        <f t="shared" si="10"/>
        <v>1.5616947824828422</v>
      </c>
      <c r="O11" s="512">
        <f t="shared" si="3"/>
        <v>1766.1456166263658</v>
      </c>
      <c r="P11" s="71">
        <f t="shared" si="11"/>
        <v>18.019334999999998</v>
      </c>
      <c r="Q11" s="71">
        <f t="shared" si="12"/>
        <v>2.6113647824828412</v>
      </c>
      <c r="R11" s="513">
        <f t="shared" si="4"/>
        <v>2953.2342143463648</v>
      </c>
      <c r="T11" s="47">
        <v>56.9</v>
      </c>
      <c r="U11" s="47">
        <v>40.103000000000002</v>
      </c>
      <c r="V11" s="47">
        <v>2477</v>
      </c>
      <c r="W11" s="47">
        <f t="shared" si="14"/>
        <v>2281.8607000000002</v>
      </c>
      <c r="X11" s="60">
        <f t="shared" si="13"/>
        <v>92.121949939442871</v>
      </c>
    </row>
    <row r="12" spans="1:24">
      <c r="A12" s="5" t="str">
        <f>'Plant loading'!A22</f>
        <v>Edinburgh</v>
      </c>
      <c r="B12" s="5" t="str">
        <f>'Plant loading'!B22</f>
        <v>PECEH</v>
      </c>
      <c r="C12" s="5">
        <f>'Plant loading'!E22</f>
        <v>834</v>
      </c>
      <c r="D12" s="10">
        <f>'Plant loading'!H22</f>
        <v>36</v>
      </c>
      <c r="E12" s="5">
        <f t="shared" si="15"/>
        <v>23.166666666666668</v>
      </c>
      <c r="F12" s="5">
        <f t="shared" si="5"/>
        <v>1262.5833333333335</v>
      </c>
      <c r="G12" s="16">
        <f t="shared" si="0"/>
        <v>91.741405683922395</v>
      </c>
      <c r="H12">
        <f t="shared" si="1"/>
        <v>49.206778874486758</v>
      </c>
      <c r="I12" s="76">
        <f t="shared" si="6"/>
        <v>49.089240000000004</v>
      </c>
      <c r="J12" s="76">
        <f t="shared" si="7"/>
        <v>0.11753887448675471</v>
      </c>
      <c r="K12" s="511">
        <f t="shared" si="2"/>
        <v>132.9265937790627</v>
      </c>
      <c r="L12" s="73">
        <f t="shared" si="8"/>
        <v>96</v>
      </c>
      <c r="M12" s="74">
        <f t="shared" si="9"/>
        <v>47.271120000000003</v>
      </c>
      <c r="N12" s="74">
        <f t="shared" si="10"/>
        <v>1.9356588744867551</v>
      </c>
      <c r="O12" s="512">
        <f t="shared" si="3"/>
        <v>2189.0675916990631</v>
      </c>
      <c r="P12" s="71">
        <f t="shared" si="11"/>
        <v>46.816590000000005</v>
      </c>
      <c r="Q12" s="71">
        <f t="shared" si="12"/>
        <v>2.3901888744867534</v>
      </c>
      <c r="R12" s="513">
        <f t="shared" si="4"/>
        <v>2703.1028411790608</v>
      </c>
      <c r="T12" s="47">
        <v>56.881</v>
      </c>
      <c r="U12" s="47">
        <v>45.073</v>
      </c>
      <c r="V12" s="47">
        <v>2788</v>
      </c>
      <c r="W12" s="47">
        <f t="shared" si="14"/>
        <v>2563.797313</v>
      </c>
      <c r="X12" s="60">
        <f t="shared" si="13"/>
        <v>91.958296736011476</v>
      </c>
    </row>
    <row r="13" spans="1:24">
      <c r="A13" s="5" t="str">
        <f>'Plant loading'!A23</f>
        <v>Edinburgh</v>
      </c>
      <c r="B13" s="5" t="str">
        <f>'Plant loading'!B23</f>
        <v>PEDEH</v>
      </c>
      <c r="C13" s="5">
        <f>'Plant loading'!E23</f>
        <v>920</v>
      </c>
      <c r="D13" s="10">
        <f>'Plant loading'!H23</f>
        <v>36</v>
      </c>
      <c r="E13" s="5">
        <f t="shared" si="15"/>
        <v>25.555555555555557</v>
      </c>
      <c r="F13" s="5">
        <f t="shared" si="5"/>
        <v>1392.7777777777778</v>
      </c>
      <c r="G13" s="16">
        <f t="shared" si="0"/>
        <v>91.741405683922395</v>
      </c>
      <c r="H13">
        <f t="shared" si="1"/>
        <v>54.280859190081308</v>
      </c>
      <c r="I13" s="76">
        <f t="shared" si="6"/>
        <v>54.151200000000003</v>
      </c>
      <c r="J13" s="76">
        <f t="shared" si="7"/>
        <v>0.12965919008130555</v>
      </c>
      <c r="K13" s="511">
        <f t="shared" si="2"/>
        <v>146.63365260998975</v>
      </c>
      <c r="L13" s="73">
        <f t="shared" si="8"/>
        <v>97</v>
      </c>
      <c r="M13" s="74">
        <f t="shared" si="9"/>
        <v>51.644200000000005</v>
      </c>
      <c r="N13" s="74">
        <f t="shared" si="10"/>
        <v>2.6366591900813034</v>
      </c>
      <c r="O13" s="512">
        <f t="shared" si="3"/>
        <v>2981.8400646099872</v>
      </c>
      <c r="P13" s="71">
        <f t="shared" si="11"/>
        <v>51.644200000000005</v>
      </c>
      <c r="Q13" s="71">
        <f t="shared" si="12"/>
        <v>2.6366591900813034</v>
      </c>
      <c r="R13" s="513">
        <f t="shared" si="4"/>
        <v>2981.8400646099872</v>
      </c>
      <c r="T13" s="47">
        <v>56.860999999999997</v>
      </c>
      <c r="U13" s="47">
        <v>50.098999999999997</v>
      </c>
      <c r="V13" s="47">
        <v>3105</v>
      </c>
      <c r="W13" s="47">
        <f t="shared" si="14"/>
        <v>2848.6792389999996</v>
      </c>
      <c r="X13" s="60">
        <f t="shared" si="13"/>
        <v>91.744903027375187</v>
      </c>
    </row>
    <row r="14" spans="1:24">
      <c r="A14" s="5" t="str">
        <f>'Plant loading'!A24</f>
        <v>Edinburgh</v>
      </c>
      <c r="B14" s="5" t="str">
        <f>'Plant loading'!B24</f>
        <v>PEEEH</v>
      </c>
      <c r="C14" s="5">
        <f>'Plant loading'!E24</f>
        <v>880</v>
      </c>
      <c r="D14" s="10">
        <f>'Plant loading'!H24</f>
        <v>36</v>
      </c>
      <c r="E14" s="5">
        <f t="shared" si="15"/>
        <v>24.444444444444443</v>
      </c>
      <c r="F14" s="5">
        <f t="shared" si="5"/>
        <v>1332.2222222222222</v>
      </c>
      <c r="G14" s="16">
        <f t="shared" si="0"/>
        <v>91.741405683922395</v>
      </c>
      <c r="H14">
        <f t="shared" si="1"/>
        <v>51.920821833990821</v>
      </c>
      <c r="I14" s="76">
        <f t="shared" si="6"/>
        <v>51.796800000000005</v>
      </c>
      <c r="J14" s="76">
        <f t="shared" si="7"/>
        <v>0.12402183399081679</v>
      </c>
      <c r="K14" s="511">
        <f t="shared" si="2"/>
        <v>140.25827640955856</v>
      </c>
      <c r="L14" s="73">
        <f t="shared" si="8"/>
        <v>96</v>
      </c>
      <c r="M14" s="74">
        <f t="shared" si="9"/>
        <v>49.878399999999999</v>
      </c>
      <c r="N14" s="74">
        <f t="shared" si="10"/>
        <v>2.0424218339908222</v>
      </c>
      <c r="O14" s="512">
        <f t="shared" si="3"/>
        <v>2309.8075308095645</v>
      </c>
      <c r="P14" s="71">
        <f t="shared" si="11"/>
        <v>49.398800000000001</v>
      </c>
      <c r="Q14" s="71">
        <f t="shared" si="12"/>
        <v>2.52202183399082</v>
      </c>
      <c r="R14" s="513">
        <f t="shared" si="4"/>
        <v>2852.1948444095619</v>
      </c>
      <c r="T14" s="47">
        <v>56.83</v>
      </c>
      <c r="U14" s="47">
        <v>56.155999999999999</v>
      </c>
      <c r="V14" s="47">
        <v>3496</v>
      </c>
      <c r="W14" s="47">
        <f t="shared" si="14"/>
        <v>3191.34548</v>
      </c>
      <c r="X14" s="60">
        <f t="shared" si="13"/>
        <v>91.285625858123566</v>
      </c>
    </row>
    <row r="15" spans="1:24">
      <c r="A15" s="5" t="str">
        <f>'Plant loading'!A25</f>
        <v>Edinburgh</v>
      </c>
      <c r="B15" s="5" t="str">
        <f>'Plant loading'!B25</f>
        <v>PEFEH</v>
      </c>
      <c r="C15" s="5">
        <f>'Plant loading'!E25</f>
        <v>836</v>
      </c>
      <c r="D15" s="10">
        <f>'Plant loading'!H25</f>
        <v>36</v>
      </c>
      <c r="E15" s="5">
        <f t="shared" si="15"/>
        <v>23.222222222222221</v>
      </c>
      <c r="F15" s="5">
        <f t="shared" si="5"/>
        <v>1265.6111111111111</v>
      </c>
      <c r="G15" s="16">
        <f t="shared" si="0"/>
        <v>91.741405683922395</v>
      </c>
      <c r="H15">
        <f t="shared" si="1"/>
        <v>49.324780742291281</v>
      </c>
      <c r="I15" s="76">
        <f t="shared" si="6"/>
        <v>49.206960000000009</v>
      </c>
      <c r="J15" s="76">
        <f t="shared" si="7"/>
        <v>0.11782074229127204</v>
      </c>
      <c r="K15" s="511">
        <f t="shared" si="2"/>
        <v>133.24536258907622</v>
      </c>
      <c r="L15" s="73">
        <f t="shared" si="8"/>
        <v>96</v>
      </c>
      <c r="M15" s="74">
        <f t="shared" si="9"/>
        <v>47.384480000000003</v>
      </c>
      <c r="N15" s="74">
        <f t="shared" si="10"/>
        <v>1.9403007422912779</v>
      </c>
      <c r="O15" s="512">
        <f t="shared" si="3"/>
        <v>2194.3171542690825</v>
      </c>
      <c r="P15" s="71">
        <f t="shared" si="11"/>
        <v>46.92886</v>
      </c>
      <c r="Q15" s="71">
        <f t="shared" si="12"/>
        <v>2.3959207422912812</v>
      </c>
      <c r="R15" s="513">
        <f t="shared" si="4"/>
        <v>2709.5851021890867</v>
      </c>
    </row>
    <row r="16" spans="1:24">
      <c r="A16" s="61" t="str">
        <f>'Plant loading'!A26</f>
        <v>Edinburgh</v>
      </c>
      <c r="B16" s="61" t="str">
        <f>'Plant loading'!B26</f>
        <v>PEGEH</v>
      </c>
      <c r="C16" s="61">
        <f>'Plant loading'!E26</f>
        <v>930</v>
      </c>
      <c r="D16" s="62">
        <f>'Plant loading'!H26</f>
        <v>36</v>
      </c>
      <c r="E16" s="61">
        <f t="shared" si="15"/>
        <v>25.833333333333332</v>
      </c>
      <c r="F16" s="61">
        <f t="shared" si="5"/>
        <v>1407.9166666666665</v>
      </c>
      <c r="G16" s="63">
        <f t="shared" si="0"/>
        <v>91.741405683922395</v>
      </c>
      <c r="H16" s="64">
        <v>0</v>
      </c>
      <c r="I16" s="76">
        <v>0</v>
      </c>
      <c r="J16" s="76">
        <f t="shared" si="7"/>
        <v>0</v>
      </c>
      <c r="K16" s="511">
        <f t="shared" si="2"/>
        <v>0</v>
      </c>
      <c r="L16" s="73">
        <f t="shared" si="8"/>
        <v>97</v>
      </c>
      <c r="M16" s="74">
        <v>0</v>
      </c>
      <c r="N16" s="74">
        <f t="shared" si="10"/>
        <v>0</v>
      </c>
      <c r="O16" s="512">
        <f t="shared" si="3"/>
        <v>0</v>
      </c>
      <c r="P16" s="71">
        <v>0</v>
      </c>
      <c r="Q16" s="71">
        <f t="shared" si="12"/>
        <v>0</v>
      </c>
      <c r="R16" s="513">
        <f t="shared" si="4"/>
        <v>0</v>
      </c>
    </row>
    <row r="17" spans="1:24">
      <c r="A17" s="5" t="str">
        <f>'Plant loading'!A28</f>
        <v>Esher</v>
      </c>
      <c r="B17" s="5" t="str">
        <f>'Plant loading'!B28</f>
        <v>PEDER</v>
      </c>
      <c r="C17" s="5">
        <f>'Plant loading'!E28</f>
        <v>424</v>
      </c>
      <c r="D17" s="10">
        <f>'Plant loading'!H28</f>
        <v>36</v>
      </c>
      <c r="E17" s="5">
        <f t="shared" si="15"/>
        <v>11.777777777777779</v>
      </c>
      <c r="F17" s="5">
        <f t="shared" si="5"/>
        <v>641.88888888888891</v>
      </c>
      <c r="G17" s="16">
        <f t="shared" si="0"/>
        <v>88.516235330546522</v>
      </c>
      <c r="H17">
        <f t="shared" ref="H17:H23" si="16">((($D17*$E17)*54.5)*(1+(1-(G17/100)))/1000)</f>
        <v>25.761668339817312</v>
      </c>
      <c r="I17" s="76">
        <f t="shared" si="6"/>
        <v>24.956640000000004</v>
      </c>
      <c r="J17" s="76">
        <f t="shared" si="7"/>
        <v>0.80502833981730859</v>
      </c>
      <c r="K17" s="511">
        <f t="shared" si="2"/>
        <v>910.41942995283125</v>
      </c>
      <c r="L17" s="73">
        <f t="shared" si="8"/>
        <v>93</v>
      </c>
      <c r="M17" s="74">
        <f t="shared" si="9"/>
        <v>24.725559999999998</v>
      </c>
      <c r="N17" s="74">
        <f t="shared" si="10"/>
        <v>1.0361083398173143</v>
      </c>
      <c r="O17" s="512">
        <f t="shared" si="3"/>
        <v>1171.7514992328377</v>
      </c>
      <c r="P17" s="71">
        <f t="shared" si="11"/>
        <v>23.80124</v>
      </c>
      <c r="Q17" s="71">
        <f t="shared" si="12"/>
        <v>1.9604283398173123</v>
      </c>
      <c r="R17" s="513">
        <f t="shared" si="4"/>
        <v>2217.0797763528353</v>
      </c>
    </row>
    <row r="18" spans="1:24">
      <c r="A18" s="5" t="str">
        <f>'Plant loading'!A29</f>
        <v>Esher</v>
      </c>
      <c r="B18" s="5" t="str">
        <f>'Plant loading'!B29</f>
        <v>PEEER</v>
      </c>
      <c r="C18" s="5">
        <f>'Plant loading'!E29</f>
        <v>340</v>
      </c>
      <c r="D18" s="10">
        <f>'Plant loading'!H29</f>
        <v>36</v>
      </c>
      <c r="E18" s="5">
        <f t="shared" si="15"/>
        <v>9.4444444444444446</v>
      </c>
      <c r="F18" s="5">
        <f t="shared" si="5"/>
        <v>514.72222222222229</v>
      </c>
      <c r="G18" s="16">
        <f t="shared" si="0"/>
        <v>82.073224256292889</v>
      </c>
      <c r="H18">
        <f t="shared" si="16"/>
        <v>21.851831545308926</v>
      </c>
      <c r="I18" s="76">
        <f t="shared" si="6"/>
        <v>20.012400000000003</v>
      </c>
      <c r="J18" s="76">
        <f t="shared" si="7"/>
        <v>1.8394315453089227</v>
      </c>
      <c r="K18" s="511">
        <f t="shared" si="2"/>
        <v>2080.2425654945855</v>
      </c>
      <c r="L18" s="73">
        <f t="shared" si="8"/>
        <v>91</v>
      </c>
      <c r="M18" s="74">
        <f t="shared" si="9"/>
        <v>20.197699999999998</v>
      </c>
      <c r="N18" s="74">
        <f t="shared" si="10"/>
        <v>1.6541315453089283</v>
      </c>
      <c r="O18" s="512">
        <f t="shared" si="3"/>
        <v>1870.6838306945917</v>
      </c>
      <c r="P18" s="71">
        <f t="shared" si="11"/>
        <v>19.085900000000002</v>
      </c>
      <c r="Q18" s="71">
        <f t="shared" si="12"/>
        <v>2.7659315453089235</v>
      </c>
      <c r="R18" s="513">
        <f t="shared" si="4"/>
        <v>3128.036239494586</v>
      </c>
      <c r="U18" s="338" t="s">
        <v>1506</v>
      </c>
      <c r="V18" s="107">
        <v>0.12909999999999999</v>
      </c>
    </row>
    <row r="19" spans="1:24">
      <c r="A19" s="5" t="str">
        <f>'Plant loading'!A30</f>
        <v>Esher</v>
      </c>
      <c r="B19" s="5" t="str">
        <f>'Plant loading'!B30</f>
        <v>PEFER</v>
      </c>
      <c r="C19" s="5">
        <f>'Plant loading'!E30</f>
        <v>437</v>
      </c>
      <c r="D19" s="10">
        <f>'Plant loading'!H30</f>
        <v>36</v>
      </c>
      <c r="E19" s="5">
        <f t="shared" si="15"/>
        <v>12.138888888888889</v>
      </c>
      <c r="F19" s="5">
        <f t="shared" si="5"/>
        <v>661.56944444444446</v>
      </c>
      <c r="G19" s="16">
        <f t="shared" si="0"/>
        <v>88.516235330546522</v>
      </c>
      <c r="H19">
        <f t="shared" si="16"/>
        <v>26.551530812500392</v>
      </c>
      <c r="I19" s="76">
        <f t="shared" si="6"/>
        <v>25.721820000000005</v>
      </c>
      <c r="J19" s="76">
        <f t="shared" si="7"/>
        <v>0.82971081250038736</v>
      </c>
      <c r="K19" s="511">
        <f t="shared" si="2"/>
        <v>938.33323322968795</v>
      </c>
      <c r="L19" s="73">
        <f t="shared" si="8"/>
        <v>93</v>
      </c>
      <c r="M19" s="74">
        <f t="shared" si="9"/>
        <v>25.483654999999995</v>
      </c>
      <c r="N19" s="74">
        <f t="shared" si="10"/>
        <v>1.0678758125003966</v>
      </c>
      <c r="O19" s="512">
        <f t="shared" si="3"/>
        <v>1207.6778423696985</v>
      </c>
      <c r="P19" s="71">
        <f t="shared" si="11"/>
        <v>24.530994999999997</v>
      </c>
      <c r="Q19" s="71">
        <f t="shared" si="12"/>
        <v>2.0205358125003947</v>
      </c>
      <c r="R19" s="513">
        <f t="shared" si="4"/>
        <v>2285.0562789296964</v>
      </c>
    </row>
    <row r="20" spans="1:24">
      <c r="A20" s="5" t="str">
        <f>'Plant loading'!A31</f>
        <v>Esher</v>
      </c>
      <c r="B20" s="5" t="str">
        <f>'Plant loading'!B31</f>
        <v>PEGER</v>
      </c>
      <c r="C20" s="5">
        <f>'Plant loading'!E31</f>
        <v>315</v>
      </c>
      <c r="D20" s="10">
        <f>'Plant loading'!H31</f>
        <v>36</v>
      </c>
      <c r="E20" s="5">
        <f t="shared" si="15"/>
        <v>8.75</v>
      </c>
      <c r="F20" s="5">
        <f t="shared" si="5"/>
        <v>476.875</v>
      </c>
      <c r="G20" s="16">
        <f t="shared" si="0"/>
        <v>82.073224256292889</v>
      </c>
      <c r="H20">
        <f t="shared" si="16"/>
        <v>20.245079225800918</v>
      </c>
      <c r="I20" s="76">
        <f t="shared" si="6"/>
        <v>18.540900000000001</v>
      </c>
      <c r="J20" s="76">
        <f t="shared" si="7"/>
        <v>1.7041792258009174</v>
      </c>
      <c r="K20" s="511">
        <f t="shared" si="2"/>
        <v>1927.2835533258701</v>
      </c>
      <c r="L20" s="73">
        <f t="shared" si="8"/>
        <v>91</v>
      </c>
      <c r="M20" s="74">
        <f t="shared" si="9"/>
        <v>18.712574999999998</v>
      </c>
      <c r="N20" s="74">
        <f t="shared" si="10"/>
        <v>1.5325042258009205</v>
      </c>
      <c r="O20" s="512">
        <f t="shared" si="3"/>
        <v>1733.1335490258737</v>
      </c>
      <c r="P20" s="71">
        <f t="shared" si="11"/>
        <v>17.682525000000002</v>
      </c>
      <c r="Q20" s="71">
        <f t="shared" si="12"/>
        <v>2.5625542258009162</v>
      </c>
      <c r="R20" s="513">
        <f t="shared" si="4"/>
        <v>2898.033574825869</v>
      </c>
    </row>
    <row r="21" spans="1:24">
      <c r="A21" s="5" t="str">
        <f>'Plant loading'!A32</f>
        <v>Gloucester</v>
      </c>
      <c r="B21" s="5" t="str">
        <f>'Plant loading'!B32</f>
        <v>PEAGR</v>
      </c>
      <c r="C21" s="5">
        <f>'Plant loading'!E32</f>
        <v>664</v>
      </c>
      <c r="D21" s="10">
        <f>'Plant loading'!H32</f>
        <v>36</v>
      </c>
      <c r="E21" s="5">
        <f t="shared" si="15"/>
        <v>18.444444444444443</v>
      </c>
      <c r="F21" s="5">
        <f t="shared" si="5"/>
        <v>1005.2222222222222</v>
      </c>
      <c r="G21" s="16">
        <f t="shared" si="0"/>
        <v>90.745146605757995</v>
      </c>
      <c r="H21">
        <f t="shared" si="16"/>
        <v>39.53714634630829</v>
      </c>
      <c r="I21" s="76">
        <f t="shared" si="6"/>
        <v>39.083040000000004</v>
      </c>
      <c r="J21" s="76">
        <f t="shared" si="7"/>
        <v>0.45410634630828639</v>
      </c>
      <c r="K21" s="511">
        <f t="shared" si="2"/>
        <v>513.55613274158202</v>
      </c>
      <c r="L21" s="73">
        <f t="shared" si="8"/>
        <v>95.5</v>
      </c>
      <c r="M21" s="74">
        <f t="shared" si="9"/>
        <v>37.816459999999999</v>
      </c>
      <c r="N21" s="74">
        <f t="shared" si="10"/>
        <v>1.7206863463082911</v>
      </c>
      <c r="O21" s="512">
        <f t="shared" si="3"/>
        <v>1945.9517200215871</v>
      </c>
      <c r="P21" s="71">
        <f t="shared" si="11"/>
        <v>37.27364</v>
      </c>
      <c r="Q21" s="71">
        <f t="shared" si="12"/>
        <v>2.2635063463082901</v>
      </c>
      <c r="R21" s="513">
        <f t="shared" si="4"/>
        <v>2559.8355431415857</v>
      </c>
    </row>
    <row r="22" spans="1:24">
      <c r="A22" s="5" t="str">
        <f>'Plant loading'!A33</f>
        <v>Gloucester</v>
      </c>
      <c r="B22" s="5" t="str">
        <f>'Plant loading'!B33</f>
        <v>PEBGR</v>
      </c>
      <c r="C22" s="5">
        <f>'Plant loading'!E33</f>
        <v>811</v>
      </c>
      <c r="D22" s="10">
        <f>'Plant loading'!H33</f>
        <v>36</v>
      </c>
      <c r="E22" s="5">
        <f t="shared" si="15"/>
        <v>22.527777777777779</v>
      </c>
      <c r="F22" s="5">
        <f t="shared" si="5"/>
        <v>1227.7638888888889</v>
      </c>
      <c r="G22" s="16">
        <f t="shared" si="0"/>
        <v>91.741405683922395</v>
      </c>
      <c r="H22">
        <f t="shared" si="16"/>
        <v>47.849757394734716</v>
      </c>
      <c r="I22" s="76">
        <f t="shared" si="6"/>
        <v>47.735460000000003</v>
      </c>
      <c r="J22" s="76">
        <f t="shared" si="7"/>
        <v>0.11429739473471301</v>
      </c>
      <c r="K22" s="511">
        <f t="shared" si="2"/>
        <v>129.2607524638027</v>
      </c>
      <c r="L22" s="73">
        <f t="shared" si="8"/>
        <v>96</v>
      </c>
      <c r="M22" s="74">
        <f t="shared" si="9"/>
        <v>45.967480000000002</v>
      </c>
      <c r="N22" s="74">
        <f t="shared" si="10"/>
        <v>1.8822773947347144</v>
      </c>
      <c r="O22" s="512">
        <f t="shared" si="3"/>
        <v>2128.697622143804</v>
      </c>
      <c r="P22" s="71">
        <f t="shared" si="11"/>
        <v>45.525485000000003</v>
      </c>
      <c r="Q22" s="71">
        <f t="shared" si="12"/>
        <v>2.324272394734713</v>
      </c>
      <c r="R22" s="513">
        <f t="shared" si="4"/>
        <v>2628.5568395638024</v>
      </c>
    </row>
    <row r="23" spans="1:24">
      <c r="A23" s="5" t="str">
        <f>'Plant loading'!A34</f>
        <v>Gloucester</v>
      </c>
      <c r="B23" s="5" t="str">
        <f>'Plant loading'!B34</f>
        <v>PECGR</v>
      </c>
      <c r="C23" s="5">
        <f>'Plant loading'!E34</f>
        <v>764</v>
      </c>
      <c r="D23" s="10">
        <f>'Plant loading'!H34</f>
        <v>36</v>
      </c>
      <c r="E23" s="5">
        <f t="shared" si="15"/>
        <v>21.222222222222221</v>
      </c>
      <c r="F23" s="5">
        <f t="shared" si="5"/>
        <v>1156.6111111111111</v>
      </c>
      <c r="G23" s="16">
        <f t="shared" si="0"/>
        <v>91.741405683922395</v>
      </c>
      <c r="H23">
        <f t="shared" si="16"/>
        <v>45.076713501328392</v>
      </c>
      <c r="I23" s="76">
        <f t="shared" si="6"/>
        <v>44.96904</v>
      </c>
      <c r="J23" s="76">
        <f t="shared" si="7"/>
        <v>0.10767350132839226</v>
      </c>
      <c r="K23" s="511">
        <f t="shared" si="2"/>
        <v>121.76968542830005</v>
      </c>
      <c r="L23" s="73">
        <f t="shared" si="8"/>
        <v>96</v>
      </c>
      <c r="M23" s="74">
        <f t="shared" si="9"/>
        <v>43.303520000000006</v>
      </c>
      <c r="N23" s="74">
        <f t="shared" si="10"/>
        <v>1.7731935013283859</v>
      </c>
      <c r="O23" s="512">
        <f t="shared" si="3"/>
        <v>2005.3329017482927</v>
      </c>
      <c r="P23" s="71">
        <f t="shared" si="11"/>
        <v>42.887140000000002</v>
      </c>
      <c r="Q23" s="71">
        <f t="shared" si="12"/>
        <v>2.1895735013283897</v>
      </c>
      <c r="R23" s="513">
        <f t="shared" si="4"/>
        <v>2476.2237058282972</v>
      </c>
    </row>
    <row r="24" spans="1:24">
      <c r="A24" s="61" t="str">
        <f>'Plant loading'!A35</f>
        <v>Gloucester</v>
      </c>
      <c r="B24" s="61" t="str">
        <f>'Plant loading'!B35</f>
        <v>PEDGR</v>
      </c>
      <c r="C24" s="61">
        <f>'Plant loading'!E35</f>
        <v>744</v>
      </c>
      <c r="D24" s="62">
        <f>'Plant loading'!H35</f>
        <v>36</v>
      </c>
      <c r="E24" s="61">
        <f t="shared" si="15"/>
        <v>20.666666666666668</v>
      </c>
      <c r="F24" s="61">
        <f t="shared" si="5"/>
        <v>1126.3333333333335</v>
      </c>
      <c r="G24" s="63">
        <f t="shared" si="0"/>
        <v>90.745146605757995</v>
      </c>
      <c r="H24" s="64">
        <v>0</v>
      </c>
      <c r="I24" s="76">
        <v>0</v>
      </c>
      <c r="J24" s="76">
        <f t="shared" si="7"/>
        <v>0</v>
      </c>
      <c r="K24" s="511">
        <f t="shared" si="2"/>
        <v>0</v>
      </c>
      <c r="L24" s="73">
        <f t="shared" si="8"/>
        <v>96</v>
      </c>
      <c r="M24" s="74">
        <v>0</v>
      </c>
      <c r="N24" s="74">
        <f t="shared" si="10"/>
        <v>0</v>
      </c>
      <c r="O24" s="512">
        <f t="shared" si="3"/>
        <v>0</v>
      </c>
      <c r="P24" s="71">
        <v>0</v>
      </c>
      <c r="Q24" s="71">
        <f t="shared" si="12"/>
        <v>0</v>
      </c>
      <c r="R24" s="513">
        <f t="shared" si="4"/>
        <v>0</v>
      </c>
    </row>
    <row r="25" spans="1:24">
      <c r="A25" s="5" t="str">
        <f>'Plant loading'!A36</f>
        <v>Gloucester</v>
      </c>
      <c r="B25" s="5" t="str">
        <f>'Plant loading'!B36</f>
        <v>PEEGR</v>
      </c>
      <c r="C25" s="5">
        <f>'Plant loading'!E36</f>
        <v>724</v>
      </c>
      <c r="D25" s="10">
        <f>'Plant loading'!H36</f>
        <v>36</v>
      </c>
      <c r="E25" s="5">
        <f t="shared" si="15"/>
        <v>20.111111111111111</v>
      </c>
      <c r="F25" s="5">
        <f t="shared" si="5"/>
        <v>1096.0555555555554</v>
      </c>
      <c r="G25" s="16">
        <f t="shared" si="0"/>
        <v>90.745146605757995</v>
      </c>
      <c r="H25">
        <f t="shared" ref="H25:H35" si="17">((($D25*$E25)*54.5)*(1+(1-(G25/100)))/1000)</f>
        <v>43.109780052300003</v>
      </c>
      <c r="I25" s="76">
        <f t="shared" si="6"/>
        <v>42.614640000000001</v>
      </c>
      <c r="J25" s="76">
        <f t="shared" si="7"/>
        <v>0.4951400523000018</v>
      </c>
      <c r="K25" s="511">
        <f t="shared" si="2"/>
        <v>559.96180738690873</v>
      </c>
      <c r="L25" s="73">
        <f t="shared" si="8"/>
        <v>96</v>
      </c>
      <c r="M25" s="74">
        <f t="shared" si="9"/>
        <v>41.036319999999996</v>
      </c>
      <c r="N25" s="74">
        <f t="shared" si="10"/>
        <v>2.0734600523000069</v>
      </c>
      <c r="O25" s="512">
        <f t="shared" si="3"/>
        <v>2344.9091485069143</v>
      </c>
      <c r="P25" s="71">
        <f t="shared" si="11"/>
        <v>40.641739999999999</v>
      </c>
      <c r="Q25" s="71">
        <f t="shared" si="12"/>
        <v>2.4680400523000046</v>
      </c>
      <c r="R25" s="513">
        <f t="shared" si="4"/>
        <v>2791.1459837869115</v>
      </c>
    </row>
    <row r="26" spans="1:24">
      <c r="A26" s="5" t="str">
        <f>'Plant loading'!A47</f>
        <v>Kings Cross</v>
      </c>
      <c r="B26" s="5" t="str">
        <f>'Plant loading'!B47</f>
        <v>PEAKS</v>
      </c>
      <c r="C26" s="5">
        <f>'Plant loading'!E47</f>
        <v>242</v>
      </c>
      <c r="D26" s="10">
        <f>'Plant loading'!H47</f>
        <v>24</v>
      </c>
      <c r="E26" s="5">
        <f t="shared" si="15"/>
        <v>10.083333333333334</v>
      </c>
      <c r="F26" s="5">
        <f t="shared" si="5"/>
        <v>549.54166666666674</v>
      </c>
      <c r="G26" s="16">
        <f t="shared" si="0"/>
        <v>82.073224256292889</v>
      </c>
      <c r="H26">
        <f t="shared" si="17"/>
        <v>15.553362452837531</v>
      </c>
      <c r="I26" s="76">
        <f t="shared" si="6"/>
        <v>14.244120000000001</v>
      </c>
      <c r="J26" s="76">
        <f t="shared" si="7"/>
        <v>1.3092424528375304</v>
      </c>
      <c r="K26" s="511">
        <f t="shared" si="2"/>
        <v>1480.6432377932083</v>
      </c>
      <c r="L26" s="73">
        <f t="shared" si="8"/>
        <v>93</v>
      </c>
      <c r="M26" s="74">
        <f t="shared" si="9"/>
        <v>14.112229999999998</v>
      </c>
      <c r="N26" s="74">
        <f t="shared" si="10"/>
        <v>1.4411324528375324</v>
      </c>
      <c r="O26" s="512">
        <f t="shared" si="3"/>
        <v>1629.7997490332107</v>
      </c>
      <c r="P26" s="71">
        <f t="shared" si="11"/>
        <v>13.584670000000001</v>
      </c>
      <c r="Q26" s="71">
        <f t="shared" si="12"/>
        <v>1.96869245283753</v>
      </c>
      <c r="R26" s="513">
        <f t="shared" si="4"/>
        <v>2226.4257939932081</v>
      </c>
    </row>
    <row r="27" spans="1:24">
      <c r="A27" s="5" t="str">
        <f>'Plant loading'!A48</f>
        <v>Kings Cross</v>
      </c>
      <c r="B27" s="5" t="str">
        <f>'Plant loading'!B48</f>
        <v>PEBKS</v>
      </c>
      <c r="C27" s="5">
        <f>'Plant loading'!E48</f>
        <v>330</v>
      </c>
      <c r="D27" s="10">
        <f>'Plant loading'!H48</f>
        <v>30</v>
      </c>
      <c r="E27" s="5">
        <f t="shared" si="15"/>
        <v>11</v>
      </c>
      <c r="F27" s="5">
        <f t="shared" si="5"/>
        <v>599.5</v>
      </c>
      <c r="G27" s="16">
        <f t="shared" si="0"/>
        <v>88.516235330546522</v>
      </c>
      <c r="H27">
        <f t="shared" si="17"/>
        <v>20.05035507580121</v>
      </c>
      <c r="I27" s="76">
        <f t="shared" si="6"/>
        <v>19.423800000000004</v>
      </c>
      <c r="J27" s="76">
        <f t="shared" si="7"/>
        <v>0.62655507580120684</v>
      </c>
      <c r="K27" s="511">
        <f t="shared" si="2"/>
        <v>708.58116010479762</v>
      </c>
      <c r="L27" s="73">
        <f t="shared" si="8"/>
        <v>93</v>
      </c>
      <c r="M27" s="74">
        <f t="shared" si="9"/>
        <v>19.243949999999998</v>
      </c>
      <c r="N27" s="74">
        <f t="shared" si="10"/>
        <v>0.80640507580121223</v>
      </c>
      <c r="O27" s="512">
        <f t="shared" si="3"/>
        <v>911.97640270480372</v>
      </c>
      <c r="P27" s="71">
        <f t="shared" si="11"/>
        <v>18.524549999999998</v>
      </c>
      <c r="Q27" s="71">
        <f t="shared" si="12"/>
        <v>1.5258050758012125</v>
      </c>
      <c r="R27" s="513">
        <f t="shared" si="4"/>
        <v>1725.5573731048039</v>
      </c>
      <c r="U27" s="13" t="s">
        <v>1507</v>
      </c>
    </row>
    <row r="28" spans="1:24">
      <c r="A28" s="5" t="e">
        <f>'Plant loading'!#REF!</f>
        <v>#REF!</v>
      </c>
      <c r="B28" s="5" t="e">
        <f>'Plant loading'!#REF!</f>
        <v>#REF!</v>
      </c>
      <c r="C28" s="5" t="e">
        <f>'Plant loading'!#REF!</f>
        <v>#REF!</v>
      </c>
      <c r="D28" s="10" t="e">
        <f>'Plant loading'!#REF!</f>
        <v>#REF!</v>
      </c>
      <c r="E28" s="5" t="e">
        <f t="shared" si="15"/>
        <v>#REF!</v>
      </c>
      <c r="F28" s="5" t="e">
        <f t="shared" si="5"/>
        <v>#REF!</v>
      </c>
      <c r="G28" s="16" t="e">
        <f t="shared" si="0"/>
        <v>#REF!</v>
      </c>
      <c r="H28" t="e">
        <f t="shared" si="17"/>
        <v>#REF!</v>
      </c>
      <c r="I28" s="76" t="e">
        <f t="shared" si="6"/>
        <v>#REF!</v>
      </c>
      <c r="J28" s="76" t="e">
        <f t="shared" si="7"/>
        <v>#REF!</v>
      </c>
      <c r="K28" s="511" t="e">
        <f t="shared" si="2"/>
        <v>#REF!</v>
      </c>
      <c r="L28" s="73" t="e">
        <f t="shared" si="8"/>
        <v>#REF!</v>
      </c>
      <c r="M28" s="74" t="e">
        <f t="shared" si="9"/>
        <v>#REF!</v>
      </c>
      <c r="N28" s="74" t="e">
        <f t="shared" si="10"/>
        <v>#REF!</v>
      </c>
      <c r="O28" s="512" t="e">
        <f t="shared" si="3"/>
        <v>#REF!</v>
      </c>
      <c r="P28" s="71" t="e">
        <f t="shared" si="11"/>
        <v>#REF!</v>
      </c>
      <c r="Q28" s="71" t="e">
        <f t="shared" si="12"/>
        <v>#REF!</v>
      </c>
      <c r="R28" s="513" t="e">
        <f t="shared" si="4"/>
        <v>#REF!</v>
      </c>
      <c r="U28" s="338" t="s">
        <v>1490</v>
      </c>
      <c r="V28" s="338" t="s">
        <v>1508</v>
      </c>
      <c r="W28" s="338" t="s">
        <v>1509</v>
      </c>
      <c r="X28" s="338" t="s">
        <v>1510</v>
      </c>
    </row>
    <row r="29" spans="1:24">
      <c r="A29" s="5" t="e">
        <f>'Plant loading'!#REF!</f>
        <v>#REF!</v>
      </c>
      <c r="B29" s="5" t="e">
        <f>'Plant loading'!#REF!</f>
        <v>#REF!</v>
      </c>
      <c r="C29" s="5" t="e">
        <f>'Plant loading'!#REF!</f>
        <v>#REF!</v>
      </c>
      <c r="D29" s="10" t="e">
        <f>'Plant loading'!#REF!</f>
        <v>#REF!</v>
      </c>
      <c r="E29" s="5" t="e">
        <f t="shared" si="15"/>
        <v>#REF!</v>
      </c>
      <c r="F29" s="5" t="e">
        <f t="shared" si="5"/>
        <v>#REF!</v>
      </c>
      <c r="G29" s="16" t="e">
        <f t="shared" si="0"/>
        <v>#REF!</v>
      </c>
      <c r="H29" t="e">
        <f t="shared" si="17"/>
        <v>#REF!</v>
      </c>
      <c r="I29" s="76" t="e">
        <f t="shared" si="6"/>
        <v>#REF!</v>
      </c>
      <c r="J29" s="76" t="e">
        <f t="shared" si="7"/>
        <v>#REF!</v>
      </c>
      <c r="K29" s="511" t="e">
        <f t="shared" si="2"/>
        <v>#REF!</v>
      </c>
      <c r="L29" s="73" t="e">
        <f t="shared" si="8"/>
        <v>#REF!</v>
      </c>
      <c r="M29" s="74" t="e">
        <f t="shared" si="9"/>
        <v>#REF!</v>
      </c>
      <c r="N29" s="74" t="e">
        <f t="shared" si="10"/>
        <v>#REF!</v>
      </c>
      <c r="O29" s="512" t="e">
        <f t="shared" si="3"/>
        <v>#REF!</v>
      </c>
      <c r="P29" s="71" t="e">
        <f t="shared" si="11"/>
        <v>#REF!</v>
      </c>
      <c r="Q29" s="71" t="e">
        <f t="shared" si="12"/>
        <v>#REF!</v>
      </c>
      <c r="R29" s="513" t="e">
        <f t="shared" si="4"/>
        <v>#REF!</v>
      </c>
      <c r="U29" s="13" t="e">
        <f>SUM(H2:H56)</f>
        <v>#REF!</v>
      </c>
      <c r="V29" s="13" t="e">
        <f>SUM(I2:I56)</f>
        <v>#REF!</v>
      </c>
      <c r="W29" s="13" t="e">
        <f>SUM(J2:J56)</f>
        <v>#REF!</v>
      </c>
      <c r="X29" s="66" t="e">
        <f>SUM(K2:K56)</f>
        <v>#REF!</v>
      </c>
    </row>
    <row r="30" spans="1:24">
      <c r="A30" s="5" t="str">
        <f>'Plant loading'!A49</f>
        <v>Kings Cross</v>
      </c>
      <c r="B30" s="5" t="str">
        <f>'Plant loading'!B49</f>
        <v>PEEKS</v>
      </c>
      <c r="C30" s="5">
        <f>'Plant loading'!E49</f>
        <v>100</v>
      </c>
      <c r="D30" s="10">
        <f>'Plant loading'!H49</f>
        <v>12</v>
      </c>
      <c r="E30" s="5">
        <f t="shared" si="15"/>
        <v>8.3333333333333339</v>
      </c>
      <c r="F30" s="5">
        <f t="shared" si="5"/>
        <v>454.16666666666669</v>
      </c>
      <c r="G30" s="16">
        <f t="shared" si="0"/>
        <v>82.073224256292889</v>
      </c>
      <c r="H30">
        <f t="shared" si="17"/>
        <v>6.4270092780320374</v>
      </c>
      <c r="I30" s="76">
        <f t="shared" si="6"/>
        <v>5.8860000000000001</v>
      </c>
      <c r="J30" s="76">
        <f t="shared" si="7"/>
        <v>0.54100927803203724</v>
      </c>
      <c r="K30" s="511">
        <f t="shared" si="2"/>
        <v>611.83604867487941</v>
      </c>
      <c r="L30" s="73">
        <f t="shared" si="8"/>
        <v>91</v>
      </c>
      <c r="M30" s="74">
        <f t="shared" si="9"/>
        <v>5.9404999999999992</v>
      </c>
      <c r="N30" s="74">
        <f t="shared" si="10"/>
        <v>0.48650927803203814</v>
      </c>
      <c r="O30" s="512">
        <f t="shared" si="3"/>
        <v>550.20112667488036</v>
      </c>
      <c r="P30" s="71">
        <f t="shared" si="11"/>
        <v>5.6135000000000002</v>
      </c>
      <c r="Q30" s="71">
        <f t="shared" si="12"/>
        <v>0.81350927803203721</v>
      </c>
      <c r="R30" s="513">
        <f t="shared" si="4"/>
        <v>920.01065867487932</v>
      </c>
    </row>
    <row r="31" spans="1:24">
      <c r="A31" s="5" t="str">
        <f>'Plant loading'!A50</f>
        <v>Kings Cross</v>
      </c>
      <c r="B31" s="5" t="str">
        <f>'Plant loading'!B50</f>
        <v>PEIKS</v>
      </c>
      <c r="C31" s="5">
        <f>'Plant loading'!E50</f>
        <v>505</v>
      </c>
      <c r="D31" s="10">
        <f>'Plant loading'!H50</f>
        <v>36</v>
      </c>
      <c r="E31" s="5">
        <f t="shared" si="15"/>
        <v>14.027777777777779</v>
      </c>
      <c r="F31" s="5">
        <f t="shared" si="5"/>
        <v>764.51388888888891</v>
      </c>
      <c r="G31" s="16">
        <f t="shared" si="0"/>
        <v>88.516235330546522</v>
      </c>
      <c r="H31">
        <f t="shared" si="17"/>
        <v>30.683119131150335</v>
      </c>
      <c r="I31" s="76">
        <f t="shared" si="6"/>
        <v>29.724300000000003</v>
      </c>
      <c r="J31" s="76">
        <f t="shared" si="7"/>
        <v>0.95881913115033157</v>
      </c>
      <c r="K31" s="511">
        <f t="shared" si="2"/>
        <v>1084.3438965240082</v>
      </c>
      <c r="L31" s="73">
        <f t="shared" si="8"/>
        <v>95</v>
      </c>
      <c r="M31" s="74">
        <f t="shared" si="9"/>
        <v>28.898624999999999</v>
      </c>
      <c r="N31" s="74">
        <f t="shared" si="10"/>
        <v>1.7844941311503355</v>
      </c>
      <c r="O31" s="512">
        <f t="shared" si="3"/>
        <v>2018.1129648240128</v>
      </c>
      <c r="P31" s="71">
        <f t="shared" si="11"/>
        <v>28.348174999999998</v>
      </c>
      <c r="Q31" s="71">
        <f t="shared" si="12"/>
        <v>2.3349441311503369</v>
      </c>
      <c r="R31" s="513">
        <f t="shared" si="4"/>
        <v>2640.6256770240143</v>
      </c>
      <c r="U31" s="13" t="s">
        <v>1511</v>
      </c>
    </row>
    <row r="32" spans="1:24">
      <c r="A32" s="5" t="str">
        <f>'Plant loading'!A51</f>
        <v>Kings Cross</v>
      </c>
      <c r="B32" s="5" t="str">
        <f>'Plant loading'!B51</f>
        <v>PEJKS</v>
      </c>
      <c r="C32" s="5">
        <f>'Plant loading'!E51</f>
        <v>251</v>
      </c>
      <c r="D32" s="10">
        <f>'Plant loading'!H51</f>
        <v>36</v>
      </c>
      <c r="E32" s="5">
        <f t="shared" si="15"/>
        <v>6.9722222222222223</v>
      </c>
      <c r="F32" s="5">
        <f t="shared" si="5"/>
        <v>379.98611111111114</v>
      </c>
      <c r="G32" s="16">
        <f t="shared" si="0"/>
        <v>82.073224256292889</v>
      </c>
      <c r="H32">
        <f t="shared" si="17"/>
        <v>16.131793287860415</v>
      </c>
      <c r="I32" s="76">
        <f t="shared" si="6"/>
        <v>14.773860000000001</v>
      </c>
      <c r="J32" s="76">
        <f t="shared" si="7"/>
        <v>1.3579332878604138</v>
      </c>
      <c r="K32" s="511">
        <f t="shared" si="2"/>
        <v>1535.7084821739477</v>
      </c>
      <c r="L32" s="73">
        <f t="shared" si="8"/>
        <v>91</v>
      </c>
      <c r="M32" s="74">
        <f t="shared" si="9"/>
        <v>14.910654999999998</v>
      </c>
      <c r="N32" s="74">
        <f t="shared" si="10"/>
        <v>1.2211382878604162</v>
      </c>
      <c r="O32" s="512">
        <f t="shared" si="3"/>
        <v>1381.0048279539503</v>
      </c>
      <c r="P32" s="71">
        <f t="shared" si="11"/>
        <v>14.089885000000001</v>
      </c>
      <c r="Q32" s="71">
        <f t="shared" si="12"/>
        <v>2.041908287860414</v>
      </c>
      <c r="R32" s="513">
        <f t="shared" si="4"/>
        <v>2309.2267532739479</v>
      </c>
      <c r="U32" s="338" t="s">
        <v>1490</v>
      </c>
      <c r="V32" s="338" t="s">
        <v>1508</v>
      </c>
      <c r="W32" s="338" t="s">
        <v>1509</v>
      </c>
      <c r="X32" s="338" t="s">
        <v>1510</v>
      </c>
    </row>
    <row r="33" spans="1:28">
      <c r="A33" s="5" t="str">
        <f>'Plant loading'!A52</f>
        <v>Kings Cross</v>
      </c>
      <c r="B33" s="5" t="str">
        <f>'Plant loading'!B52</f>
        <v>PEKKS</v>
      </c>
      <c r="C33" s="5">
        <f>'Plant loading'!E52</f>
        <v>429</v>
      </c>
      <c r="D33" s="10">
        <f>'Plant loading'!H52</f>
        <v>30</v>
      </c>
      <c r="E33" s="5">
        <f t="shared" si="15"/>
        <v>14.3</v>
      </c>
      <c r="F33" s="5">
        <f t="shared" si="5"/>
        <v>779.35</v>
      </c>
      <c r="G33" s="16">
        <f t="shared" si="0"/>
        <v>88.516235330546522</v>
      </c>
      <c r="H33">
        <f t="shared" si="17"/>
        <v>26.065461598541575</v>
      </c>
      <c r="I33" s="76">
        <f t="shared" si="6"/>
        <v>25.250940000000003</v>
      </c>
      <c r="J33" s="76">
        <f t="shared" si="7"/>
        <v>0.81452159854157102</v>
      </c>
      <c r="K33" s="511">
        <f t="shared" si="2"/>
        <v>921.15550813623929</v>
      </c>
      <c r="L33" s="73">
        <f t="shared" si="8"/>
        <v>95</v>
      </c>
      <c r="M33" s="74">
        <f t="shared" si="9"/>
        <v>24.549525000000003</v>
      </c>
      <c r="N33" s="74">
        <f t="shared" si="10"/>
        <v>1.5159365985415718</v>
      </c>
      <c r="O33" s="512">
        <f t="shared" si="3"/>
        <v>1714.39695427624</v>
      </c>
      <c r="P33" s="71">
        <f t="shared" si="11"/>
        <v>24.081915000000002</v>
      </c>
      <c r="Q33" s="71">
        <f t="shared" si="12"/>
        <v>1.9835465985415723</v>
      </c>
      <c r="R33" s="513">
        <f t="shared" si="4"/>
        <v>2243.2245850362406</v>
      </c>
      <c r="U33" s="13"/>
      <c r="V33" s="13"/>
      <c r="W33" s="13" t="e">
        <f>SUM(Q2:Q56)</f>
        <v>#REF!</v>
      </c>
      <c r="X33" s="66" t="e">
        <f>SUM(R2:R56)</f>
        <v>#REF!</v>
      </c>
    </row>
    <row r="34" spans="1:28">
      <c r="A34" s="5" t="str">
        <f>'Plant loading'!A53</f>
        <v>Kings Cross</v>
      </c>
      <c r="B34" s="5" t="str">
        <f>'Plant loading'!B53</f>
        <v>PELKS</v>
      </c>
      <c r="C34" s="5">
        <f>'Plant loading'!E53</f>
        <v>154</v>
      </c>
      <c r="D34" s="10">
        <f>'Plant loading'!H53</f>
        <v>24</v>
      </c>
      <c r="E34" s="5">
        <f t="shared" si="15"/>
        <v>6.416666666666667</v>
      </c>
      <c r="F34" s="5">
        <f t="shared" si="5"/>
        <v>349.70833333333337</v>
      </c>
      <c r="G34" s="16">
        <f t="shared" ref="G34:G65" si="18">CHOOSE(MATCH(F34,W$3:W$14,1),X$3,X$4,X$5,X$6,X$7,X$8,X$9,X$10,X$11,X$12,X$13,X$14)</f>
        <v>82.073224256292889</v>
      </c>
      <c r="H34">
        <f t="shared" si="17"/>
        <v>9.8975942881693371</v>
      </c>
      <c r="I34" s="76">
        <f t="shared" si="6"/>
        <v>9.0644400000000012</v>
      </c>
      <c r="J34" s="76">
        <f t="shared" si="7"/>
        <v>0.8331542881693359</v>
      </c>
      <c r="K34" s="511">
        <f t="shared" ref="K34:K65" si="19">(J34*24*365)*$V$18</f>
        <v>942.22751495931266</v>
      </c>
      <c r="L34" s="73">
        <f t="shared" si="8"/>
        <v>91</v>
      </c>
      <c r="M34" s="74">
        <f t="shared" si="9"/>
        <v>9.1483699999999981</v>
      </c>
      <c r="N34" s="74">
        <f t="shared" si="10"/>
        <v>0.74922428816933895</v>
      </c>
      <c r="O34" s="512">
        <f t="shared" ref="O34:O56" si="20">(N34*24*365)*$V$18</f>
        <v>847.30973507931617</v>
      </c>
      <c r="P34" s="71">
        <f t="shared" si="11"/>
        <v>8.6447900000000004</v>
      </c>
      <c r="Q34" s="71">
        <f t="shared" si="12"/>
        <v>1.2528042881693366</v>
      </c>
      <c r="R34" s="513">
        <f t="shared" ref="R34:R65" si="21">(Q34*24*365)*$V$18</f>
        <v>1416.8164143593135</v>
      </c>
    </row>
    <row r="35" spans="1:28">
      <c r="A35" s="5" t="str">
        <f>'Plant loading'!A54</f>
        <v>Kings Cross</v>
      </c>
      <c r="B35" s="5" t="str">
        <f>'Plant loading'!B54</f>
        <v>PEMKS</v>
      </c>
      <c r="C35" s="5">
        <f>'Plant loading'!E54</f>
        <v>139</v>
      </c>
      <c r="D35" s="10">
        <f>'Plant loading'!H54</f>
        <v>24</v>
      </c>
      <c r="E35" s="5">
        <f t="shared" si="15"/>
        <v>5.791666666666667</v>
      </c>
      <c r="F35" s="5">
        <f t="shared" si="5"/>
        <v>315.64583333333337</v>
      </c>
      <c r="G35" s="16">
        <f t="shared" si="18"/>
        <v>82.073224256292889</v>
      </c>
      <c r="H35">
        <f t="shared" si="17"/>
        <v>8.933542896464532</v>
      </c>
      <c r="I35" s="76">
        <f t="shared" si="6"/>
        <v>8.18154</v>
      </c>
      <c r="J35" s="76">
        <f t="shared" si="7"/>
        <v>0.752002896464532</v>
      </c>
      <c r="K35" s="511">
        <f t="shared" si="19"/>
        <v>850.45210765808258</v>
      </c>
      <c r="L35" s="73" t="e">
        <f t="shared" si="8"/>
        <v>#N/A</v>
      </c>
      <c r="M35" s="74" t="e">
        <f t="shared" si="9"/>
        <v>#N/A</v>
      </c>
      <c r="N35" s="74" t="e">
        <f t="shared" si="10"/>
        <v>#N/A</v>
      </c>
      <c r="O35" s="512" t="e">
        <f t="shared" si="20"/>
        <v>#N/A</v>
      </c>
      <c r="P35" s="71">
        <f t="shared" si="11"/>
        <v>7.802765</v>
      </c>
      <c r="Q35" s="71">
        <f t="shared" si="12"/>
        <v>1.1307778964645321</v>
      </c>
      <c r="R35" s="513">
        <f t="shared" si="21"/>
        <v>1278.8148155580827</v>
      </c>
      <c r="U35" s="13" t="s">
        <v>1512</v>
      </c>
    </row>
    <row r="36" spans="1:28">
      <c r="A36" s="61" t="str">
        <f>'Plant loading'!A55</f>
        <v>Kings Cross</v>
      </c>
      <c r="B36" s="61" t="str">
        <f>'Plant loading'!B55</f>
        <v>PENKS</v>
      </c>
      <c r="C36" s="61">
        <f>'Plant loading'!E55</f>
        <v>103</v>
      </c>
      <c r="D36" s="62">
        <f>'Plant loading'!H55</f>
        <v>12</v>
      </c>
      <c r="E36" s="61">
        <f t="shared" si="15"/>
        <v>8.5833333333333339</v>
      </c>
      <c r="F36" s="61">
        <f t="shared" si="5"/>
        <v>467.79166666666669</v>
      </c>
      <c r="G36" s="63">
        <f t="shared" si="18"/>
        <v>82.073224256292889</v>
      </c>
      <c r="H36" s="64">
        <v>0</v>
      </c>
      <c r="I36" s="76">
        <v>0</v>
      </c>
      <c r="J36" s="76">
        <f t="shared" si="7"/>
        <v>0</v>
      </c>
      <c r="K36" s="511">
        <f t="shared" si="19"/>
        <v>0</v>
      </c>
      <c r="L36" s="73">
        <f t="shared" si="8"/>
        <v>91</v>
      </c>
      <c r="M36" s="74">
        <v>0</v>
      </c>
      <c r="N36" s="74">
        <f t="shared" si="10"/>
        <v>0</v>
      </c>
      <c r="O36" s="512">
        <f t="shared" si="20"/>
        <v>0</v>
      </c>
      <c r="P36" s="71">
        <v>0</v>
      </c>
      <c r="Q36" s="71">
        <f t="shared" si="12"/>
        <v>0</v>
      </c>
      <c r="R36" s="513">
        <f t="shared" si="21"/>
        <v>0</v>
      </c>
      <c r="U36" s="338" t="s">
        <v>1490</v>
      </c>
      <c r="V36" s="338"/>
      <c r="W36" s="338" t="s">
        <v>1509</v>
      </c>
      <c r="X36" s="338" t="s">
        <v>1510</v>
      </c>
    </row>
    <row r="37" spans="1:28">
      <c r="A37" s="5" t="str">
        <f>'Plant loading'!A72</f>
        <v>Oldham</v>
      </c>
      <c r="B37" s="5" t="str">
        <f>'Plant loading'!B72</f>
        <v>OLDMTX-DCSYS01</v>
      </c>
      <c r="C37" s="5">
        <f>'Plant loading'!E72</f>
        <v>865</v>
      </c>
      <c r="D37" s="10">
        <f>'Plant loading'!H72</f>
        <v>44</v>
      </c>
      <c r="E37" s="5">
        <f t="shared" si="15"/>
        <v>19.65909090909091</v>
      </c>
      <c r="F37" s="5">
        <f t="shared" si="5"/>
        <v>1071.4204545454545</v>
      </c>
      <c r="G37" s="16">
        <f t="shared" si="18"/>
        <v>90.745146605757995</v>
      </c>
      <c r="H37">
        <f t="shared" ref="H37:H67" si="22">((($D37*$E37)*54.5)*(1+(1-(G37/100)))/1000)</f>
        <v>51.505469261380533</v>
      </c>
      <c r="I37" s="76">
        <f t="shared" si="6"/>
        <v>50.913899999999998</v>
      </c>
      <c r="J37" s="76">
        <f t="shared" si="7"/>
        <v>0.59156926138053478</v>
      </c>
      <c r="K37" s="511">
        <f t="shared" si="19"/>
        <v>669.01514280342883</v>
      </c>
      <c r="L37" s="73">
        <f t="shared" si="8"/>
        <v>96</v>
      </c>
      <c r="M37" s="74">
        <f t="shared" si="9"/>
        <v>49.028200000000005</v>
      </c>
      <c r="N37" s="74">
        <f t="shared" si="10"/>
        <v>2.4772692613805276</v>
      </c>
      <c r="O37" s="512">
        <f t="shared" si="20"/>
        <v>2801.5834440034205</v>
      </c>
      <c r="P37" s="71">
        <f t="shared" si="11"/>
        <v>48.556775000000002</v>
      </c>
      <c r="Q37" s="71">
        <f t="shared" si="12"/>
        <v>2.9486942613805311</v>
      </c>
      <c r="R37" s="513">
        <f t="shared" si="21"/>
        <v>3334.7255193034248</v>
      </c>
      <c r="U37" s="13" t="e">
        <f>SUM(M2:M56)</f>
        <v>#REF!</v>
      </c>
      <c r="V37" s="13"/>
      <c r="W37" s="13" t="e">
        <f>SUM(N2:N56)</f>
        <v>#REF!</v>
      </c>
      <c r="X37" s="66" t="e">
        <f>SUM(O2:O56)</f>
        <v>#REF!</v>
      </c>
    </row>
    <row r="38" spans="1:28">
      <c r="A38" s="5" t="str">
        <f>'Plant loading'!A73</f>
        <v>Oldham</v>
      </c>
      <c r="B38" s="5" t="str">
        <f>'Plant loading'!B73</f>
        <v>OLDMTX-DCSYS02</v>
      </c>
      <c r="C38" s="5">
        <f>'Plant loading'!E73</f>
        <v>726</v>
      </c>
      <c r="D38" s="10">
        <f>'Plant loading'!H73</f>
        <v>44</v>
      </c>
      <c r="E38" s="5">
        <f t="shared" si="15"/>
        <v>16.5</v>
      </c>
      <c r="F38" s="5">
        <f t="shared" si="5"/>
        <v>899.25</v>
      </c>
      <c r="G38" s="16">
        <f t="shared" si="18"/>
        <v>90.745146605757995</v>
      </c>
      <c r="H38">
        <f t="shared" si="22"/>
        <v>43.228867842499724</v>
      </c>
      <c r="I38" s="76">
        <f t="shared" si="6"/>
        <v>42.73236</v>
      </c>
      <c r="J38" s="76">
        <f t="shared" si="7"/>
        <v>0.49650784249972446</v>
      </c>
      <c r="K38" s="511">
        <f t="shared" si="19"/>
        <v>561.5086632084184</v>
      </c>
      <c r="L38" s="73">
        <f t="shared" si="8"/>
        <v>95.5</v>
      </c>
      <c r="M38" s="74">
        <f t="shared" si="9"/>
        <v>41.347515000000001</v>
      </c>
      <c r="N38" s="74">
        <f t="shared" si="10"/>
        <v>1.881352842499723</v>
      </c>
      <c r="O38" s="512">
        <f t="shared" si="20"/>
        <v>2127.6520312284165</v>
      </c>
      <c r="P38" s="71">
        <f t="shared" si="11"/>
        <v>40.754010000000001</v>
      </c>
      <c r="Q38" s="71">
        <f t="shared" si="12"/>
        <v>2.4748578424997234</v>
      </c>
      <c r="R38" s="513">
        <f t="shared" si="21"/>
        <v>2798.8563318084171</v>
      </c>
    </row>
    <row r="39" spans="1:28">
      <c r="A39" s="5" t="str">
        <f>'Plant loading'!A74</f>
        <v>Oldham</v>
      </c>
      <c r="B39" s="5" t="str">
        <f>'Plant loading'!B74</f>
        <v>OLDMTX-DCSYS03</v>
      </c>
      <c r="C39" s="5">
        <f>'Plant loading'!E74</f>
        <v>789</v>
      </c>
      <c r="D39" s="10">
        <f>'Plant loading'!H74</f>
        <v>44</v>
      </c>
      <c r="E39" s="5">
        <f t="shared" si="15"/>
        <v>17.931818181818183</v>
      </c>
      <c r="F39" s="5">
        <f t="shared" si="5"/>
        <v>977.28409090909099</v>
      </c>
      <c r="G39" s="16">
        <f t="shared" si="18"/>
        <v>90.745146605757995</v>
      </c>
      <c r="H39">
        <f t="shared" si="22"/>
        <v>46.980133233791037</v>
      </c>
      <c r="I39" s="76">
        <f t="shared" si="6"/>
        <v>46.440540000000006</v>
      </c>
      <c r="J39" s="76">
        <f t="shared" si="7"/>
        <v>0.53959323379103097</v>
      </c>
      <c r="K39" s="511">
        <f t="shared" si="19"/>
        <v>610.23462158601762</v>
      </c>
      <c r="L39" s="73">
        <f t="shared" si="8"/>
        <v>95.5</v>
      </c>
      <c r="M39" s="74">
        <f t="shared" si="9"/>
        <v>44.935522500000005</v>
      </c>
      <c r="N39" s="74">
        <f t="shared" si="10"/>
        <v>2.044610733791032</v>
      </c>
      <c r="O39" s="512">
        <f t="shared" si="20"/>
        <v>2312.2829926160184</v>
      </c>
      <c r="P39" s="71">
        <f t="shared" si="11"/>
        <v>44.290515000000006</v>
      </c>
      <c r="Q39" s="71">
        <f t="shared" si="12"/>
        <v>2.6896182337910304</v>
      </c>
      <c r="R39" s="513">
        <f t="shared" si="21"/>
        <v>3041.7322944860166</v>
      </c>
    </row>
    <row r="40" spans="1:28">
      <c r="A40" s="5" t="str">
        <f>'Plant loading'!A75</f>
        <v>Oldham</v>
      </c>
      <c r="B40" s="5" t="str">
        <f>'Plant loading'!B75</f>
        <v>OLDMTX-DCSYS04</v>
      </c>
      <c r="C40" s="5">
        <f>'Plant loading'!E75</f>
        <v>597</v>
      </c>
      <c r="D40" s="10">
        <f>'Plant loading'!H75</f>
        <v>34</v>
      </c>
      <c r="E40" s="5">
        <f t="shared" si="15"/>
        <v>17.558823529411764</v>
      </c>
      <c r="F40" s="5">
        <f t="shared" si="5"/>
        <v>956.95588235294122</v>
      </c>
      <c r="G40" s="16">
        <f t="shared" si="18"/>
        <v>90.745146605757995</v>
      </c>
      <c r="H40">
        <f t="shared" si="22"/>
        <v>35.547705374617543</v>
      </c>
      <c r="I40" s="76">
        <f t="shared" si="6"/>
        <v>35.139420000000008</v>
      </c>
      <c r="J40" s="76">
        <f t="shared" si="7"/>
        <v>0.40828537461753456</v>
      </c>
      <c r="K40" s="511">
        <f t="shared" si="19"/>
        <v>461.73646272096369</v>
      </c>
      <c r="L40" s="73">
        <f t="shared" si="8"/>
        <v>95.5</v>
      </c>
      <c r="M40" s="74">
        <f t="shared" si="9"/>
        <v>34.000642499999998</v>
      </c>
      <c r="N40" s="74">
        <f t="shared" si="10"/>
        <v>1.547062874617545</v>
      </c>
      <c r="O40" s="512">
        <f t="shared" si="20"/>
        <v>1749.5981579109755</v>
      </c>
      <c r="P40" s="71">
        <f t="shared" si="11"/>
        <v>33.512595000000005</v>
      </c>
      <c r="Q40" s="71">
        <f t="shared" si="12"/>
        <v>2.0351103746175383</v>
      </c>
      <c r="R40" s="513">
        <f t="shared" si="21"/>
        <v>2301.5388844209679</v>
      </c>
    </row>
    <row r="41" spans="1:28">
      <c r="A41" s="5" t="str">
        <f>'Plant loading'!A76</f>
        <v>Oldham</v>
      </c>
      <c r="B41" s="5" t="str">
        <f>'Plant loading'!B76</f>
        <v>OLDMTX-DCSYS05</v>
      </c>
      <c r="C41" s="5">
        <f>'Plant loading'!E76</f>
        <v>540</v>
      </c>
      <c r="D41" s="10">
        <f>'Plant loading'!H76</f>
        <v>44</v>
      </c>
      <c r="E41" s="5">
        <f t="shared" si="15"/>
        <v>12.272727272727273</v>
      </c>
      <c r="F41" s="5">
        <f t="shared" ref="F41:F86" si="23">E41*54.5</f>
        <v>668.86363636363637</v>
      </c>
      <c r="G41" s="16">
        <f t="shared" si="18"/>
        <v>88.516235330546522</v>
      </c>
      <c r="H41">
        <f t="shared" si="22"/>
        <v>32.809671942220163</v>
      </c>
      <c r="I41" s="76">
        <f t="shared" ref="I41:I86" si="24">((($D41*$E41)*54.5)*(1+(1-0.92))/1000)</f>
        <v>31.784400000000002</v>
      </c>
      <c r="J41" s="76">
        <f t="shared" ref="J41:J86" si="25">H41-I41</f>
        <v>1.0252719422201615</v>
      </c>
      <c r="K41" s="511">
        <f t="shared" si="19"/>
        <v>1159.4964438078559</v>
      </c>
      <c r="L41" s="73">
        <f t="shared" si="8"/>
        <v>93</v>
      </c>
      <c r="M41" s="74">
        <f t="shared" si="9"/>
        <v>31.490099999999995</v>
      </c>
      <c r="N41" s="74">
        <f t="shared" si="10"/>
        <v>1.3195719422201684</v>
      </c>
      <c r="O41" s="512">
        <f t="shared" si="20"/>
        <v>1492.325022607864</v>
      </c>
      <c r="P41" s="71">
        <f t="shared" si="11"/>
        <v>30.312900000000003</v>
      </c>
      <c r="Q41" s="71">
        <f t="shared" si="12"/>
        <v>2.4967719422201604</v>
      </c>
      <c r="R41" s="513">
        <f t="shared" si="21"/>
        <v>2823.6393378078551</v>
      </c>
    </row>
    <row r="42" spans="1:28" ht="40.9">
      <c r="A42" s="5" t="str">
        <f>'Plant loading'!A77</f>
        <v>Oldham</v>
      </c>
      <c r="B42" s="5" t="str">
        <f>'Plant loading'!B77</f>
        <v>OLDMTX-DCSYS06</v>
      </c>
      <c r="C42" s="5">
        <f>'Plant loading'!E77</f>
        <v>629</v>
      </c>
      <c r="D42" s="10">
        <f>'Plant loading'!H77</f>
        <v>44</v>
      </c>
      <c r="E42" s="5">
        <f t="shared" si="15"/>
        <v>14.295454545454545</v>
      </c>
      <c r="F42" s="5">
        <f t="shared" si="23"/>
        <v>779.10227272727275</v>
      </c>
      <c r="G42" s="16">
        <f t="shared" si="18"/>
        <v>88.516235330546522</v>
      </c>
      <c r="H42">
        <f t="shared" si="22"/>
        <v>38.217191947511999</v>
      </c>
      <c r="I42" s="76">
        <f t="shared" si="24"/>
        <v>37.022940000000006</v>
      </c>
      <c r="J42" s="76">
        <f t="shared" si="25"/>
        <v>1.1942519475119937</v>
      </c>
      <c r="K42" s="511">
        <f t="shared" si="19"/>
        <v>1350.5986354724739</v>
      </c>
      <c r="L42" s="73">
        <f t="shared" si="8"/>
        <v>95</v>
      </c>
      <c r="M42" s="74">
        <f t="shared" si="9"/>
        <v>35.994525000000003</v>
      </c>
      <c r="N42" s="74">
        <f t="shared" si="10"/>
        <v>2.2226669475119962</v>
      </c>
      <c r="O42" s="512">
        <f t="shared" si="20"/>
        <v>2513.649613612477</v>
      </c>
      <c r="P42" s="71">
        <f t="shared" si="11"/>
        <v>35.308914999999999</v>
      </c>
      <c r="Q42" s="71">
        <f t="shared" si="12"/>
        <v>2.9082769475120003</v>
      </c>
      <c r="R42" s="513">
        <f t="shared" si="21"/>
        <v>3289.0169323724813</v>
      </c>
      <c r="U42" s="317" t="s">
        <v>512</v>
      </c>
      <c r="V42" s="87" t="s">
        <v>583</v>
      </c>
      <c r="W42" s="83" t="s">
        <v>1513</v>
      </c>
      <c r="X42" s="83" t="s">
        <v>1493</v>
      </c>
      <c r="Y42" s="84" t="s">
        <v>1513</v>
      </c>
      <c r="Z42" s="84" t="s">
        <v>1497</v>
      </c>
      <c r="AA42" s="85" t="s">
        <v>1513</v>
      </c>
      <c r="AB42" s="85" t="s">
        <v>1500</v>
      </c>
    </row>
    <row r="43" spans="1:28">
      <c r="A43" s="5" t="str">
        <f>'Plant loading'!A80</f>
        <v>Rotherham</v>
      </c>
      <c r="B43" s="5" t="str">
        <f>'Plant loading'!B80</f>
        <v>PEARM</v>
      </c>
      <c r="C43" s="5">
        <f>'Plant loading'!E80</f>
        <v>422</v>
      </c>
      <c r="D43" s="10">
        <f>'Plant loading'!H80</f>
        <v>36</v>
      </c>
      <c r="E43" s="5">
        <f t="shared" si="15"/>
        <v>11.722222222222221</v>
      </c>
      <c r="F43" s="5">
        <f t="shared" si="23"/>
        <v>638.86111111111109</v>
      </c>
      <c r="G43" s="16">
        <f t="shared" si="18"/>
        <v>88.516235330546522</v>
      </c>
      <c r="H43">
        <f t="shared" si="22"/>
        <v>25.640151036327605</v>
      </c>
      <c r="I43" s="76">
        <f t="shared" si="24"/>
        <v>24.838920000000002</v>
      </c>
      <c r="J43" s="76">
        <f t="shared" si="25"/>
        <v>0.80123103632760362</v>
      </c>
      <c r="K43" s="511">
        <f t="shared" si="19"/>
        <v>906.12499867946815</v>
      </c>
      <c r="L43" s="73">
        <f t="shared" si="8"/>
        <v>93</v>
      </c>
      <c r="M43" s="74">
        <f t="shared" si="9"/>
        <v>24.608929999999997</v>
      </c>
      <c r="N43" s="74">
        <f t="shared" si="10"/>
        <v>1.031221036327608</v>
      </c>
      <c r="O43" s="512">
        <f t="shared" si="20"/>
        <v>1166.2243695194732</v>
      </c>
      <c r="P43" s="71">
        <f t="shared" si="11"/>
        <v>23.688970000000001</v>
      </c>
      <c r="Q43" s="71">
        <f t="shared" si="12"/>
        <v>1.9511810363276041</v>
      </c>
      <c r="R43" s="513">
        <f t="shared" si="21"/>
        <v>2206.6218528794684</v>
      </c>
      <c r="U43" s="47" t="s">
        <v>36</v>
      </c>
      <c r="V43" s="88">
        <f>SUM(D2:D6)</f>
        <v>180</v>
      </c>
      <c r="W43" s="105">
        <f>SUM(J2:J6)</f>
        <v>2.7229191961822252</v>
      </c>
      <c r="X43" s="86">
        <f>SUM(K2:K6)</f>
        <v>3079.392885669617</v>
      </c>
      <c r="Y43" s="105">
        <f>SUM(N2:N6)</f>
        <v>6.880844958582653</v>
      </c>
      <c r="Z43" s="86">
        <f>SUM(O2:O6)</f>
        <v>7781.657657180458</v>
      </c>
      <c r="AA43" s="105">
        <f>SUM(Q2:Q6)</f>
        <v>11.268519196182222</v>
      </c>
      <c r="AB43" s="86">
        <f>SUM(R2:R6)</f>
        <v>12743.748655269614</v>
      </c>
    </row>
    <row r="44" spans="1:28">
      <c r="A44" s="5" t="str">
        <f>'Plant loading'!A81</f>
        <v>Rotherham</v>
      </c>
      <c r="B44" s="5" t="str">
        <f>'Plant loading'!B81</f>
        <v>PEBRM</v>
      </c>
      <c r="C44" s="5">
        <f>'Plant loading'!E81</f>
        <v>523</v>
      </c>
      <c r="D44" s="10">
        <f>'Plant loading'!H81</f>
        <v>36</v>
      </c>
      <c r="E44" s="5">
        <f t="shared" si="15"/>
        <v>14.527777777777779</v>
      </c>
      <c r="F44" s="5">
        <f t="shared" si="23"/>
        <v>791.76388888888891</v>
      </c>
      <c r="G44" s="16">
        <f t="shared" si="18"/>
        <v>88.516235330546522</v>
      </c>
      <c r="H44">
        <f t="shared" si="22"/>
        <v>31.776774862557676</v>
      </c>
      <c r="I44" s="76">
        <f t="shared" si="24"/>
        <v>30.783780000000004</v>
      </c>
      <c r="J44" s="76">
        <f t="shared" si="25"/>
        <v>0.99299486255767277</v>
      </c>
      <c r="K44" s="511">
        <f t="shared" si="19"/>
        <v>1122.993777984273</v>
      </c>
      <c r="L44" s="73">
        <f t="shared" si="8"/>
        <v>95</v>
      </c>
      <c r="M44" s="74">
        <f t="shared" si="9"/>
        <v>29.928675000000002</v>
      </c>
      <c r="N44" s="74">
        <f t="shared" si="10"/>
        <v>1.8480998625576746</v>
      </c>
      <c r="O44" s="512">
        <f t="shared" si="20"/>
        <v>2090.0457041642749</v>
      </c>
      <c r="P44" s="71">
        <f t="shared" si="11"/>
        <v>29.358605000000001</v>
      </c>
      <c r="Q44" s="71">
        <f t="shared" si="12"/>
        <v>2.4181698625576757</v>
      </c>
      <c r="R44" s="513">
        <f t="shared" si="21"/>
        <v>2734.7469882842761</v>
      </c>
      <c r="U44" s="47" t="s">
        <v>69</v>
      </c>
      <c r="V44" s="88">
        <f>SUM(D7:D11)</f>
        <v>180</v>
      </c>
      <c r="W44" s="105">
        <f>SUM(J7:J11)</f>
        <v>5.9515522637464002</v>
      </c>
      <c r="X44" s="86">
        <f>SUM(K7:K11)</f>
        <v>6730.7056799070233</v>
      </c>
      <c r="Y44" s="105">
        <f>SUM(N7:N11)</f>
        <v>8.7277822637464091</v>
      </c>
      <c r="Z44" s="86">
        <f>SUM(O7:O11)</f>
        <v>9870.3886065870338</v>
      </c>
      <c r="AA44" s="105">
        <f>SUM(Q7:Q11)</f>
        <v>12.123677263746409</v>
      </c>
      <c r="AB44" s="86">
        <f>SUM(R7:R11)</f>
        <v>13710.860596407034</v>
      </c>
    </row>
    <row r="45" spans="1:28">
      <c r="A45" s="5" t="str">
        <f>'Plant loading'!A82</f>
        <v>Rotherham</v>
      </c>
      <c r="B45" s="5" t="str">
        <f>'Plant loading'!B82</f>
        <v>PECRM</v>
      </c>
      <c r="C45" s="5">
        <f>'Plant loading'!E82</f>
        <v>532</v>
      </c>
      <c r="D45" s="10">
        <f>'Plant loading'!H82</f>
        <v>36</v>
      </c>
      <c r="E45" s="5">
        <f t="shared" ref="E45:E56" si="26">C45/D45</f>
        <v>14.777777777777779</v>
      </c>
      <c r="F45" s="5">
        <f t="shared" si="23"/>
        <v>805.38888888888891</v>
      </c>
      <c r="G45" s="16">
        <f t="shared" si="18"/>
        <v>88.516235330546522</v>
      </c>
      <c r="H45">
        <f t="shared" si="22"/>
        <v>32.323602728261342</v>
      </c>
      <c r="I45" s="76">
        <f t="shared" si="24"/>
        <v>31.31352</v>
      </c>
      <c r="J45" s="76">
        <f t="shared" si="25"/>
        <v>1.0100827282613416</v>
      </c>
      <c r="K45" s="511">
        <f t="shared" si="19"/>
        <v>1142.3187187144033</v>
      </c>
      <c r="L45" s="73">
        <f t="shared" si="8"/>
        <v>95</v>
      </c>
      <c r="M45" s="74">
        <f t="shared" si="9"/>
        <v>30.4437</v>
      </c>
      <c r="N45" s="74">
        <f t="shared" si="10"/>
        <v>1.8799027282613423</v>
      </c>
      <c r="O45" s="512">
        <f t="shared" si="20"/>
        <v>2126.012073834404</v>
      </c>
      <c r="P45" s="71">
        <f t="shared" si="11"/>
        <v>29.86382</v>
      </c>
      <c r="Q45" s="71">
        <f t="shared" si="12"/>
        <v>2.4597827282613416</v>
      </c>
      <c r="R45" s="513">
        <f t="shared" si="21"/>
        <v>2781.8076439144029</v>
      </c>
      <c r="U45" s="47" t="s">
        <v>76</v>
      </c>
      <c r="V45" s="88">
        <f>SUM(D12:D16)</f>
        <v>180</v>
      </c>
      <c r="W45" s="105">
        <f>SUM(J12:J16)</f>
        <v>0.48904064085014909</v>
      </c>
      <c r="X45" s="86">
        <f>SUM(K12:K16)</f>
        <v>553.06388538768726</v>
      </c>
      <c r="Y45" s="105">
        <f>SUM(N12:N16)</f>
        <v>8.5550406408501587</v>
      </c>
      <c r="Z45" s="86">
        <f>SUM(O12:O16)</f>
        <v>9675.0323413876977</v>
      </c>
      <c r="AA45" s="105">
        <f>SUM(Q12:Q16)</f>
        <v>9.9447906408501581</v>
      </c>
      <c r="AB45" s="86">
        <f>SUM(R12:R16)</f>
        <v>11246.722852387697</v>
      </c>
    </row>
    <row r="46" spans="1:28">
      <c r="A46" s="5" t="str">
        <f>'Plant loading'!A83</f>
        <v>Rotherham</v>
      </c>
      <c r="B46" s="5" t="str">
        <f>'Plant loading'!B83</f>
        <v>PEDRM</v>
      </c>
      <c r="C46" s="5">
        <f>'Plant loading'!E83</f>
        <v>263</v>
      </c>
      <c r="D46" s="10">
        <f>'Plant loading'!H83</f>
        <v>36</v>
      </c>
      <c r="E46" s="5">
        <f t="shared" si="26"/>
        <v>7.3055555555555554</v>
      </c>
      <c r="F46" s="5">
        <f t="shared" si="23"/>
        <v>398.15277777777777</v>
      </c>
      <c r="G46" s="16">
        <f t="shared" si="18"/>
        <v>82.073224256292889</v>
      </c>
      <c r="H46">
        <f t="shared" si="22"/>
        <v>16.903034401224261</v>
      </c>
      <c r="I46" s="76">
        <f t="shared" si="24"/>
        <v>15.480180000000001</v>
      </c>
      <c r="J46" s="76">
        <f t="shared" si="25"/>
        <v>1.4228544012242601</v>
      </c>
      <c r="K46" s="511">
        <f t="shared" si="19"/>
        <v>1609.1288080149352</v>
      </c>
      <c r="L46" s="73">
        <f t="shared" si="8"/>
        <v>91</v>
      </c>
      <c r="M46" s="74">
        <f t="shared" si="9"/>
        <v>15.623514999999998</v>
      </c>
      <c r="N46" s="74">
        <f t="shared" si="10"/>
        <v>1.2795194012242632</v>
      </c>
      <c r="O46" s="512">
        <f t="shared" si="20"/>
        <v>1447.0289631549388</v>
      </c>
      <c r="P46" s="71">
        <f t="shared" si="11"/>
        <v>14.763505</v>
      </c>
      <c r="Q46" s="71">
        <f t="shared" si="12"/>
        <v>2.1395294012242605</v>
      </c>
      <c r="R46" s="513">
        <f t="shared" si="21"/>
        <v>2419.6280323149358</v>
      </c>
      <c r="U46" s="47" t="s">
        <v>86</v>
      </c>
      <c r="V46" s="88">
        <f>SUM(D17:D20)</f>
        <v>144</v>
      </c>
      <c r="W46" s="105">
        <f>SUM(J17:J20)</f>
        <v>5.1783499234275361</v>
      </c>
      <c r="X46" s="86">
        <f>SUM(K17:K20)</f>
        <v>5856.2787820029753</v>
      </c>
      <c r="Y46" s="105">
        <f>SUM(N17:N20)</f>
        <v>5.2906199234275597</v>
      </c>
      <c r="Z46" s="86">
        <f>SUM(O17:O20)</f>
        <v>5983.2467213230011</v>
      </c>
      <c r="AA46" s="105">
        <f>SUM(Q17:Q20)</f>
        <v>9.3094499234275467</v>
      </c>
      <c r="AB46" s="86">
        <f>SUM(R17:R20)</f>
        <v>10528.205869602987</v>
      </c>
    </row>
    <row r="47" spans="1:28">
      <c r="A47" s="5" t="str">
        <f>'Plant loading'!A84</f>
        <v>Rotherham</v>
      </c>
      <c r="B47" s="5" t="str">
        <f>'Plant loading'!B84</f>
        <v>PEERM</v>
      </c>
      <c r="C47" s="5">
        <f>'Plant loading'!E84</f>
        <v>212</v>
      </c>
      <c r="D47" s="10">
        <f>'Plant loading'!H84</f>
        <v>36</v>
      </c>
      <c r="E47" s="5">
        <f t="shared" si="26"/>
        <v>5.8888888888888893</v>
      </c>
      <c r="F47" s="5">
        <f t="shared" si="23"/>
        <v>320.94444444444446</v>
      </c>
      <c r="G47" s="16">
        <f t="shared" si="18"/>
        <v>82.073224256292889</v>
      </c>
      <c r="H47">
        <f t="shared" si="22"/>
        <v>13.625259669427921</v>
      </c>
      <c r="I47" s="76">
        <f t="shared" si="24"/>
        <v>12.478320000000002</v>
      </c>
      <c r="J47" s="76">
        <f t="shared" si="25"/>
        <v>1.146939669427919</v>
      </c>
      <c r="K47" s="511">
        <f t="shared" si="19"/>
        <v>1297.0924231907445</v>
      </c>
      <c r="L47" s="73" t="e">
        <f t="shared" si="8"/>
        <v>#N/A</v>
      </c>
      <c r="M47" s="74" t="e">
        <f t="shared" si="9"/>
        <v>#N/A</v>
      </c>
      <c r="N47" s="74" t="e">
        <f t="shared" si="10"/>
        <v>#N/A</v>
      </c>
      <c r="O47" s="512" t="e">
        <f t="shared" si="20"/>
        <v>#N/A</v>
      </c>
      <c r="P47" s="71">
        <f t="shared" si="11"/>
        <v>11.90062</v>
      </c>
      <c r="Q47" s="71">
        <f t="shared" si="12"/>
        <v>1.7246396694279209</v>
      </c>
      <c r="R47" s="513">
        <f t="shared" si="21"/>
        <v>1950.4225963907465</v>
      </c>
      <c r="U47" s="47" t="s">
        <v>91</v>
      </c>
      <c r="V47" s="88">
        <f>SUM(D21:D25)</f>
        <v>180</v>
      </c>
      <c r="W47" s="105">
        <f>SUM(J21:J25)</f>
        <v>1.1712172946713935</v>
      </c>
      <c r="X47" s="86">
        <f>SUM(K21:K25)</f>
        <v>1324.5483780205936</v>
      </c>
      <c r="Y47" s="105">
        <f>SUM(N21:N25)</f>
        <v>7.4496172946713983</v>
      </c>
      <c r="Z47" s="86">
        <f>SUM(O21:O25)</f>
        <v>8424.891392420599</v>
      </c>
      <c r="AA47" s="105">
        <f>SUM(Q21:Q25)</f>
        <v>9.2453922946713973</v>
      </c>
      <c r="AB47" s="86">
        <f>SUM(R21:R25)</f>
        <v>10455.762072320596</v>
      </c>
    </row>
    <row r="48" spans="1:28">
      <c r="A48" s="5" t="str">
        <f>'Plant loading'!A85</f>
        <v>Southampton</v>
      </c>
      <c r="B48" s="5" t="str">
        <f>'Plant loading'!B85</f>
        <v>PEASN</v>
      </c>
      <c r="C48" s="5">
        <f>'Plant loading'!E85</f>
        <v>364</v>
      </c>
      <c r="D48" s="10">
        <f>'Plant loading'!H85</f>
        <v>36</v>
      </c>
      <c r="E48" s="5">
        <f t="shared" si="26"/>
        <v>10.111111111111111</v>
      </c>
      <c r="F48" s="5">
        <f t="shared" si="23"/>
        <v>551.05555555555554</v>
      </c>
      <c r="G48" s="16">
        <f t="shared" si="18"/>
        <v>82.073224256292889</v>
      </c>
      <c r="H48">
        <f t="shared" si="22"/>
        <v>23.394313772036618</v>
      </c>
      <c r="I48" s="76">
        <f t="shared" si="24"/>
        <v>21.425039999999999</v>
      </c>
      <c r="J48" s="76">
        <f t="shared" si="25"/>
        <v>1.9692737720366189</v>
      </c>
      <c r="K48" s="511">
        <f t="shared" si="19"/>
        <v>2227.0832171765646</v>
      </c>
      <c r="L48" s="73">
        <f t="shared" si="8"/>
        <v>93</v>
      </c>
      <c r="M48" s="74">
        <f t="shared" si="9"/>
        <v>21.226659999999995</v>
      </c>
      <c r="N48" s="74">
        <f t="shared" si="10"/>
        <v>2.1676537720366227</v>
      </c>
      <c r="O48" s="512">
        <f t="shared" si="20"/>
        <v>2451.4343332565691</v>
      </c>
      <c r="P48" s="71">
        <f t="shared" si="11"/>
        <v>20.433139999999998</v>
      </c>
      <c r="Q48" s="71">
        <f t="shared" si="12"/>
        <v>2.96117377203662</v>
      </c>
      <c r="R48" s="513">
        <f t="shared" si="21"/>
        <v>3348.8387975765663</v>
      </c>
      <c r="U48" s="47" t="s">
        <v>122</v>
      </c>
      <c r="V48" s="88" t="e">
        <f>SUM(D26:D36)</f>
        <v>#REF!</v>
      </c>
      <c r="W48" s="105" t="e">
        <f>SUM(J26:J36)</f>
        <v>#REF!</v>
      </c>
      <c r="X48" s="86" t="e">
        <f>SUM(K26:K36)</f>
        <v>#REF!</v>
      </c>
      <c r="Y48" s="105" t="e">
        <f>SUM(N26:N36)</f>
        <v>#REF!</v>
      </c>
      <c r="Z48" s="86" t="e">
        <f>SUM(O26:O36)</f>
        <v>#REF!</v>
      </c>
      <c r="AA48" s="105" t="e">
        <f>SUM(Q26:Q36)</f>
        <v>#REF!</v>
      </c>
      <c r="AB48" s="86" t="e">
        <f>SUM(R26:R36)</f>
        <v>#REF!</v>
      </c>
    </row>
    <row r="49" spans="1:28">
      <c r="A49" s="5" t="str">
        <f>'Plant loading'!A86</f>
        <v>Southampton</v>
      </c>
      <c r="B49" s="5" t="str">
        <f>'Plant loading'!B86</f>
        <v>PEBSN</v>
      </c>
      <c r="C49" s="5">
        <f>'Plant loading'!E86</f>
        <v>520</v>
      </c>
      <c r="D49" s="10">
        <f>'Plant loading'!H86</f>
        <v>36</v>
      </c>
      <c r="E49" s="5">
        <f t="shared" si="26"/>
        <v>14.444444444444445</v>
      </c>
      <c r="F49" s="5">
        <f t="shared" si="23"/>
        <v>787.22222222222229</v>
      </c>
      <c r="G49" s="16">
        <f t="shared" si="18"/>
        <v>88.516235330546522</v>
      </c>
      <c r="H49">
        <f t="shared" si="22"/>
        <v>31.594498907323118</v>
      </c>
      <c r="I49" s="76">
        <f t="shared" si="24"/>
        <v>30.607200000000002</v>
      </c>
      <c r="J49" s="76">
        <f t="shared" si="25"/>
        <v>0.98729890732311532</v>
      </c>
      <c r="K49" s="511">
        <f t="shared" si="19"/>
        <v>1116.5521310742283</v>
      </c>
      <c r="L49" s="73">
        <f t="shared" si="8"/>
        <v>95</v>
      </c>
      <c r="M49" s="74">
        <f t="shared" si="9"/>
        <v>29.757000000000001</v>
      </c>
      <c r="N49" s="74">
        <f t="shared" si="10"/>
        <v>1.8374989073231163</v>
      </c>
      <c r="O49" s="512">
        <f t="shared" si="20"/>
        <v>2078.0569142742293</v>
      </c>
      <c r="P49" s="71">
        <f t="shared" si="11"/>
        <v>29.190200000000001</v>
      </c>
      <c r="Q49" s="71">
        <f t="shared" si="12"/>
        <v>2.4042989073231169</v>
      </c>
      <c r="R49" s="513">
        <f t="shared" si="21"/>
        <v>2719.06010307423</v>
      </c>
      <c r="U49" s="47" t="s">
        <v>174</v>
      </c>
      <c r="V49" s="88">
        <f>SUM(D48:D51)</f>
        <v>144</v>
      </c>
      <c r="W49" s="105">
        <f>SUM(J48:J51)</f>
        <v>5.7354485904814325</v>
      </c>
      <c r="X49" s="86">
        <f>SUM(K48:K51)</f>
        <v>6486.3105781528993</v>
      </c>
      <c r="Y49" s="105">
        <f>SUM(N48:N51)</f>
        <v>7.7454085904814463</v>
      </c>
      <c r="Z49" s="86">
        <f>SUM(O48:O51)</f>
        <v>8759.4065015129145</v>
      </c>
      <c r="AA49" s="105">
        <f>SUM(Q48:Q51)</f>
        <v>10.378848590481439</v>
      </c>
      <c r="AB49" s="86">
        <f>SUM(R48:R51)</f>
        <v>11737.605932552906</v>
      </c>
    </row>
    <row r="50" spans="1:28">
      <c r="A50" s="5" t="str">
        <f>'Plant loading'!A87</f>
        <v>Southampton</v>
      </c>
      <c r="B50" s="5" t="str">
        <f>'Plant loading'!B87</f>
        <v>PECSN</v>
      </c>
      <c r="C50" s="5">
        <f>'Plant loading'!E87</f>
        <v>472</v>
      </c>
      <c r="D50" s="10">
        <f>'Plant loading'!H87</f>
        <v>36</v>
      </c>
      <c r="E50" s="5">
        <f t="shared" si="26"/>
        <v>13.111111111111111</v>
      </c>
      <c r="F50" s="5">
        <f t="shared" si="23"/>
        <v>714.55555555555554</v>
      </c>
      <c r="G50" s="16">
        <f t="shared" si="18"/>
        <v>88.516235330546522</v>
      </c>
      <c r="H50">
        <f t="shared" si="22"/>
        <v>28.678083623570217</v>
      </c>
      <c r="I50" s="76">
        <f t="shared" si="24"/>
        <v>27.781920000000003</v>
      </c>
      <c r="J50" s="76">
        <f t="shared" si="25"/>
        <v>0.89616362357021373</v>
      </c>
      <c r="K50" s="511">
        <f t="shared" si="19"/>
        <v>1013.4857805135317</v>
      </c>
      <c r="L50" s="73">
        <f t="shared" si="8"/>
        <v>95</v>
      </c>
      <c r="M50" s="74">
        <f t="shared" si="9"/>
        <v>27.010200000000001</v>
      </c>
      <c r="N50" s="74">
        <f t="shared" si="10"/>
        <v>1.6678836235702157</v>
      </c>
      <c r="O50" s="512">
        <f t="shared" si="20"/>
        <v>1886.2362760335338</v>
      </c>
      <c r="P50" s="71">
        <f t="shared" si="11"/>
        <v>26.495720000000002</v>
      </c>
      <c r="Q50" s="71">
        <f t="shared" si="12"/>
        <v>2.1823636235702146</v>
      </c>
      <c r="R50" s="513">
        <f t="shared" si="21"/>
        <v>2468.0699397135327</v>
      </c>
      <c r="U50" s="47" t="s">
        <v>182</v>
      </c>
      <c r="V50" s="88">
        <f>SUM(D52:D56)+6</f>
        <v>180</v>
      </c>
      <c r="W50" s="105">
        <f>SUM(J52:J56)</f>
        <v>4.8265439609855179</v>
      </c>
      <c r="X50" s="86">
        <f>SUM(K52:K56)</f>
        <v>5458.415790181898</v>
      </c>
      <c r="Y50" s="105">
        <f>SUM(N52:N56)</f>
        <v>6.7160589609855244</v>
      </c>
      <c r="Z50" s="86">
        <f>SUM(O52:O56)</f>
        <v>7595.2985359219037</v>
      </c>
      <c r="AA50" s="105">
        <f>SUM(Q52:Q56)</f>
        <v>10.317418960985526</v>
      </c>
      <c r="AB50" s="86">
        <f>SUM(R52:R56)</f>
        <v>11668.134181681906</v>
      </c>
    </row>
    <row r="51" spans="1:28">
      <c r="A51" s="5" t="str">
        <f>'Plant loading'!A88</f>
        <v>Southampton</v>
      </c>
      <c r="B51" s="5" t="str">
        <f>'Plant loading'!B88</f>
        <v>PEESN</v>
      </c>
      <c r="C51" s="5">
        <f>'Plant loading'!E88</f>
        <v>348</v>
      </c>
      <c r="D51" s="10">
        <f>'Plant loading'!H88</f>
        <v>36</v>
      </c>
      <c r="E51" s="5">
        <f t="shared" si="26"/>
        <v>9.6666666666666661</v>
      </c>
      <c r="F51" s="5">
        <f t="shared" si="23"/>
        <v>526.83333333333326</v>
      </c>
      <c r="G51" s="16">
        <f t="shared" si="18"/>
        <v>82.073224256292889</v>
      </c>
      <c r="H51">
        <f t="shared" si="22"/>
        <v>22.365992287551489</v>
      </c>
      <c r="I51" s="76">
        <f t="shared" si="24"/>
        <v>20.483280000000004</v>
      </c>
      <c r="J51" s="76">
        <f t="shared" si="25"/>
        <v>1.8827122875514846</v>
      </c>
      <c r="K51" s="511">
        <f t="shared" si="19"/>
        <v>2129.1894493885748</v>
      </c>
      <c r="L51" s="73">
        <f t="shared" si="8"/>
        <v>93</v>
      </c>
      <c r="M51" s="74">
        <f t="shared" si="9"/>
        <v>20.293619999999997</v>
      </c>
      <c r="N51" s="74">
        <f t="shared" si="10"/>
        <v>2.0723722875514916</v>
      </c>
      <c r="O51" s="512">
        <f t="shared" si="20"/>
        <v>2343.6789779485825</v>
      </c>
      <c r="P51" s="71">
        <f t="shared" si="11"/>
        <v>19.534980000000001</v>
      </c>
      <c r="Q51" s="71">
        <f t="shared" si="12"/>
        <v>2.8310122875514878</v>
      </c>
      <c r="R51" s="513">
        <f t="shared" si="21"/>
        <v>3201.6370921885782</v>
      </c>
      <c r="U51" s="39" t="s">
        <v>1514</v>
      </c>
      <c r="V51" s="89" t="e">
        <f>SUM(V43:V50)</f>
        <v>#REF!</v>
      </c>
      <c r="W51" s="89" t="e">
        <f>SUM(W43:W50)</f>
        <v>#REF!</v>
      </c>
      <c r="X51" s="66" t="e">
        <f>ROUNDDOWN(SUM(X43:X50),-3)</f>
        <v>#REF!</v>
      </c>
      <c r="Y51" s="106" t="e">
        <f>SUM(Y43:Y50)</f>
        <v>#REF!</v>
      </c>
      <c r="Z51" s="66" t="e">
        <f>ROUNDDOWN(SUM(Z43:Z50),-3)</f>
        <v>#REF!</v>
      </c>
      <c r="AA51" s="106" t="e">
        <f>SUM(AA43:AA50)</f>
        <v>#REF!</v>
      </c>
      <c r="AB51" s="66" t="e">
        <f>ROUNDDOWN(SUM(AB43:AB50),-3)</f>
        <v>#REF!</v>
      </c>
    </row>
    <row r="52" spans="1:28">
      <c r="A52" s="5" t="str">
        <f>'Plant loading'!A89</f>
        <v>Swanley</v>
      </c>
      <c r="B52" s="5" t="str">
        <f>'Plant loading'!B89</f>
        <v>PEASY</v>
      </c>
      <c r="C52" s="5">
        <f>'Plant loading'!E89</f>
        <v>546</v>
      </c>
      <c r="D52" s="10">
        <f>'Plant loading'!H89</f>
        <v>36</v>
      </c>
      <c r="E52" s="5">
        <f t="shared" si="26"/>
        <v>15.166666666666666</v>
      </c>
      <c r="F52" s="5">
        <f t="shared" si="23"/>
        <v>826.58333333333326</v>
      </c>
      <c r="G52" s="16">
        <f t="shared" si="18"/>
        <v>88.516235330546522</v>
      </c>
      <c r="H52">
        <f t="shared" si="22"/>
        <v>33.174223852689273</v>
      </c>
      <c r="I52" s="76">
        <f t="shared" si="24"/>
        <v>32.137560000000001</v>
      </c>
      <c r="J52" s="76">
        <f t="shared" si="25"/>
        <v>1.0366638526892729</v>
      </c>
      <c r="K52" s="511">
        <f t="shared" si="19"/>
        <v>1172.3797376279417</v>
      </c>
      <c r="L52" s="73">
        <f t="shared" si="8"/>
        <v>95</v>
      </c>
      <c r="M52" s="74">
        <f t="shared" si="9"/>
        <v>31.244850000000003</v>
      </c>
      <c r="N52" s="74">
        <f t="shared" si="10"/>
        <v>1.9293738526892703</v>
      </c>
      <c r="O52" s="512">
        <f t="shared" si="20"/>
        <v>2181.9597599879385</v>
      </c>
      <c r="P52" s="71">
        <f t="shared" si="11"/>
        <v>30.649709999999999</v>
      </c>
      <c r="Q52" s="71">
        <f t="shared" si="12"/>
        <v>2.5245138526892745</v>
      </c>
      <c r="R52" s="513">
        <f t="shared" si="21"/>
        <v>2855.0131082279431</v>
      </c>
    </row>
    <row r="53" spans="1:28">
      <c r="A53" s="5" t="str">
        <f>'Plant loading'!A90</f>
        <v>Swanley</v>
      </c>
      <c r="B53" s="5" t="str">
        <f>'Plant loading'!B90</f>
        <v>PEBSY</v>
      </c>
      <c r="C53" s="5">
        <f>'Plant loading'!E90</f>
        <v>465</v>
      </c>
      <c r="D53" s="10">
        <f>'Plant loading'!H90</f>
        <v>36</v>
      </c>
      <c r="E53" s="5">
        <f t="shared" si="26"/>
        <v>12.916666666666666</v>
      </c>
      <c r="F53" s="5">
        <f t="shared" si="23"/>
        <v>703.95833333333326</v>
      </c>
      <c r="G53" s="16">
        <f t="shared" si="18"/>
        <v>88.516235330546522</v>
      </c>
      <c r="H53">
        <f t="shared" si="22"/>
        <v>28.252773061356248</v>
      </c>
      <c r="I53" s="76">
        <f t="shared" si="24"/>
        <v>27.369900000000001</v>
      </c>
      <c r="J53" s="76">
        <f t="shared" si="25"/>
        <v>0.88287306135624632</v>
      </c>
      <c r="K53" s="511">
        <f t="shared" si="19"/>
        <v>998.45527105676069</v>
      </c>
      <c r="L53" s="73">
        <f t="shared" si="8"/>
        <v>95</v>
      </c>
      <c r="M53" s="74">
        <f t="shared" si="9"/>
        <v>26.609625000000001</v>
      </c>
      <c r="N53" s="74">
        <f t="shared" si="10"/>
        <v>1.6431480613562464</v>
      </c>
      <c r="O53" s="512">
        <f t="shared" si="20"/>
        <v>1858.2624329567607</v>
      </c>
      <c r="P53" s="71">
        <f t="shared" si="11"/>
        <v>26.102775000000001</v>
      </c>
      <c r="Q53" s="71">
        <f t="shared" si="12"/>
        <v>2.1499980613562464</v>
      </c>
      <c r="R53" s="513">
        <f t="shared" si="21"/>
        <v>2431.4672075567605</v>
      </c>
    </row>
    <row r="54" spans="1:28">
      <c r="A54" s="5" t="str">
        <f>'Plant loading'!A91</f>
        <v>Swanley</v>
      </c>
      <c r="B54" s="5" t="str">
        <f>'Plant loading'!B91</f>
        <v>PECSY</v>
      </c>
      <c r="C54" s="5">
        <f>'Plant loading'!E91</f>
        <v>398</v>
      </c>
      <c r="D54" s="10">
        <f>'Plant loading'!H91</f>
        <v>36</v>
      </c>
      <c r="E54" s="5">
        <f t="shared" si="26"/>
        <v>11.055555555555555</v>
      </c>
      <c r="F54" s="5">
        <f t="shared" si="23"/>
        <v>602.52777777777771</v>
      </c>
      <c r="G54" s="16">
        <f t="shared" si="18"/>
        <v>88.516235330546522</v>
      </c>
      <c r="H54">
        <f t="shared" si="22"/>
        <v>24.181943394451153</v>
      </c>
      <c r="I54" s="76">
        <f t="shared" si="24"/>
        <v>23.426280000000002</v>
      </c>
      <c r="J54" s="76">
        <f t="shared" si="25"/>
        <v>0.75566339445115105</v>
      </c>
      <c r="K54" s="511">
        <f t="shared" si="19"/>
        <v>854.59182339911786</v>
      </c>
      <c r="L54" s="73">
        <f t="shared" si="8"/>
        <v>93</v>
      </c>
      <c r="M54" s="74">
        <f t="shared" si="9"/>
        <v>23.209369999999996</v>
      </c>
      <c r="N54" s="74">
        <f t="shared" si="10"/>
        <v>0.97257339445115676</v>
      </c>
      <c r="O54" s="512">
        <f t="shared" si="20"/>
        <v>1099.8988129591241</v>
      </c>
      <c r="P54" s="71">
        <f t="shared" si="11"/>
        <v>22.341729999999998</v>
      </c>
      <c r="Q54" s="71">
        <f t="shared" si="12"/>
        <v>1.8402133944511547</v>
      </c>
      <c r="R54" s="513">
        <f t="shared" si="21"/>
        <v>2081.1267711991218</v>
      </c>
    </row>
    <row r="55" spans="1:28">
      <c r="A55" s="5" t="str">
        <f>'Plant loading'!A92</f>
        <v>Swanley</v>
      </c>
      <c r="B55" s="5" t="str">
        <f>'Plant loading'!B92</f>
        <v>PEDSY</v>
      </c>
      <c r="C55" s="5">
        <f>'Plant loading'!E92</f>
        <v>285</v>
      </c>
      <c r="D55" s="10">
        <f>'Plant loading'!H92</f>
        <v>36</v>
      </c>
      <c r="E55" s="5">
        <f t="shared" si="26"/>
        <v>7.916666666666667</v>
      </c>
      <c r="F55" s="5">
        <f t="shared" si="23"/>
        <v>431.45833333333337</v>
      </c>
      <c r="G55" s="16">
        <f t="shared" si="18"/>
        <v>82.073224256292889</v>
      </c>
      <c r="H55">
        <f t="shared" si="22"/>
        <v>18.316976442391308</v>
      </c>
      <c r="I55" s="76">
        <f t="shared" si="24"/>
        <v>16.775100000000002</v>
      </c>
      <c r="J55" s="76">
        <f t="shared" si="25"/>
        <v>1.5418764423913061</v>
      </c>
      <c r="K55" s="511">
        <f t="shared" si="19"/>
        <v>1743.7327387234063</v>
      </c>
      <c r="L55" s="73">
        <f t="shared" si="8"/>
        <v>91</v>
      </c>
      <c r="M55" s="74">
        <f t="shared" si="9"/>
        <v>16.930425</v>
      </c>
      <c r="N55" s="74">
        <f t="shared" si="10"/>
        <v>1.3865514423913083</v>
      </c>
      <c r="O55" s="512">
        <f t="shared" si="20"/>
        <v>1568.0732110234087</v>
      </c>
      <c r="P55" s="71">
        <f t="shared" si="11"/>
        <v>15.998475000000001</v>
      </c>
      <c r="Q55" s="71">
        <f t="shared" si="12"/>
        <v>2.3185014423913071</v>
      </c>
      <c r="R55" s="513">
        <f t="shared" si="21"/>
        <v>2622.0303772234074</v>
      </c>
      <c r="U55" s="13" t="s">
        <v>1515</v>
      </c>
    </row>
    <row r="56" spans="1:28">
      <c r="A56" s="5" t="str">
        <f>'Plant loading'!A93</f>
        <v>Swanley</v>
      </c>
      <c r="B56" s="5" t="str">
        <f>'Plant loading'!B93</f>
        <v>PEESY</v>
      </c>
      <c r="C56" s="5">
        <f>'Plant loading'!E93</f>
        <v>321</v>
      </c>
      <c r="D56" s="10">
        <f>'Plant loading'!H93</f>
        <v>30</v>
      </c>
      <c r="E56" s="5">
        <f t="shared" si="26"/>
        <v>10.7</v>
      </c>
      <c r="F56" s="5">
        <f t="shared" si="23"/>
        <v>583.15</v>
      </c>
      <c r="G56" s="16">
        <f t="shared" si="18"/>
        <v>88.516235330546522</v>
      </c>
      <c r="H56">
        <f t="shared" si="22"/>
        <v>19.503527210097541</v>
      </c>
      <c r="I56" s="76">
        <f t="shared" si="24"/>
        <v>18.89406</v>
      </c>
      <c r="J56" s="76">
        <f t="shared" si="25"/>
        <v>0.60946721009754157</v>
      </c>
      <c r="K56" s="511">
        <f t="shared" si="19"/>
        <v>689.25621937467133</v>
      </c>
      <c r="L56" s="73">
        <f t="shared" si="8"/>
        <v>93</v>
      </c>
      <c r="M56" s="74">
        <f t="shared" si="9"/>
        <v>18.719114999999999</v>
      </c>
      <c r="N56" s="74">
        <f t="shared" si="10"/>
        <v>0.78441221009754258</v>
      </c>
      <c r="O56" s="512">
        <f t="shared" si="20"/>
        <v>887.10431899467244</v>
      </c>
      <c r="P56" s="71">
        <f t="shared" si="11"/>
        <v>18.019334999999998</v>
      </c>
      <c r="Q56" s="71">
        <f t="shared" si="12"/>
        <v>1.4841922100975431</v>
      </c>
      <c r="R56" s="513">
        <f t="shared" si="21"/>
        <v>1678.496717474673</v>
      </c>
    </row>
    <row r="57" spans="1:28" ht="40.9">
      <c r="A57" s="5" t="str">
        <f>'Plant loading'!A94</f>
        <v>Bristol</v>
      </c>
      <c r="B57" s="5" t="str">
        <f>'Plant loading'!B94</f>
        <v>PEFBL</v>
      </c>
      <c r="C57" s="5">
        <f>'Plant loading'!E94</f>
        <v>428</v>
      </c>
      <c r="D57" s="10">
        <f>'Plant loading'!H94</f>
        <v>36</v>
      </c>
      <c r="E57" s="5">
        <f t="shared" ref="E57:E86" si="27">C57/D57</f>
        <v>11.888888888888889</v>
      </c>
      <c r="F57" s="5">
        <f t="shared" si="23"/>
        <v>647.94444444444446</v>
      </c>
      <c r="G57" s="16">
        <f t="shared" si="18"/>
        <v>88.516235330546522</v>
      </c>
      <c r="H57">
        <f t="shared" si="22"/>
        <v>26.004702946796723</v>
      </c>
      <c r="I57" s="76">
        <f t="shared" si="24"/>
        <v>25.192080000000001</v>
      </c>
      <c r="J57" s="76">
        <f t="shared" si="25"/>
        <v>0.81262294679672209</v>
      </c>
      <c r="K57" s="511">
        <f t="shared" si="19"/>
        <v>919.00829249956166</v>
      </c>
      <c r="L57" s="65"/>
      <c r="M57" s="65"/>
      <c r="N57" s="65"/>
      <c r="O57" s="65"/>
      <c r="P57" s="71">
        <f t="shared" si="11"/>
        <v>24.025779999999997</v>
      </c>
      <c r="Q57" s="71">
        <f t="shared" si="12"/>
        <v>1.9789229467967253</v>
      </c>
      <c r="R57" s="513">
        <f t="shared" si="21"/>
        <v>2237.9956232995655</v>
      </c>
      <c r="U57" s="317" t="s">
        <v>512</v>
      </c>
      <c r="V57" s="87" t="s">
        <v>583</v>
      </c>
      <c r="W57" s="83" t="s">
        <v>1493</v>
      </c>
      <c r="X57" s="84" t="s">
        <v>1497</v>
      </c>
      <c r="Y57" s="85" t="s">
        <v>1500</v>
      </c>
      <c r="Z57" s="108" t="s">
        <v>1516</v>
      </c>
    </row>
    <row r="58" spans="1:28">
      <c r="A58" s="5" t="str">
        <f>'Plant loading'!A95</f>
        <v>Bristol</v>
      </c>
      <c r="B58" s="5" t="str">
        <f>'Plant loading'!B95</f>
        <v>PEHBL</v>
      </c>
      <c r="C58" s="5">
        <f>'Plant loading'!E95</f>
        <v>316</v>
      </c>
      <c r="D58" s="10">
        <f>'Plant loading'!H95</f>
        <v>36</v>
      </c>
      <c r="E58" s="5">
        <f t="shared" si="27"/>
        <v>8.7777777777777786</v>
      </c>
      <c r="F58" s="5">
        <f t="shared" si="23"/>
        <v>478.38888888888891</v>
      </c>
      <c r="G58" s="16">
        <f t="shared" si="18"/>
        <v>82.073224256292889</v>
      </c>
      <c r="H58">
        <f t="shared" si="22"/>
        <v>20.309349318581241</v>
      </c>
      <c r="I58" s="76">
        <f t="shared" si="24"/>
        <v>18.599760000000003</v>
      </c>
      <c r="J58" s="76">
        <f t="shared" si="25"/>
        <v>1.7095893185812372</v>
      </c>
      <c r="K58" s="511">
        <f t="shared" si="19"/>
        <v>1933.4019138126182</v>
      </c>
      <c r="L58" s="65"/>
      <c r="M58" s="65"/>
      <c r="N58" s="65"/>
      <c r="O58" s="65"/>
      <c r="P58" s="71">
        <f t="shared" si="11"/>
        <v>17.738659999999999</v>
      </c>
      <c r="Q58" s="71">
        <f t="shared" si="12"/>
        <v>2.5706893185812412</v>
      </c>
      <c r="R58" s="513">
        <f t="shared" si="21"/>
        <v>2907.2336814126224</v>
      </c>
      <c r="U58" s="47" t="s">
        <v>155</v>
      </c>
      <c r="V58" s="88">
        <f>SUM(D37:D42)</f>
        <v>254</v>
      </c>
      <c r="W58" s="86">
        <f>SUM(K37:K42)</f>
        <v>4812.5899695991584</v>
      </c>
      <c r="X58" s="86">
        <f>SUM(O37:O42)</f>
        <v>12997.091261979171</v>
      </c>
      <c r="Y58" s="86">
        <f>SUM(R37:R42)</f>
        <v>17589.509300199163</v>
      </c>
      <c r="Z58" s="86">
        <f>Y58-X58</f>
        <v>4592.418038219992</v>
      </c>
    </row>
    <row r="59" spans="1:28">
      <c r="A59" s="5" t="str">
        <f>'Plant loading'!A96</f>
        <v>Cardiff</v>
      </c>
      <c r="B59" s="5" t="str">
        <f>'Plant loading'!B96</f>
        <v>PECCF</v>
      </c>
      <c r="C59" s="5">
        <f>'Plant loading'!E96</f>
        <v>352</v>
      </c>
      <c r="D59" s="10">
        <f>'Plant loading'!H96</f>
        <v>36</v>
      </c>
      <c r="E59" s="5">
        <f t="shared" si="27"/>
        <v>9.7777777777777786</v>
      </c>
      <c r="F59" s="5">
        <f t="shared" si="23"/>
        <v>532.88888888888891</v>
      </c>
      <c r="G59" s="16">
        <f t="shared" si="18"/>
        <v>82.073224256292889</v>
      </c>
      <c r="H59">
        <f t="shared" si="22"/>
        <v>22.623072658672772</v>
      </c>
      <c r="I59" s="76">
        <f t="shared" si="24"/>
        <v>20.718720000000001</v>
      </c>
      <c r="J59" s="76">
        <f t="shared" si="25"/>
        <v>1.9043526586727708</v>
      </c>
      <c r="K59" s="511">
        <f t="shared" si="19"/>
        <v>2153.6628913355753</v>
      </c>
      <c r="L59" s="65"/>
      <c r="M59" s="65"/>
      <c r="N59" s="65"/>
      <c r="O59" s="65"/>
      <c r="P59" s="71">
        <f t="shared" si="11"/>
        <v>19.759520000000002</v>
      </c>
      <c r="Q59" s="71">
        <f t="shared" si="12"/>
        <v>2.86355265867277</v>
      </c>
      <c r="R59" s="513">
        <f t="shared" si="21"/>
        <v>3238.4375185355743</v>
      </c>
      <c r="U59" s="47" t="s">
        <v>165</v>
      </c>
      <c r="V59" s="88">
        <f>SUM(D43:D47)</f>
        <v>180</v>
      </c>
      <c r="W59" s="86">
        <f>SUM(K43:K47)</f>
        <v>6077.6587265838243</v>
      </c>
      <c r="X59" s="86" t="e">
        <f>SUM(O43:O47)</f>
        <v>#N/A</v>
      </c>
      <c r="Y59" s="86">
        <f>SUM(R43:R47)</f>
        <v>12093.227113783831</v>
      </c>
      <c r="Z59" s="86" t="e">
        <f>Y59-X59</f>
        <v>#N/A</v>
      </c>
    </row>
    <row r="60" spans="1:28">
      <c r="A60" s="5" t="str">
        <f>'Plant loading'!A97</f>
        <v>Cardiff</v>
      </c>
      <c r="B60" s="5" t="str">
        <f>'Plant loading'!B97</f>
        <v>PEDCF</v>
      </c>
      <c r="C60" s="5">
        <f>'Plant loading'!E97</f>
        <v>167</v>
      </c>
      <c r="D60" s="10">
        <f>'Plant loading'!H97</f>
        <v>18</v>
      </c>
      <c r="E60" s="5">
        <f t="shared" si="27"/>
        <v>9.2777777777777786</v>
      </c>
      <c r="F60" s="5">
        <f t="shared" si="23"/>
        <v>505.63888888888891</v>
      </c>
      <c r="G60" s="16">
        <f t="shared" si="18"/>
        <v>82.073224256292889</v>
      </c>
      <c r="H60">
        <f t="shared" si="22"/>
        <v>10.733105494313502</v>
      </c>
      <c r="I60" s="76">
        <f t="shared" si="24"/>
        <v>9.8296200000000002</v>
      </c>
      <c r="J60" s="76">
        <f t="shared" si="25"/>
        <v>0.903485494313502</v>
      </c>
      <c r="K60" s="511">
        <f t="shared" si="19"/>
        <v>1021.7662012870484</v>
      </c>
      <c r="L60" s="65"/>
      <c r="M60" s="65"/>
      <c r="N60" s="65"/>
      <c r="O60" s="65"/>
      <c r="P60" s="71">
        <f t="shared" si="11"/>
        <v>9.3745449999999995</v>
      </c>
      <c r="Q60" s="71">
        <f t="shared" si="12"/>
        <v>1.3585604943135028</v>
      </c>
      <c r="R60" s="513">
        <f t="shared" si="21"/>
        <v>1536.4177999870492</v>
      </c>
      <c r="V60" s="39" t="s">
        <v>1514</v>
      </c>
      <c r="W60" s="66">
        <f>SUM(W58:W59)</f>
        <v>10890.248696182982</v>
      </c>
      <c r="X60" s="66" t="e">
        <f>SUM(X58:X59)</f>
        <v>#N/A</v>
      </c>
      <c r="Y60" s="66">
        <f>SUM(Y58:Y59)</f>
        <v>29682.736413982995</v>
      </c>
      <c r="Z60" s="66" t="e">
        <f>SUM(Z58:Z59)</f>
        <v>#N/A</v>
      </c>
    </row>
    <row r="61" spans="1:28">
      <c r="A61" s="5" t="str">
        <f>'Plant loading'!A98</f>
        <v>Cardiff</v>
      </c>
      <c r="B61" s="5" t="str">
        <f>'Plant loading'!B98</f>
        <v>PEECF</v>
      </c>
      <c r="C61" s="5">
        <f>'Plant loading'!E98</f>
        <v>200</v>
      </c>
      <c r="D61" s="10">
        <f>'Plant loading'!H98</f>
        <v>18</v>
      </c>
      <c r="E61" s="5">
        <f t="shared" si="27"/>
        <v>11.111111111111111</v>
      </c>
      <c r="F61" s="5">
        <f t="shared" si="23"/>
        <v>605.55555555555554</v>
      </c>
      <c r="G61" s="16">
        <f t="shared" si="18"/>
        <v>88.516235330546522</v>
      </c>
      <c r="H61">
        <f t="shared" si="22"/>
        <v>12.15173034897043</v>
      </c>
      <c r="I61" s="76">
        <f t="shared" si="24"/>
        <v>11.772</v>
      </c>
      <c r="J61" s="76">
        <f t="shared" si="25"/>
        <v>0.37973034897042979</v>
      </c>
      <c r="K61" s="511">
        <f t="shared" si="19"/>
        <v>429.44312733624258</v>
      </c>
      <c r="L61" s="65"/>
      <c r="M61" s="65"/>
      <c r="N61" s="65"/>
      <c r="O61" s="65"/>
      <c r="P61" s="71">
        <f t="shared" si="11"/>
        <v>11.227</v>
      </c>
      <c r="Q61" s="71">
        <f t="shared" si="12"/>
        <v>0.92473034897042972</v>
      </c>
      <c r="R61" s="513">
        <f t="shared" si="21"/>
        <v>1045.7923473362423</v>
      </c>
    </row>
    <row r="62" spans="1:28">
      <c r="A62" s="5" t="str">
        <f>'Plant loading'!A99</f>
        <v>Carlisle</v>
      </c>
      <c r="B62" s="5" t="str">
        <f>'Plant loading'!B99</f>
        <v>PEACE</v>
      </c>
      <c r="C62" s="5">
        <f>'Plant loading'!E99</f>
        <v>396</v>
      </c>
      <c r="D62" s="10">
        <f>'Plant loading'!H99</f>
        <v>36</v>
      </c>
      <c r="E62" s="5">
        <f t="shared" si="27"/>
        <v>11</v>
      </c>
      <c r="F62" s="5">
        <f t="shared" si="23"/>
        <v>599.5</v>
      </c>
      <c r="G62" s="16">
        <f t="shared" si="18"/>
        <v>88.516235330546522</v>
      </c>
      <c r="H62">
        <f t="shared" si="22"/>
        <v>24.060426090961453</v>
      </c>
      <c r="I62" s="76">
        <f t="shared" si="24"/>
        <v>23.30856</v>
      </c>
      <c r="J62" s="76">
        <f t="shared" si="25"/>
        <v>0.75186609096145318</v>
      </c>
      <c r="K62" s="511">
        <f t="shared" si="19"/>
        <v>850.29739212576271</v>
      </c>
      <c r="L62" s="65"/>
      <c r="M62" s="65"/>
      <c r="N62" s="65"/>
      <c r="O62" s="65"/>
      <c r="P62" s="71">
        <f t="shared" si="11"/>
        <v>22.22946</v>
      </c>
      <c r="Q62" s="71">
        <f t="shared" si="12"/>
        <v>1.8309660909614536</v>
      </c>
      <c r="R62" s="513">
        <f t="shared" si="21"/>
        <v>2070.668847725763</v>
      </c>
    </row>
    <row r="63" spans="1:28">
      <c r="A63" s="5" t="str">
        <f>'Plant loading'!A100</f>
        <v>Carlisle</v>
      </c>
      <c r="B63" s="5" t="str">
        <f>'Plant loading'!B100</f>
        <v>PEBCE</v>
      </c>
      <c r="C63" s="5">
        <f>'Plant loading'!E100</f>
        <v>447</v>
      </c>
      <c r="D63" s="10">
        <f>'Plant loading'!H100</f>
        <v>36</v>
      </c>
      <c r="E63" s="5">
        <f t="shared" si="27"/>
        <v>12.416666666666666</v>
      </c>
      <c r="F63" s="5">
        <f t="shared" si="23"/>
        <v>676.70833333333326</v>
      </c>
      <c r="G63" s="16">
        <f t="shared" si="18"/>
        <v>88.516235330546522</v>
      </c>
      <c r="H63">
        <f t="shared" si="22"/>
        <v>27.159117329948913</v>
      </c>
      <c r="I63" s="76">
        <f t="shared" si="24"/>
        <v>26.310420000000001</v>
      </c>
      <c r="J63" s="76">
        <f t="shared" si="25"/>
        <v>0.84869732994891223</v>
      </c>
      <c r="K63" s="511">
        <f t="shared" si="19"/>
        <v>959.80538959650391</v>
      </c>
      <c r="L63" s="65"/>
      <c r="M63" s="65"/>
      <c r="N63" s="65"/>
      <c r="O63" s="65"/>
      <c r="P63" s="71">
        <f t="shared" si="11"/>
        <v>25.092345000000002</v>
      </c>
      <c r="Q63" s="71">
        <f t="shared" si="12"/>
        <v>2.0667723299489111</v>
      </c>
      <c r="R63" s="513">
        <f t="shared" si="21"/>
        <v>2337.3458962965024</v>
      </c>
    </row>
    <row r="64" spans="1:28">
      <c r="A64" s="5" t="str">
        <f>'Plant loading'!A101</f>
        <v>Croydon</v>
      </c>
      <c r="B64" s="5" t="str">
        <f>'Plant loading'!B101</f>
        <v>PEFCN</v>
      </c>
      <c r="C64" s="5">
        <f>'Plant loading'!E101</f>
        <v>256</v>
      </c>
      <c r="D64" s="10">
        <f>'Plant loading'!H101</f>
        <v>36</v>
      </c>
      <c r="E64" s="5">
        <f t="shared" si="27"/>
        <v>7.1111111111111107</v>
      </c>
      <c r="F64" s="5">
        <f t="shared" si="23"/>
        <v>387.55555555555554</v>
      </c>
      <c r="G64" s="16">
        <f t="shared" si="18"/>
        <v>82.073224256292889</v>
      </c>
      <c r="H64">
        <f t="shared" si="22"/>
        <v>16.453143751762017</v>
      </c>
      <c r="I64" s="76">
        <f t="shared" si="24"/>
        <v>15.068160000000002</v>
      </c>
      <c r="J64" s="76">
        <f t="shared" si="25"/>
        <v>1.3849837517620145</v>
      </c>
      <c r="K64" s="511">
        <f t="shared" si="19"/>
        <v>1566.3002846076904</v>
      </c>
      <c r="L64" s="65"/>
      <c r="M64" s="65"/>
      <c r="N64" s="65"/>
      <c r="O64" s="65"/>
      <c r="P64" s="71">
        <f t="shared" si="11"/>
        <v>14.370559999999999</v>
      </c>
      <c r="Q64" s="71">
        <f t="shared" si="12"/>
        <v>2.0825837517620176</v>
      </c>
      <c r="R64" s="513">
        <f t="shared" si="21"/>
        <v>2355.2272862076939</v>
      </c>
    </row>
    <row r="65" spans="1:18">
      <c r="A65" s="5" t="str">
        <f>'Plant loading'!A102</f>
        <v>Croydon</v>
      </c>
      <c r="B65" s="5" t="str">
        <f>'Plant loading'!B102</f>
        <v>PEGCN</v>
      </c>
      <c r="C65" s="5">
        <f>'Plant loading'!E102</f>
        <v>348</v>
      </c>
      <c r="D65" s="10">
        <f>'Plant loading'!H102</f>
        <v>36</v>
      </c>
      <c r="E65" s="5">
        <f t="shared" si="27"/>
        <v>9.6666666666666661</v>
      </c>
      <c r="F65" s="5">
        <f t="shared" si="23"/>
        <v>526.83333333333326</v>
      </c>
      <c r="G65" s="16">
        <f t="shared" si="18"/>
        <v>82.073224256292889</v>
      </c>
      <c r="H65">
        <f t="shared" si="22"/>
        <v>22.365992287551489</v>
      </c>
      <c r="I65" s="76">
        <f t="shared" si="24"/>
        <v>20.483280000000004</v>
      </c>
      <c r="J65" s="76">
        <f t="shared" si="25"/>
        <v>1.8827122875514846</v>
      </c>
      <c r="K65" s="511">
        <f t="shared" si="19"/>
        <v>2129.1894493885748</v>
      </c>
      <c r="L65" s="65"/>
      <c r="M65" s="65"/>
      <c r="N65" s="65"/>
      <c r="O65" s="65"/>
      <c r="P65" s="71">
        <f t="shared" si="11"/>
        <v>19.534980000000001</v>
      </c>
      <c r="Q65" s="71">
        <f t="shared" si="12"/>
        <v>2.8310122875514878</v>
      </c>
      <c r="R65" s="513">
        <f t="shared" si="21"/>
        <v>3201.6370921885782</v>
      </c>
    </row>
    <row r="66" spans="1:18">
      <c r="A66" s="5" t="str">
        <f>'Plant loading'!A103</f>
        <v>Glasgow TXO</v>
      </c>
      <c r="B66" s="5" t="str">
        <f>'Plant loading'!B103</f>
        <v>PEJGW</v>
      </c>
      <c r="C66" s="5">
        <f>'Plant loading'!E103</f>
        <v>89</v>
      </c>
      <c r="D66" s="10">
        <f>'Plant loading'!H103</f>
        <v>9</v>
      </c>
      <c r="E66" s="5">
        <f t="shared" si="27"/>
        <v>9.8888888888888893</v>
      </c>
      <c r="F66" s="5">
        <f t="shared" si="23"/>
        <v>538.94444444444446</v>
      </c>
      <c r="G66" s="16">
        <f>CHOOSE(MATCH(F66,N$96:N$107,1),O$96,O$97,O$98,O$99,O$100,O$101,O$102,O$103,O$104,O$105,O$106,O$107)</f>
        <v>93</v>
      </c>
      <c r="H66">
        <f t="shared" si="22"/>
        <v>5.1900349999999991</v>
      </c>
      <c r="I66" s="76">
        <f t="shared" si="24"/>
        <v>5.2385399999999995</v>
      </c>
      <c r="J66" s="76">
        <f t="shared" si="25"/>
        <v>-4.8505000000000464E-2</v>
      </c>
      <c r="K66" s="511">
        <f t="shared" ref="K66:K86" si="28">(J66*24*365)*$V$18</f>
        <v>-54.855080580000525</v>
      </c>
      <c r="L66" s="65"/>
      <c r="M66" s="65"/>
      <c r="N66" s="65"/>
      <c r="O66" s="65"/>
      <c r="P66" s="71">
        <f t="shared" si="11"/>
        <v>4.9960150000000008</v>
      </c>
      <c r="Q66" s="71">
        <f t="shared" si="12"/>
        <v>0.1940199999999983</v>
      </c>
      <c r="R66" s="513">
        <f t="shared" ref="R66:R86" si="29">(Q66*24*365)*$V$18</f>
        <v>219.42032231999806</v>
      </c>
    </row>
    <row r="67" spans="1:18">
      <c r="A67" s="5" t="str">
        <f>'Plant loading'!A104</f>
        <v>Glasgow TXO</v>
      </c>
      <c r="B67" s="5" t="str">
        <f>'Plant loading'!B104</f>
        <v>PEKGW</v>
      </c>
      <c r="C67" s="5">
        <f>'Plant loading'!E104</f>
        <v>86</v>
      </c>
      <c r="D67" s="10">
        <f>'Plant loading'!H104</f>
        <v>9</v>
      </c>
      <c r="E67" s="5">
        <f t="shared" si="27"/>
        <v>9.5555555555555554</v>
      </c>
      <c r="F67" s="5">
        <f t="shared" si="23"/>
        <v>520.77777777777771</v>
      </c>
      <c r="G67" s="16">
        <f>CHOOSE(MATCH(F67,N$96:N$107,1),O$96,O$97,O$98,O$99,O$100,O$101,O$102,O$103,O$104,O$105,O$106,O$107)</f>
        <v>91</v>
      </c>
      <c r="H67">
        <f t="shared" si="22"/>
        <v>5.1088299999999993</v>
      </c>
      <c r="I67" s="76">
        <f t="shared" si="24"/>
        <v>5.06196</v>
      </c>
      <c r="J67" s="76">
        <f t="shared" si="25"/>
        <v>4.6869999999999301E-2</v>
      </c>
      <c r="K67" s="511">
        <f t="shared" si="28"/>
        <v>53.006032919999207</v>
      </c>
      <c r="L67" s="65"/>
      <c r="M67" s="65"/>
      <c r="N67" s="65"/>
      <c r="O67" s="65"/>
      <c r="P67" s="71">
        <f t="shared" ref="P67:P86" si="30">((($D67*$E67)*54.5)*(1+(1-0.97))/1000)</f>
        <v>4.82761</v>
      </c>
      <c r="Q67" s="71">
        <f t="shared" ref="Q67:Q86" si="31">H67-P67</f>
        <v>0.28121999999999936</v>
      </c>
      <c r="R67" s="513">
        <f t="shared" si="29"/>
        <v>318.03619751999929</v>
      </c>
    </row>
    <row r="68" spans="1:18">
      <c r="A68" s="5" t="e">
        <f>'Plant loading'!#REF!</f>
        <v>#REF!</v>
      </c>
      <c r="B68" s="5" t="e">
        <f>'Plant loading'!#REF!</f>
        <v>#REF!</v>
      </c>
      <c r="C68" s="5" t="e">
        <f>'Plant loading'!#REF!</f>
        <v>#REF!</v>
      </c>
      <c r="D68" s="10" t="e">
        <f>'Plant loading'!#REF!</f>
        <v>#REF!</v>
      </c>
      <c r="E68" s="5" t="e">
        <f t="shared" si="27"/>
        <v>#REF!</v>
      </c>
      <c r="F68" s="5" t="e">
        <f t="shared" si="23"/>
        <v>#REF!</v>
      </c>
      <c r="G68" s="16" t="e">
        <f t="shared" ref="G68:G86" si="32">CHOOSE(MATCH(F68,W$3:W$14,1),X$3,X$4,X$5,X$6,X$7,X$8,X$9,X$10,X$11,X$12,X$13,X$14)</f>
        <v>#REF!</v>
      </c>
      <c r="H68">
        <v>0</v>
      </c>
      <c r="I68" s="76">
        <v>0</v>
      </c>
      <c r="J68" s="76">
        <f t="shared" si="25"/>
        <v>0</v>
      </c>
      <c r="K68" s="511">
        <f t="shared" si="28"/>
        <v>0</v>
      </c>
      <c r="L68" s="65"/>
      <c r="M68" s="65"/>
      <c r="N68" s="65"/>
      <c r="O68" s="65"/>
      <c r="P68" s="71">
        <v>0</v>
      </c>
      <c r="Q68" s="71">
        <f t="shared" si="31"/>
        <v>0</v>
      </c>
      <c r="R68" s="513">
        <f t="shared" si="29"/>
        <v>0</v>
      </c>
    </row>
    <row r="69" spans="1:18">
      <c r="A69" s="5" t="e">
        <f>'Plant loading'!#REF!</f>
        <v>#REF!</v>
      </c>
      <c r="B69" s="5" t="e">
        <f>'Plant loading'!#REF!</f>
        <v>#REF!</v>
      </c>
      <c r="C69" s="5" t="e">
        <f>'Plant loading'!#REF!</f>
        <v>#REF!</v>
      </c>
      <c r="D69" s="10" t="e">
        <f>'Plant loading'!#REF!</f>
        <v>#REF!</v>
      </c>
      <c r="E69" s="5" t="e">
        <f t="shared" si="27"/>
        <v>#REF!</v>
      </c>
      <c r="F69" s="5" t="e">
        <f t="shared" si="23"/>
        <v>#REF!</v>
      </c>
      <c r="G69" s="16" t="e">
        <f t="shared" si="32"/>
        <v>#REF!</v>
      </c>
      <c r="H69" t="e">
        <f t="shared" ref="H69:H86" si="33">((($D69*$E69)*54.5)*(1+(1-(G69/100)))/1000)</f>
        <v>#REF!</v>
      </c>
      <c r="I69" s="76" t="e">
        <f t="shared" si="24"/>
        <v>#REF!</v>
      </c>
      <c r="J69" s="76" t="e">
        <f t="shared" si="25"/>
        <v>#REF!</v>
      </c>
      <c r="K69" s="511" t="e">
        <f t="shared" si="28"/>
        <v>#REF!</v>
      </c>
      <c r="L69" s="65"/>
      <c r="M69" s="65"/>
      <c r="N69" s="65"/>
      <c r="O69" s="65"/>
      <c r="P69" s="71" t="e">
        <f t="shared" si="30"/>
        <v>#REF!</v>
      </c>
      <c r="Q69" s="71" t="e">
        <f t="shared" si="31"/>
        <v>#REF!</v>
      </c>
      <c r="R69" s="513" t="e">
        <f t="shared" si="29"/>
        <v>#REF!</v>
      </c>
    </row>
    <row r="70" spans="1:18">
      <c r="A70" s="5" t="e">
        <f>'Plant loading'!#REF!</f>
        <v>#REF!</v>
      </c>
      <c r="B70" s="5" t="e">
        <f>'Plant loading'!#REF!</f>
        <v>#REF!</v>
      </c>
      <c r="C70" s="5" t="e">
        <f>'Plant loading'!#REF!</f>
        <v>#REF!</v>
      </c>
      <c r="D70" s="10" t="e">
        <f>'Plant loading'!#REF!</f>
        <v>#REF!</v>
      </c>
      <c r="E70" s="5" t="e">
        <f t="shared" si="27"/>
        <v>#REF!</v>
      </c>
      <c r="F70" s="5" t="e">
        <f t="shared" si="23"/>
        <v>#REF!</v>
      </c>
      <c r="G70" s="16" t="e">
        <f t="shared" si="32"/>
        <v>#REF!</v>
      </c>
      <c r="H70" t="e">
        <f t="shared" si="33"/>
        <v>#REF!</v>
      </c>
      <c r="I70" s="76" t="e">
        <f t="shared" si="24"/>
        <v>#REF!</v>
      </c>
      <c r="J70" s="76" t="e">
        <f t="shared" si="25"/>
        <v>#REF!</v>
      </c>
      <c r="K70" s="511" t="e">
        <f t="shared" si="28"/>
        <v>#REF!</v>
      </c>
      <c r="L70" s="65"/>
      <c r="M70" s="65"/>
      <c r="N70" s="65"/>
      <c r="O70" s="65"/>
      <c r="P70" s="71" t="e">
        <f t="shared" si="30"/>
        <v>#REF!</v>
      </c>
      <c r="Q70" s="71" t="e">
        <f t="shared" si="31"/>
        <v>#REF!</v>
      </c>
      <c r="R70" s="513" t="e">
        <f t="shared" si="29"/>
        <v>#REF!</v>
      </c>
    </row>
    <row r="71" spans="1:18">
      <c r="A71" s="5" t="e">
        <f>'Plant loading'!#REF!</f>
        <v>#REF!</v>
      </c>
      <c r="B71" s="5" t="e">
        <f>'Plant loading'!#REF!</f>
        <v>#REF!</v>
      </c>
      <c r="C71" s="5" t="e">
        <f>'Plant loading'!#REF!</f>
        <v>#REF!</v>
      </c>
      <c r="D71" s="10" t="e">
        <f>'Plant loading'!#REF!</f>
        <v>#REF!</v>
      </c>
      <c r="E71" s="5" t="e">
        <f t="shared" si="27"/>
        <v>#REF!</v>
      </c>
      <c r="F71" s="5" t="e">
        <f t="shared" si="23"/>
        <v>#REF!</v>
      </c>
      <c r="G71" s="16" t="e">
        <f t="shared" si="32"/>
        <v>#REF!</v>
      </c>
      <c r="H71" t="e">
        <f t="shared" si="33"/>
        <v>#REF!</v>
      </c>
      <c r="I71" s="76" t="e">
        <f t="shared" si="24"/>
        <v>#REF!</v>
      </c>
      <c r="J71" s="76" t="e">
        <f t="shared" si="25"/>
        <v>#REF!</v>
      </c>
      <c r="K71" s="511" t="e">
        <f t="shared" si="28"/>
        <v>#REF!</v>
      </c>
      <c r="L71" s="65"/>
      <c r="M71" s="65"/>
      <c r="N71" s="65"/>
      <c r="O71" s="65"/>
      <c r="P71" s="71" t="e">
        <f t="shared" si="30"/>
        <v>#REF!</v>
      </c>
      <c r="Q71" s="71" t="e">
        <f t="shared" si="31"/>
        <v>#REF!</v>
      </c>
      <c r="R71" s="513" t="e">
        <f t="shared" si="29"/>
        <v>#REF!</v>
      </c>
    </row>
    <row r="72" spans="1:18">
      <c r="A72" s="5" t="str">
        <f>'Plant loading'!A105</f>
        <v>Leicester</v>
      </c>
      <c r="B72" s="5" t="str">
        <f>'Plant loading'!B105</f>
        <v>PEFLR</v>
      </c>
      <c r="C72" s="5">
        <f>'Plant loading'!E105</f>
        <v>606</v>
      </c>
      <c r="D72" s="10">
        <f>'Plant loading'!H105</f>
        <v>36</v>
      </c>
      <c r="E72" s="5">
        <f t="shared" si="27"/>
        <v>16.833333333333332</v>
      </c>
      <c r="F72" s="5">
        <f t="shared" si="23"/>
        <v>917.41666666666663</v>
      </c>
      <c r="G72" s="16">
        <f t="shared" si="32"/>
        <v>90.745146605757995</v>
      </c>
      <c r="H72">
        <f t="shared" si="33"/>
        <v>36.083600430516299</v>
      </c>
      <c r="I72" s="76">
        <f t="shared" si="24"/>
        <v>35.669160000000005</v>
      </c>
      <c r="J72" s="76">
        <f t="shared" si="25"/>
        <v>0.41444043051629365</v>
      </c>
      <c r="K72" s="511">
        <f t="shared" si="28"/>
        <v>468.69731391776475</v>
      </c>
      <c r="L72" s="65"/>
      <c r="M72" s="65"/>
      <c r="N72" s="65"/>
      <c r="O72" s="65"/>
      <c r="P72" s="71">
        <f t="shared" si="30"/>
        <v>34.017809999999997</v>
      </c>
      <c r="Q72" s="71">
        <f t="shared" si="31"/>
        <v>2.0657904305163015</v>
      </c>
      <c r="R72" s="513">
        <f t="shared" si="29"/>
        <v>2336.2354505177736</v>
      </c>
    </row>
    <row r="73" spans="1:18">
      <c r="A73" s="5" t="str">
        <f>'Plant loading'!A106</f>
        <v>Leicester</v>
      </c>
      <c r="B73" s="5" t="str">
        <f>'Plant loading'!B106</f>
        <v>PEGLR</v>
      </c>
      <c r="C73" s="5">
        <f>'Plant loading'!E106</f>
        <v>515</v>
      </c>
      <c r="D73" s="10">
        <f>'Plant loading'!H106</f>
        <v>36</v>
      </c>
      <c r="E73" s="5">
        <f t="shared" si="27"/>
        <v>14.305555555555555</v>
      </c>
      <c r="F73" s="5">
        <f t="shared" si="23"/>
        <v>779.65277777777771</v>
      </c>
      <c r="G73" s="16">
        <f t="shared" si="32"/>
        <v>88.516235330546522</v>
      </c>
      <c r="H73">
        <f t="shared" si="33"/>
        <v>31.290705648598859</v>
      </c>
      <c r="I73" s="76">
        <f t="shared" si="24"/>
        <v>30.312900000000003</v>
      </c>
      <c r="J73" s="76">
        <f t="shared" si="25"/>
        <v>0.97780564859885644</v>
      </c>
      <c r="K73" s="511">
        <f t="shared" si="28"/>
        <v>1105.8160528908243</v>
      </c>
      <c r="L73" s="65"/>
      <c r="M73" s="65"/>
      <c r="N73" s="65"/>
      <c r="O73" s="65"/>
      <c r="P73" s="71">
        <f t="shared" si="30"/>
        <v>28.909525000000002</v>
      </c>
      <c r="Q73" s="71">
        <f t="shared" si="31"/>
        <v>2.3811806485988569</v>
      </c>
      <c r="R73" s="513">
        <f t="shared" si="29"/>
        <v>2692.9152943908248</v>
      </c>
    </row>
    <row r="74" spans="1:18">
      <c r="A74" s="5" t="str">
        <f>'Plant loading'!A107</f>
        <v>Newbury</v>
      </c>
      <c r="B74" s="5" t="str">
        <f>'Plant loading'!B107</f>
        <v>PEGNY</v>
      </c>
      <c r="C74" s="5">
        <f>'Plant loading'!E107</f>
        <v>317</v>
      </c>
      <c r="D74" s="10">
        <f>'Plant loading'!H107</f>
        <v>36</v>
      </c>
      <c r="E74" s="5">
        <f t="shared" si="27"/>
        <v>8.8055555555555554</v>
      </c>
      <c r="F74" s="5">
        <f t="shared" si="23"/>
        <v>479.90277777777777</v>
      </c>
      <c r="G74" s="16">
        <f t="shared" si="32"/>
        <v>82.073224256292889</v>
      </c>
      <c r="H74">
        <f t="shared" si="33"/>
        <v>20.37361941136156</v>
      </c>
      <c r="I74" s="76">
        <f t="shared" si="24"/>
        <v>18.658620000000003</v>
      </c>
      <c r="J74" s="76">
        <f t="shared" si="25"/>
        <v>1.714999411361557</v>
      </c>
      <c r="K74" s="511">
        <f t="shared" si="28"/>
        <v>1939.5202742993665</v>
      </c>
      <c r="L74" s="65"/>
      <c r="M74" s="65"/>
      <c r="N74" s="65"/>
      <c r="O74" s="65"/>
      <c r="P74" s="71">
        <f t="shared" si="30"/>
        <v>17.794795000000001</v>
      </c>
      <c r="Q74" s="71">
        <f t="shared" si="31"/>
        <v>2.578824411361559</v>
      </c>
      <c r="R74" s="513">
        <f t="shared" si="29"/>
        <v>2916.4337879993686</v>
      </c>
    </row>
    <row r="75" spans="1:18">
      <c r="A75" s="5" t="str">
        <f>'Plant loading'!A108</f>
        <v>Newbury</v>
      </c>
      <c r="B75" s="5" t="str">
        <f>'Plant loading'!B108</f>
        <v>PEHNY</v>
      </c>
      <c r="C75" s="5">
        <f>'Plant loading'!E108</f>
        <v>293</v>
      </c>
      <c r="D75" s="10">
        <f>'Plant loading'!H108</f>
        <v>36</v>
      </c>
      <c r="E75" s="5">
        <f t="shared" si="27"/>
        <v>8.1388888888888893</v>
      </c>
      <c r="F75" s="5">
        <f t="shared" si="23"/>
        <v>443.56944444444446</v>
      </c>
      <c r="G75" s="16">
        <f t="shared" si="32"/>
        <v>82.073224256292889</v>
      </c>
      <c r="H75">
        <f t="shared" si="33"/>
        <v>18.831137184633871</v>
      </c>
      <c r="I75" s="76">
        <f t="shared" si="24"/>
        <v>17.245979999999999</v>
      </c>
      <c r="J75" s="76">
        <f t="shared" si="25"/>
        <v>1.5851571846338715</v>
      </c>
      <c r="K75" s="511">
        <f t="shared" si="28"/>
        <v>1792.6796226173992</v>
      </c>
      <c r="L75" s="65"/>
      <c r="M75" s="65"/>
      <c r="N75" s="65"/>
      <c r="O75" s="65"/>
      <c r="P75" s="71">
        <f t="shared" si="30"/>
        <v>16.447555000000001</v>
      </c>
      <c r="Q75" s="71">
        <f t="shared" si="31"/>
        <v>2.3835821846338696</v>
      </c>
      <c r="R75" s="513">
        <f t="shared" si="29"/>
        <v>2695.6312299173974</v>
      </c>
    </row>
    <row r="76" spans="1:18">
      <c r="A76" s="5" t="str">
        <f>'Plant loading'!A109</f>
        <v>Newcastle</v>
      </c>
      <c r="B76" s="5" t="str">
        <f>'Plant loading'!B109</f>
        <v>PEENE</v>
      </c>
      <c r="C76" s="5">
        <f>'Plant loading'!E109</f>
        <v>285</v>
      </c>
      <c r="D76" s="10">
        <f>'Plant loading'!H109</f>
        <v>36</v>
      </c>
      <c r="E76" s="5">
        <f t="shared" si="27"/>
        <v>7.916666666666667</v>
      </c>
      <c r="F76" s="5">
        <f t="shared" si="23"/>
        <v>431.45833333333337</v>
      </c>
      <c r="G76" s="16">
        <f t="shared" si="32"/>
        <v>82.073224256292889</v>
      </c>
      <c r="H76">
        <f t="shared" si="33"/>
        <v>18.316976442391308</v>
      </c>
      <c r="I76" s="76">
        <f t="shared" si="24"/>
        <v>16.775100000000002</v>
      </c>
      <c r="J76" s="76">
        <f t="shared" si="25"/>
        <v>1.5418764423913061</v>
      </c>
      <c r="K76" s="511">
        <f t="shared" si="28"/>
        <v>1743.7327387234063</v>
      </c>
      <c r="L76" s="65"/>
      <c r="M76" s="65"/>
      <c r="N76" s="65"/>
      <c r="O76" s="65"/>
      <c r="P76" s="71">
        <f t="shared" si="30"/>
        <v>15.998475000000001</v>
      </c>
      <c r="Q76" s="71">
        <f t="shared" si="31"/>
        <v>2.3185014423913071</v>
      </c>
      <c r="R76" s="513">
        <f t="shared" si="29"/>
        <v>2622.0303772234074</v>
      </c>
    </row>
    <row r="77" spans="1:18">
      <c r="A77" s="5" t="str">
        <f>'Plant loading'!A110</f>
        <v>Newcastle</v>
      </c>
      <c r="B77" s="5" t="str">
        <f>'Plant loading'!B110</f>
        <v>PEFNE</v>
      </c>
      <c r="C77" s="5">
        <f>'Plant loading'!E110</f>
        <v>371</v>
      </c>
      <c r="D77" s="10">
        <f>'Plant loading'!H110</f>
        <v>36</v>
      </c>
      <c r="E77" s="5">
        <f t="shared" si="27"/>
        <v>10.305555555555555</v>
      </c>
      <c r="F77" s="5">
        <f t="shared" si="23"/>
        <v>561.65277777777771</v>
      </c>
      <c r="G77" s="16">
        <f t="shared" si="32"/>
        <v>82.073224256292889</v>
      </c>
      <c r="H77">
        <f t="shared" si="33"/>
        <v>23.844204421498858</v>
      </c>
      <c r="I77" s="76">
        <f t="shared" si="24"/>
        <v>21.837060000000001</v>
      </c>
      <c r="J77" s="76">
        <f t="shared" si="25"/>
        <v>2.0071444214988574</v>
      </c>
      <c r="K77" s="511">
        <f t="shared" si="28"/>
        <v>2269.9117405838015</v>
      </c>
      <c r="L77" s="65"/>
      <c r="M77" s="65"/>
      <c r="N77" s="65"/>
      <c r="O77" s="65"/>
      <c r="P77" s="71">
        <f t="shared" si="30"/>
        <v>20.826084999999999</v>
      </c>
      <c r="Q77" s="71">
        <f t="shared" si="31"/>
        <v>3.0181194214988594</v>
      </c>
      <c r="R77" s="513">
        <f t="shared" si="29"/>
        <v>3413.2395436838037</v>
      </c>
    </row>
    <row r="78" spans="1:18">
      <c r="A78" s="5" t="str">
        <f>'Plant loading'!A111</f>
        <v>Newcastle</v>
      </c>
      <c r="B78" s="5" t="str">
        <f>'Plant loading'!B111</f>
        <v>PEGNE</v>
      </c>
      <c r="C78" s="5">
        <f>'Plant loading'!E111</f>
        <v>150</v>
      </c>
      <c r="D78" s="10">
        <f>'Plant loading'!H111</f>
        <v>18</v>
      </c>
      <c r="E78" s="5">
        <f t="shared" si="27"/>
        <v>8.3333333333333339</v>
      </c>
      <c r="F78" s="5">
        <f t="shared" si="23"/>
        <v>454.16666666666669</v>
      </c>
      <c r="G78" s="16">
        <f t="shared" si="32"/>
        <v>82.073224256292889</v>
      </c>
      <c r="H78">
        <f t="shared" si="33"/>
        <v>9.6405139170480556</v>
      </c>
      <c r="I78" s="76">
        <f t="shared" si="24"/>
        <v>8.8290000000000006</v>
      </c>
      <c r="J78" s="76">
        <f t="shared" si="25"/>
        <v>0.81151391704805498</v>
      </c>
      <c r="K78" s="511">
        <f t="shared" si="28"/>
        <v>917.75407301231814</v>
      </c>
      <c r="L78" s="65"/>
      <c r="M78" s="65"/>
      <c r="N78" s="65"/>
      <c r="O78" s="65"/>
      <c r="P78" s="71">
        <f t="shared" si="30"/>
        <v>8.4202499999999993</v>
      </c>
      <c r="Q78" s="71">
        <f t="shared" si="31"/>
        <v>1.2202639170480563</v>
      </c>
      <c r="R78" s="513">
        <f t="shared" si="29"/>
        <v>1380.0159880123197</v>
      </c>
    </row>
    <row r="79" spans="1:18">
      <c r="A79" s="5" t="str">
        <f>'Plant loading'!A112</f>
        <v>Oxford</v>
      </c>
      <c r="B79" s="5" t="str">
        <f>'Plant loading'!B112</f>
        <v>PECOD</v>
      </c>
      <c r="C79" s="5">
        <f>'Plant loading'!E112</f>
        <v>213</v>
      </c>
      <c r="D79" s="10">
        <f>'Plant loading'!H112</f>
        <v>36</v>
      </c>
      <c r="E79" s="5">
        <f t="shared" si="27"/>
        <v>5.916666666666667</v>
      </c>
      <c r="F79" s="5">
        <f t="shared" si="23"/>
        <v>322.45833333333337</v>
      </c>
      <c r="G79" s="16">
        <f t="shared" si="32"/>
        <v>82.073224256292889</v>
      </c>
      <c r="H79">
        <f t="shared" si="33"/>
        <v>13.68952976220824</v>
      </c>
      <c r="I79" s="76">
        <f t="shared" si="24"/>
        <v>12.537180000000001</v>
      </c>
      <c r="J79" s="76">
        <f t="shared" si="25"/>
        <v>1.1523497622082388</v>
      </c>
      <c r="K79" s="511">
        <f t="shared" si="28"/>
        <v>1303.2107836774924</v>
      </c>
      <c r="L79" s="65"/>
      <c r="M79" s="65"/>
      <c r="N79" s="65"/>
      <c r="O79" s="65"/>
      <c r="P79" s="71">
        <f t="shared" si="30"/>
        <v>11.956755000000001</v>
      </c>
      <c r="Q79" s="71">
        <f t="shared" si="31"/>
        <v>1.7327747622082388</v>
      </c>
      <c r="R79" s="513">
        <f t="shared" si="29"/>
        <v>1959.6227029774925</v>
      </c>
    </row>
    <row r="80" spans="1:18">
      <c r="A80" s="5" t="str">
        <f>'Plant loading'!A113</f>
        <v>Oxford</v>
      </c>
      <c r="B80" s="5" t="str">
        <f>'Plant loading'!B113</f>
        <v>PEFOD</v>
      </c>
      <c r="C80" s="5">
        <f>'Plant loading'!E113</f>
        <v>138</v>
      </c>
      <c r="D80" s="10">
        <f>'Plant loading'!H113</f>
        <v>30</v>
      </c>
      <c r="E80" s="5">
        <f t="shared" si="27"/>
        <v>4.5999999999999996</v>
      </c>
      <c r="F80" s="5">
        <f t="shared" si="23"/>
        <v>250.7</v>
      </c>
      <c r="G80" s="16">
        <f t="shared" si="32"/>
        <v>74.913200520833314</v>
      </c>
      <c r="H80">
        <f t="shared" si="33"/>
        <v>9.4077781888281269</v>
      </c>
      <c r="I80" s="76">
        <f t="shared" si="24"/>
        <v>8.1226800000000008</v>
      </c>
      <c r="J80" s="76">
        <f t="shared" si="25"/>
        <v>1.2850981888281261</v>
      </c>
      <c r="K80" s="511">
        <f t="shared" si="28"/>
        <v>1453.3381033167489</v>
      </c>
      <c r="L80" s="65"/>
      <c r="M80" s="65"/>
      <c r="N80" s="65"/>
      <c r="O80" s="65"/>
      <c r="P80" s="71">
        <f t="shared" si="30"/>
        <v>7.7466299999999997</v>
      </c>
      <c r="Q80" s="71">
        <f t="shared" si="31"/>
        <v>1.6611481888281272</v>
      </c>
      <c r="R80" s="513">
        <f t="shared" si="29"/>
        <v>1878.6190651167501</v>
      </c>
    </row>
    <row r="81" spans="1:18">
      <c r="A81" s="5" t="str">
        <f>'Plant loading'!A114</f>
        <v>Stafford</v>
      </c>
      <c r="B81" s="5" t="str">
        <f>'Plant loading'!B114</f>
        <v>PEESD</v>
      </c>
      <c r="C81" s="5">
        <f>'Plant loading'!E114</f>
        <v>390</v>
      </c>
      <c r="D81" s="10">
        <f>'Plant loading'!H114</f>
        <v>36</v>
      </c>
      <c r="E81" s="5">
        <f t="shared" si="27"/>
        <v>10.833333333333334</v>
      </c>
      <c r="F81" s="5">
        <f t="shared" si="23"/>
        <v>590.41666666666674</v>
      </c>
      <c r="G81" s="16">
        <f t="shared" si="32"/>
        <v>88.516235330546522</v>
      </c>
      <c r="H81">
        <f t="shared" si="33"/>
        <v>23.695874180492339</v>
      </c>
      <c r="I81" s="76">
        <f t="shared" si="24"/>
        <v>22.955400000000001</v>
      </c>
      <c r="J81" s="76">
        <f t="shared" si="25"/>
        <v>0.74047418049233826</v>
      </c>
      <c r="K81" s="511">
        <f t="shared" si="28"/>
        <v>837.41409830567318</v>
      </c>
      <c r="L81" s="65"/>
      <c r="M81" s="65"/>
      <c r="N81" s="65"/>
      <c r="O81" s="65"/>
      <c r="P81" s="71">
        <f t="shared" si="30"/>
        <v>21.89265</v>
      </c>
      <c r="Q81" s="71">
        <f t="shared" si="31"/>
        <v>1.8032241804923395</v>
      </c>
      <c r="R81" s="513">
        <f t="shared" si="29"/>
        <v>2039.2950773056746</v>
      </c>
    </row>
    <row r="82" spans="1:18">
      <c r="A82" s="5" t="str">
        <f>'Plant loading'!A115</f>
        <v>Stafford</v>
      </c>
      <c r="B82" s="5" t="str">
        <f>'Plant loading'!B115</f>
        <v>PEGSD</v>
      </c>
      <c r="C82" s="5">
        <f>'Plant loading'!E115</f>
        <v>422</v>
      </c>
      <c r="D82" s="10">
        <f>'Plant loading'!H115</f>
        <v>36</v>
      </c>
      <c r="E82" s="5">
        <f t="shared" si="27"/>
        <v>11.722222222222221</v>
      </c>
      <c r="F82" s="5">
        <f t="shared" si="23"/>
        <v>638.86111111111109</v>
      </c>
      <c r="G82" s="16">
        <f t="shared" si="32"/>
        <v>88.516235330546522</v>
      </c>
      <c r="H82">
        <f t="shared" si="33"/>
        <v>25.640151036327605</v>
      </c>
      <c r="I82" s="76">
        <f t="shared" si="24"/>
        <v>24.838920000000002</v>
      </c>
      <c r="J82" s="76">
        <f t="shared" si="25"/>
        <v>0.80123103632760362</v>
      </c>
      <c r="K82" s="511">
        <f t="shared" si="28"/>
        <v>906.12499867946815</v>
      </c>
      <c r="L82" s="65"/>
      <c r="M82" s="65"/>
      <c r="N82" s="65"/>
      <c r="O82" s="65"/>
      <c r="P82" s="71">
        <f t="shared" si="30"/>
        <v>23.688970000000001</v>
      </c>
      <c r="Q82" s="71">
        <f t="shared" si="31"/>
        <v>1.9511810363276041</v>
      </c>
      <c r="R82" s="513">
        <f t="shared" si="29"/>
        <v>2206.6218528794684</v>
      </c>
    </row>
    <row r="83" spans="1:18">
      <c r="A83" s="5" t="str">
        <f>'Plant loading'!A116</f>
        <v>Warrington TXO</v>
      </c>
      <c r="B83" s="5" t="str">
        <f>'Plant loading'!B116</f>
        <v>PELWN</v>
      </c>
      <c r="C83" s="5">
        <f>'Plant loading'!E116</f>
        <v>208</v>
      </c>
      <c r="D83" s="10">
        <f>'Plant loading'!H116</f>
        <v>18</v>
      </c>
      <c r="E83" s="5">
        <f t="shared" si="27"/>
        <v>11.555555555555555</v>
      </c>
      <c r="F83" s="5">
        <f t="shared" si="23"/>
        <v>629.77777777777771</v>
      </c>
      <c r="G83" s="16">
        <f t="shared" si="32"/>
        <v>88.516235330546522</v>
      </c>
      <c r="H83">
        <f t="shared" si="33"/>
        <v>12.637799562929247</v>
      </c>
      <c r="I83" s="76">
        <f t="shared" si="24"/>
        <v>12.242880000000001</v>
      </c>
      <c r="J83" s="76">
        <f t="shared" si="25"/>
        <v>0.39491956292924613</v>
      </c>
      <c r="K83" s="511">
        <f t="shared" si="28"/>
        <v>446.6208524296913</v>
      </c>
      <c r="L83" s="65"/>
      <c r="M83" s="65"/>
      <c r="N83" s="65"/>
      <c r="O83" s="65"/>
      <c r="P83" s="71">
        <f t="shared" si="30"/>
        <v>11.676080000000001</v>
      </c>
      <c r="Q83" s="71">
        <f t="shared" si="31"/>
        <v>0.96171956292924676</v>
      </c>
      <c r="R83" s="513">
        <f t="shared" si="29"/>
        <v>1087.624041229692</v>
      </c>
    </row>
    <row r="84" spans="1:18">
      <c r="A84" s="5" t="str">
        <f>'Plant loading'!A117</f>
        <v>Warrington TXO</v>
      </c>
      <c r="B84" s="5" t="str">
        <f>'Plant loading'!B117</f>
        <v>PEMWN</v>
      </c>
      <c r="C84" s="5">
        <f>'Plant loading'!E117</f>
        <v>156</v>
      </c>
      <c r="D84" s="10">
        <f>'Plant loading'!H117</f>
        <v>18</v>
      </c>
      <c r="E84" s="5">
        <f t="shared" si="27"/>
        <v>8.6666666666666661</v>
      </c>
      <c r="F84" s="5">
        <f t="shared" si="23"/>
        <v>472.33333333333331</v>
      </c>
      <c r="G84" s="16">
        <f t="shared" si="32"/>
        <v>82.073224256292889</v>
      </c>
      <c r="H84">
        <f t="shared" si="33"/>
        <v>10.026134473729979</v>
      </c>
      <c r="I84" s="76">
        <f t="shared" si="24"/>
        <v>9.1821599999999997</v>
      </c>
      <c r="J84" s="76">
        <f t="shared" si="25"/>
        <v>0.84397447372997902</v>
      </c>
      <c r="K84" s="511">
        <f t="shared" si="28"/>
        <v>954.46423593281293</v>
      </c>
      <c r="L84" s="65"/>
      <c r="M84" s="65"/>
      <c r="N84" s="65"/>
      <c r="O84" s="65"/>
      <c r="P84" s="71">
        <f t="shared" si="30"/>
        <v>8.7570599999999992</v>
      </c>
      <c r="Q84" s="71">
        <f t="shared" si="31"/>
        <v>1.2690744737299795</v>
      </c>
      <c r="R84" s="513">
        <f t="shared" si="29"/>
        <v>1435.2166275328134</v>
      </c>
    </row>
    <row r="85" spans="1:18">
      <c r="A85" s="5" t="str">
        <f>'Plant loading'!A118</f>
        <v>Warrington TXO</v>
      </c>
      <c r="B85" s="5" t="str">
        <f>'Plant loading'!B118</f>
        <v>PENWN</v>
      </c>
      <c r="C85" s="5">
        <f>'Plant loading'!E118</f>
        <v>362</v>
      </c>
      <c r="D85" s="10">
        <f>'Plant loading'!H118</f>
        <v>18</v>
      </c>
      <c r="E85" s="5">
        <f t="shared" si="27"/>
        <v>20.111111111111111</v>
      </c>
      <c r="F85" s="5">
        <f t="shared" si="23"/>
        <v>1096.0555555555554</v>
      </c>
      <c r="G85" s="16">
        <f t="shared" si="32"/>
        <v>90.745146605757995</v>
      </c>
      <c r="H85">
        <f t="shared" si="33"/>
        <v>21.554890026150002</v>
      </c>
      <c r="I85" s="76">
        <f t="shared" si="24"/>
        <v>21.307320000000001</v>
      </c>
      <c r="J85" s="76">
        <f t="shared" si="25"/>
        <v>0.2475700261500009</v>
      </c>
      <c r="K85" s="511">
        <f t="shared" si="28"/>
        <v>279.98090369345437</v>
      </c>
      <c r="L85" s="65"/>
      <c r="M85" s="65"/>
      <c r="N85" s="65"/>
      <c r="O85" s="65"/>
      <c r="P85" s="71">
        <f t="shared" si="30"/>
        <v>20.320869999999999</v>
      </c>
      <c r="Q85" s="71">
        <f t="shared" si="31"/>
        <v>1.2340200261500023</v>
      </c>
      <c r="R85" s="513">
        <f t="shared" si="29"/>
        <v>1395.5729918934558</v>
      </c>
    </row>
    <row r="86" spans="1:18">
      <c r="A86" s="5" t="e">
        <f>'Plant loading'!#REF!</f>
        <v>#REF!</v>
      </c>
      <c r="B86" s="5" t="e">
        <f>'Plant loading'!#REF!</f>
        <v>#REF!</v>
      </c>
      <c r="C86" s="5" t="e">
        <f>'Plant loading'!#REF!</f>
        <v>#REF!</v>
      </c>
      <c r="D86" s="10" t="e">
        <f>'Plant loading'!#REF!</f>
        <v>#REF!</v>
      </c>
      <c r="E86" s="5" t="e">
        <f t="shared" si="27"/>
        <v>#REF!</v>
      </c>
      <c r="F86" s="5" t="e">
        <f t="shared" si="23"/>
        <v>#REF!</v>
      </c>
      <c r="G86" s="16" t="e">
        <f t="shared" si="32"/>
        <v>#REF!</v>
      </c>
      <c r="H86" t="e">
        <f t="shared" si="33"/>
        <v>#REF!</v>
      </c>
      <c r="I86" s="76" t="e">
        <f t="shared" si="24"/>
        <v>#REF!</v>
      </c>
      <c r="J86" s="76" t="e">
        <f t="shared" si="25"/>
        <v>#REF!</v>
      </c>
      <c r="K86" s="511" t="e">
        <f t="shared" si="28"/>
        <v>#REF!</v>
      </c>
      <c r="L86" s="65"/>
      <c r="M86" s="65"/>
      <c r="N86" s="65"/>
      <c r="O86" s="65"/>
      <c r="P86" s="71" t="e">
        <f t="shared" si="30"/>
        <v>#REF!</v>
      </c>
      <c r="Q86" s="71" t="e">
        <f t="shared" si="31"/>
        <v>#REF!</v>
      </c>
      <c r="R86" s="513" t="e">
        <f t="shared" si="29"/>
        <v>#REF!</v>
      </c>
    </row>
    <row r="87" spans="1:18">
      <c r="A87" s="5"/>
      <c r="H87" t="e">
        <f>SUM(H2:H86)</f>
        <v>#REF!</v>
      </c>
      <c r="I87" s="76" t="e">
        <f>SUM(I2:I86)</f>
        <v>#REF!</v>
      </c>
      <c r="J87" s="76" t="e">
        <f>SUM(J2:J86)</f>
        <v>#REF!</v>
      </c>
      <c r="K87" s="77" t="e">
        <f>SUM(K2:K86)</f>
        <v>#REF!</v>
      </c>
      <c r="L87" s="66"/>
      <c r="M87" s="66"/>
      <c r="N87" s="66"/>
      <c r="O87" s="66"/>
      <c r="P87" s="66"/>
      <c r="Q87" s="66"/>
    </row>
    <row r="88" spans="1:18">
      <c r="H88" s="65" t="e">
        <f>(H87*24*365)*0.09</f>
        <v>#REF!</v>
      </c>
      <c r="I88" s="65" t="e">
        <f>(I87*24*365)*0.09</f>
        <v>#REF!</v>
      </c>
      <c r="K88" s="46" t="e">
        <f>K87/H88</f>
        <v>#REF!</v>
      </c>
      <c r="L88" s="46"/>
      <c r="M88" s="46"/>
      <c r="N88" s="46"/>
      <c r="O88" s="46"/>
      <c r="P88" s="46"/>
      <c r="Q88" s="46"/>
    </row>
    <row r="94" spans="1:18" ht="40.9">
      <c r="B94" s="33" t="s">
        <v>580</v>
      </c>
      <c r="C94" s="33" t="s">
        <v>1485</v>
      </c>
      <c r="D94" s="33" t="s">
        <v>1486</v>
      </c>
      <c r="E94" s="33" t="s">
        <v>1487</v>
      </c>
      <c r="F94" s="33" t="s">
        <v>1488</v>
      </c>
      <c r="G94" s="69" t="s">
        <v>1489</v>
      </c>
      <c r="H94" s="33" t="s">
        <v>1490</v>
      </c>
      <c r="I94" s="75" t="s">
        <v>1517</v>
      </c>
      <c r="J94" s="75" t="s">
        <v>1518</v>
      </c>
      <c r="K94" s="75" t="s">
        <v>1519</v>
      </c>
    </row>
    <row r="95" spans="1:18">
      <c r="A95" s="5" t="str">
        <f>'Plant loading'!A9</f>
        <v>Basingstoke</v>
      </c>
      <c r="B95" s="5" t="str">
        <f>'Plant loading'!B9</f>
        <v>PEABE</v>
      </c>
      <c r="C95" s="5">
        <f>'Plant loading'!E9</f>
        <v>804</v>
      </c>
      <c r="D95" s="10">
        <f>'Plant loading'!H9</f>
        <v>36</v>
      </c>
      <c r="E95" s="5">
        <f t="shared" ref="E95:E120" si="34">C95/D95</f>
        <v>22.333333333333332</v>
      </c>
      <c r="F95" s="5">
        <f t="shared" ref="F95:F120" si="35">E95*54.5</f>
        <v>1217.1666666666665</v>
      </c>
      <c r="G95" s="16">
        <f>CHOOSE(MATCH(F95,N$96:N$107,1),O96,O$97,O$98,O$99,O$100,O$101,O$102,O$103,O$104,O$105,O$106,O$107)</f>
        <v>96</v>
      </c>
      <c r="H95">
        <f t="shared" ref="H95:H120" si="36">((($D95*$E95)*54.5)*(1+(1-(G95/100)))/1000)</f>
        <v>45.570720000000001</v>
      </c>
      <c r="I95">
        <f>((($D95*$E95)*54.5)*(1+(1-0.97))/1000)</f>
        <v>45.132539999999999</v>
      </c>
      <c r="J95">
        <f t="shared" ref="J95:J120" si="37">H95-I95</f>
        <v>0.43818000000000268</v>
      </c>
      <c r="K95" s="65">
        <f t="shared" ref="K95:K120" si="38">(J95*24*365)*$V$18</f>
        <v>495.54477288000299</v>
      </c>
      <c r="L95" s="65"/>
      <c r="M95" s="795" t="s">
        <v>1502</v>
      </c>
      <c r="N95" s="795" t="s">
        <v>1520</v>
      </c>
      <c r="O95" s="795" t="s">
        <v>1521</v>
      </c>
      <c r="P95" s="65"/>
      <c r="Q95" s="65"/>
    </row>
    <row r="96" spans="1:18">
      <c r="A96" s="5" t="str">
        <f>'Plant loading'!A10</f>
        <v>Basingstoke</v>
      </c>
      <c r="B96" s="5" t="str">
        <f>'Plant loading'!B10</f>
        <v>PEBBE</v>
      </c>
      <c r="C96" s="5">
        <f>'Plant loading'!E10</f>
        <v>912</v>
      </c>
      <c r="D96" s="10">
        <f>'Plant loading'!H10</f>
        <v>36</v>
      </c>
      <c r="E96" s="5">
        <f t="shared" si="34"/>
        <v>25.333333333333332</v>
      </c>
      <c r="F96" s="5">
        <f t="shared" si="35"/>
        <v>1380.6666666666665</v>
      </c>
      <c r="G96" s="16">
        <f>CHOOSE(MATCH(F96,N$96:N$107,1),O97,O$97,O$98,O$99,O$100,O$101,O$102,O$103,O$104,O$105,O$106,O$107)</f>
        <v>96</v>
      </c>
      <c r="H96">
        <f t="shared" si="36"/>
        <v>51.692160000000001</v>
      </c>
      <c r="I96">
        <f t="shared" ref="I96:I120" si="39">((($D96*$E96)*54.5)*(1+(1-0.97))/1000)</f>
        <v>51.195120000000003</v>
      </c>
      <c r="J96">
        <f t="shared" si="37"/>
        <v>0.49703999999999837</v>
      </c>
      <c r="K96" s="65">
        <f t="shared" si="38"/>
        <v>562.11048863999815</v>
      </c>
      <c r="L96" s="65"/>
      <c r="M96" s="5">
        <f>64*0.1</f>
        <v>6.4</v>
      </c>
      <c r="N96" s="799">
        <f t="shared" ref="N96:N106" si="40">M96*54.4</f>
        <v>348.16</v>
      </c>
      <c r="O96" s="5">
        <v>91</v>
      </c>
      <c r="P96" s="65"/>
      <c r="Q96" s="65"/>
    </row>
    <row r="97" spans="1:15">
      <c r="A97" s="5" t="str">
        <f>'Plant loading'!A11</f>
        <v>Basingstoke</v>
      </c>
      <c r="B97" s="5" t="str">
        <f>'Plant loading'!B11</f>
        <v>PECBE</v>
      </c>
      <c r="C97" s="5">
        <f>'Plant loading'!E11</f>
        <v>858</v>
      </c>
      <c r="D97" s="10">
        <f>'Plant loading'!H11</f>
        <v>36</v>
      </c>
      <c r="E97" s="5">
        <f t="shared" si="34"/>
        <v>23.833333333333332</v>
      </c>
      <c r="F97" s="5">
        <f t="shared" si="35"/>
        <v>1298.9166666666665</v>
      </c>
      <c r="G97" s="16">
        <f>CHOOSE(MATCH(F97,N$96:N$107,1),O$96,O$97,O$98,O$99,O$100,O$101,O$102,O$103,O$104,O$105,O$106,O$107)</f>
        <v>96</v>
      </c>
      <c r="H97">
        <f t="shared" si="36"/>
        <v>48.631440000000005</v>
      </c>
      <c r="I97">
        <f t="shared" si="39"/>
        <v>48.163830000000004</v>
      </c>
      <c r="J97">
        <f t="shared" si="37"/>
        <v>0.46761000000000053</v>
      </c>
      <c r="K97" s="65">
        <f t="shared" si="38"/>
        <v>528.8276307600006</v>
      </c>
      <c r="L97" s="65"/>
      <c r="M97" s="5">
        <f>64*0.15</f>
        <v>9.6</v>
      </c>
      <c r="N97" s="799">
        <f t="shared" si="40"/>
        <v>522.24</v>
      </c>
      <c r="O97" s="5">
        <v>93</v>
      </c>
    </row>
    <row r="98" spans="1:15">
      <c r="A98" s="5" t="str">
        <f>'Plant loading'!A12</f>
        <v>Basingstoke</v>
      </c>
      <c r="B98" s="5" t="str">
        <f>'Plant loading'!B12</f>
        <v>PEEBE</v>
      </c>
      <c r="C98" s="5">
        <f>'Plant loading'!E12</f>
        <v>890</v>
      </c>
      <c r="D98" s="10">
        <f>'Plant loading'!H12</f>
        <v>36</v>
      </c>
      <c r="E98" s="5">
        <f t="shared" si="34"/>
        <v>24.722222222222221</v>
      </c>
      <c r="F98" s="5">
        <f t="shared" si="35"/>
        <v>1347.3611111111111</v>
      </c>
      <c r="G98" s="16">
        <f t="shared" ref="G98:G106" si="41">CHOOSE(MATCH(F98,N$96:N$107,1),O99,O$97,O$98,O$99,O$100,O$101,O$102,O$103,O$104,O$105,O$106,O$107)</f>
        <v>96</v>
      </c>
      <c r="H98">
        <f t="shared" si="36"/>
        <v>50.445200000000007</v>
      </c>
      <c r="I98">
        <f t="shared" si="39"/>
        <v>49.960149999999999</v>
      </c>
      <c r="J98">
        <f t="shared" si="37"/>
        <v>0.4850500000000082</v>
      </c>
      <c r="K98" s="65">
        <f t="shared" si="38"/>
        <v>548.55080580000924</v>
      </c>
      <c r="L98" s="65"/>
      <c r="M98" s="5">
        <f>64*0.2</f>
        <v>12.8</v>
      </c>
      <c r="N98" s="799">
        <f t="shared" si="40"/>
        <v>696.32</v>
      </c>
      <c r="O98" s="5">
        <v>95</v>
      </c>
    </row>
    <row r="99" spans="1:15">
      <c r="A99" s="5" t="str">
        <f>'Plant loading'!A13</f>
        <v>Basingstoke</v>
      </c>
      <c r="B99" s="5" t="str">
        <f>'Plant loading'!B13</f>
        <v>PEFBE</v>
      </c>
      <c r="C99" s="5">
        <f>'Plant loading'!E13</f>
        <v>875</v>
      </c>
      <c r="D99" s="10">
        <f>'Plant loading'!H13</f>
        <v>36</v>
      </c>
      <c r="E99" s="5">
        <f t="shared" si="34"/>
        <v>24.305555555555557</v>
      </c>
      <c r="F99" s="5">
        <f t="shared" si="35"/>
        <v>1324.6527777777778</v>
      </c>
      <c r="G99" s="16">
        <f t="shared" si="41"/>
        <v>96</v>
      </c>
      <c r="H99">
        <f t="shared" si="36"/>
        <v>49.594999999999999</v>
      </c>
      <c r="I99">
        <f t="shared" si="39"/>
        <v>49.118124999999999</v>
      </c>
      <c r="J99">
        <f t="shared" si="37"/>
        <v>0.47687499999999972</v>
      </c>
      <c r="K99" s="65">
        <f t="shared" si="38"/>
        <v>539.3055674999996</v>
      </c>
      <c r="L99" s="65"/>
      <c r="M99" s="5">
        <f>64*0.25</f>
        <v>16</v>
      </c>
      <c r="N99" s="799">
        <f t="shared" si="40"/>
        <v>870.4</v>
      </c>
      <c r="O99" s="5">
        <v>95.5</v>
      </c>
    </row>
    <row r="100" spans="1:15">
      <c r="A100" s="5" t="str">
        <f>'Plant loading'!A14</f>
        <v>Basingstoke</v>
      </c>
      <c r="B100" s="5" t="str">
        <f>'Plant loading'!B14</f>
        <v>PEGBE</v>
      </c>
      <c r="C100" s="5">
        <f>'Plant loading'!E14</f>
        <v>954</v>
      </c>
      <c r="D100" s="10">
        <f>'Plant loading'!H14</f>
        <v>36</v>
      </c>
      <c r="E100" s="5">
        <f t="shared" si="34"/>
        <v>26.5</v>
      </c>
      <c r="F100" s="5">
        <f t="shared" si="35"/>
        <v>1444.25</v>
      </c>
      <c r="G100" s="16">
        <f t="shared" si="41"/>
        <v>97</v>
      </c>
      <c r="H100">
        <f t="shared" si="36"/>
        <v>53.552790000000002</v>
      </c>
      <c r="I100">
        <f t="shared" si="39"/>
        <v>53.552790000000002</v>
      </c>
      <c r="J100">
        <f t="shared" si="37"/>
        <v>0</v>
      </c>
      <c r="K100" s="65">
        <f t="shared" si="38"/>
        <v>0</v>
      </c>
      <c r="L100" s="65"/>
      <c r="M100" s="5">
        <f>64*0.3</f>
        <v>19.2</v>
      </c>
      <c r="N100" s="799">
        <f t="shared" si="40"/>
        <v>1044.48</v>
      </c>
      <c r="O100" s="5">
        <v>96</v>
      </c>
    </row>
    <row r="101" spans="1:15">
      <c r="A101" s="5" t="str">
        <f>'Plant loading'!A15</f>
        <v>Basingstoke</v>
      </c>
      <c r="B101" s="5" t="str">
        <f>'Plant loading'!B15</f>
        <v>PEHBE</v>
      </c>
      <c r="C101" s="5">
        <f>'Plant loading'!E15</f>
        <v>874</v>
      </c>
      <c r="D101" s="10">
        <f>'Plant loading'!H15</f>
        <v>36</v>
      </c>
      <c r="E101" s="5">
        <f t="shared" si="34"/>
        <v>24.277777777777779</v>
      </c>
      <c r="F101" s="5">
        <f t="shared" si="35"/>
        <v>1323.1388888888889</v>
      </c>
      <c r="G101" s="16">
        <f t="shared" si="41"/>
        <v>96</v>
      </c>
      <c r="H101">
        <f t="shared" si="36"/>
        <v>49.538319999999999</v>
      </c>
      <c r="I101">
        <f t="shared" si="39"/>
        <v>49.061989999999994</v>
      </c>
      <c r="J101">
        <f t="shared" si="37"/>
        <v>0.47633000000000436</v>
      </c>
      <c r="K101" s="65">
        <f t="shared" si="38"/>
        <v>538.68921828000498</v>
      </c>
      <c r="L101" s="65"/>
      <c r="M101" s="5">
        <f>64*0.4</f>
        <v>25.6</v>
      </c>
      <c r="N101" s="799">
        <f t="shared" si="40"/>
        <v>1392.64</v>
      </c>
      <c r="O101" s="5">
        <v>97</v>
      </c>
    </row>
    <row r="102" spans="1:15">
      <c r="A102" s="5" t="str">
        <f>'Plant loading'!A16</f>
        <v>Basingstoke</v>
      </c>
      <c r="B102" s="5" t="str">
        <f>'Plant loading'!B16</f>
        <v>PEIBE</v>
      </c>
      <c r="C102" s="5">
        <f>'Plant loading'!E16</f>
        <v>933</v>
      </c>
      <c r="D102" s="10">
        <f>'Plant loading'!H16</f>
        <v>36</v>
      </c>
      <c r="E102" s="5">
        <f t="shared" si="34"/>
        <v>25.916666666666668</v>
      </c>
      <c r="F102" s="5">
        <f t="shared" si="35"/>
        <v>1412.4583333333335</v>
      </c>
      <c r="G102" s="16">
        <f t="shared" si="41"/>
        <v>97</v>
      </c>
      <c r="H102">
        <f t="shared" si="36"/>
        <v>52.373955000000002</v>
      </c>
      <c r="I102">
        <f t="shared" si="39"/>
        <v>52.373955000000002</v>
      </c>
      <c r="J102">
        <f t="shared" si="37"/>
        <v>0</v>
      </c>
      <c r="K102" s="65">
        <f t="shared" si="38"/>
        <v>0</v>
      </c>
      <c r="L102" s="65"/>
      <c r="M102" s="5">
        <f>64*0.5</f>
        <v>32</v>
      </c>
      <c r="N102" s="799">
        <f t="shared" si="40"/>
        <v>1740.8</v>
      </c>
      <c r="O102" s="5">
        <v>97</v>
      </c>
    </row>
    <row r="103" spans="1:15">
      <c r="A103" s="5" t="str">
        <f>'Plant loading'!A39</f>
        <v>Gravelly Hill</v>
      </c>
      <c r="B103" s="5" t="str">
        <f>'Plant loading'!B39</f>
        <v>BMGMTX-DCSYS01</v>
      </c>
      <c r="C103" s="5">
        <f>'Plant loading'!E39</f>
        <v>736</v>
      </c>
      <c r="D103" s="10">
        <f>'Plant loading'!H39</f>
        <v>44</v>
      </c>
      <c r="E103" s="5">
        <f t="shared" si="34"/>
        <v>16.727272727272727</v>
      </c>
      <c r="F103" s="5">
        <f t="shared" si="35"/>
        <v>911.63636363636363</v>
      </c>
      <c r="G103" s="16">
        <f t="shared" si="41"/>
        <v>95.5</v>
      </c>
      <c r="H103">
        <f t="shared" si="36"/>
        <v>41.917039999999993</v>
      </c>
      <c r="I103">
        <f t="shared" si="39"/>
        <v>41.315359999999998</v>
      </c>
      <c r="J103">
        <f t="shared" si="37"/>
        <v>0.60167999999999466</v>
      </c>
      <c r="K103" s="65">
        <f t="shared" si="38"/>
        <v>680.44953887999384</v>
      </c>
      <c r="L103" s="65"/>
      <c r="M103" s="5">
        <f>64*0.6</f>
        <v>38.4</v>
      </c>
      <c r="N103" s="799">
        <f t="shared" si="40"/>
        <v>2088.96</v>
      </c>
      <c r="O103" s="5">
        <v>97</v>
      </c>
    </row>
    <row r="104" spans="1:15">
      <c r="A104" s="5" t="str">
        <f>'Plant loading'!A40</f>
        <v>Gravelly Hill</v>
      </c>
      <c r="B104" s="5" t="str">
        <f>'Plant loading'!B40</f>
        <v>BMGMTX-DCSYS02</v>
      </c>
      <c r="C104" s="5">
        <f>'Plant loading'!E40</f>
        <v>754</v>
      </c>
      <c r="D104" s="10">
        <f>'Plant loading'!H40</f>
        <v>44</v>
      </c>
      <c r="E104" s="5">
        <f t="shared" si="34"/>
        <v>17.136363636363637</v>
      </c>
      <c r="F104" s="5">
        <f t="shared" si="35"/>
        <v>933.93181818181824</v>
      </c>
      <c r="G104" s="16">
        <f t="shared" si="41"/>
        <v>95.5</v>
      </c>
      <c r="H104">
        <f t="shared" si="36"/>
        <v>42.942184999999995</v>
      </c>
      <c r="I104">
        <f t="shared" si="39"/>
        <v>42.325789999999998</v>
      </c>
      <c r="J104">
        <f t="shared" si="37"/>
        <v>0.61639499999999714</v>
      </c>
      <c r="K104" s="65">
        <f t="shared" si="38"/>
        <v>697.09096781999676</v>
      </c>
      <c r="L104" s="65"/>
      <c r="M104" s="5">
        <f>64*0.7</f>
        <v>44.8</v>
      </c>
      <c r="N104" s="799">
        <f t="shared" si="40"/>
        <v>2437.12</v>
      </c>
      <c r="O104" s="5">
        <v>96.2</v>
      </c>
    </row>
    <row r="105" spans="1:15">
      <c r="A105" s="5" t="str">
        <f>'Plant loading'!A41</f>
        <v>Gravelly Hill</v>
      </c>
      <c r="B105" s="5" t="str">
        <f>'Plant loading'!B41</f>
        <v>BMGMTX-DCSYS03</v>
      </c>
      <c r="C105" s="5">
        <f>'Plant loading'!E41</f>
        <v>771</v>
      </c>
      <c r="D105" s="10">
        <f>'Plant loading'!H41</f>
        <v>44</v>
      </c>
      <c r="E105" s="5">
        <f t="shared" si="34"/>
        <v>17.522727272727273</v>
      </c>
      <c r="F105" s="5">
        <f t="shared" si="35"/>
        <v>954.98863636363637</v>
      </c>
      <c r="G105" s="16">
        <f t="shared" si="41"/>
        <v>95.5</v>
      </c>
      <c r="H105">
        <f t="shared" si="36"/>
        <v>43.910377499999996</v>
      </c>
      <c r="I105">
        <f t="shared" si="39"/>
        <v>43.280085</v>
      </c>
      <c r="J105">
        <f t="shared" si="37"/>
        <v>0.63029249999999593</v>
      </c>
      <c r="K105" s="65">
        <f t="shared" si="38"/>
        <v>712.80787292999537</v>
      </c>
      <c r="L105" s="65"/>
      <c r="M105" s="5">
        <f>64*0.8</f>
        <v>51.2</v>
      </c>
      <c r="N105" s="799">
        <f t="shared" si="40"/>
        <v>2785.28</v>
      </c>
      <c r="O105" s="5">
        <v>96</v>
      </c>
    </row>
    <row r="106" spans="1:15">
      <c r="A106" s="5" t="str">
        <f>'Plant loading'!A42</f>
        <v>Gravelly Hill</v>
      </c>
      <c r="B106" s="5" t="str">
        <f>'Plant loading'!B42</f>
        <v>BMGMTX-DCSYS04</v>
      </c>
      <c r="C106" s="5">
        <f>'Plant loading'!E42</f>
        <v>764</v>
      </c>
      <c r="D106" s="10">
        <f>'Plant loading'!H42</f>
        <v>44</v>
      </c>
      <c r="E106" s="5">
        <f t="shared" si="34"/>
        <v>17.363636363636363</v>
      </c>
      <c r="F106" s="5">
        <f t="shared" si="35"/>
        <v>946.31818181818176</v>
      </c>
      <c r="G106" s="16">
        <f t="shared" si="41"/>
        <v>95.5</v>
      </c>
      <c r="H106">
        <f t="shared" si="36"/>
        <v>43.511710000000001</v>
      </c>
      <c r="I106">
        <f t="shared" si="39"/>
        <v>42.887140000000002</v>
      </c>
      <c r="J106">
        <f t="shared" si="37"/>
        <v>0.62456999999999852</v>
      </c>
      <c r="K106" s="65">
        <f t="shared" si="38"/>
        <v>706.33620611999822</v>
      </c>
      <c r="L106" s="65"/>
      <c r="M106" s="5">
        <f>64*0.9</f>
        <v>57.6</v>
      </c>
      <c r="N106" s="799">
        <f t="shared" si="40"/>
        <v>3133.44</v>
      </c>
      <c r="O106" s="5">
        <v>95.5</v>
      </c>
    </row>
    <row r="107" spans="1:15">
      <c r="A107" s="5" t="str">
        <f>'Plant loading'!A43</f>
        <v>Gravelly Hill</v>
      </c>
      <c r="B107" s="5" t="str">
        <f>'Plant loading'!B43</f>
        <v>BMGMTX-DCSYS05</v>
      </c>
      <c r="C107" s="5">
        <f>'Plant loading'!E43</f>
        <v>794</v>
      </c>
      <c r="D107" s="10">
        <f>'Plant loading'!H43</f>
        <v>44</v>
      </c>
      <c r="E107" s="5">
        <f t="shared" si="34"/>
        <v>18.045454545454547</v>
      </c>
      <c r="F107" s="5">
        <f t="shared" si="35"/>
        <v>983.47727272727275</v>
      </c>
      <c r="G107" s="16">
        <f t="shared" ref="G107:G120" si="42">CHOOSE(MATCH(F107,N$96:N$107,1),X108,O$97,O$98,O$99,O$100,O$101,O$102,O$103,O$104,O$105,O$106,O$107)</f>
        <v>95.5</v>
      </c>
      <c r="H107">
        <f t="shared" si="36"/>
        <v>45.220284999999997</v>
      </c>
      <c r="I107">
        <f t="shared" si="39"/>
        <v>44.571190000000001</v>
      </c>
      <c r="J107">
        <f t="shared" si="37"/>
        <v>0.64909499999999554</v>
      </c>
      <c r="K107" s="65">
        <f t="shared" si="38"/>
        <v>734.07192101999487</v>
      </c>
      <c r="L107" s="65"/>
      <c r="M107" s="5">
        <f>64*1</f>
        <v>64</v>
      </c>
      <c r="N107" s="799">
        <f>M107*54.4</f>
        <v>3481.6</v>
      </c>
      <c r="O107" s="5">
        <v>95</v>
      </c>
    </row>
    <row r="108" spans="1:15">
      <c r="A108" s="5" t="str">
        <f>'Plant loading'!A44</f>
        <v>Gravelly Hill</v>
      </c>
      <c r="B108" s="5" t="str">
        <f>'Plant loading'!B44</f>
        <v>BMGMTX-DCSYS06</v>
      </c>
      <c r="C108" s="5">
        <f>'Plant loading'!E44</f>
        <v>839</v>
      </c>
      <c r="D108" s="10">
        <f>'Plant loading'!H44</f>
        <v>44</v>
      </c>
      <c r="E108" s="5">
        <f t="shared" si="34"/>
        <v>19.068181818181817</v>
      </c>
      <c r="F108" s="5">
        <f t="shared" si="35"/>
        <v>1039.215909090909</v>
      </c>
      <c r="G108" s="16">
        <f t="shared" si="42"/>
        <v>95.5</v>
      </c>
      <c r="H108">
        <f t="shared" si="36"/>
        <v>47.783147499999991</v>
      </c>
      <c r="I108">
        <f t="shared" si="39"/>
        <v>47.097264999999993</v>
      </c>
      <c r="J108">
        <f t="shared" si="37"/>
        <v>0.68588249999999817</v>
      </c>
      <c r="K108" s="65">
        <f t="shared" si="38"/>
        <v>775.67549336999787</v>
      </c>
      <c r="L108" s="65"/>
      <c r="M108" s="65"/>
      <c r="N108" s="65"/>
      <c r="O108" s="65"/>
    </row>
    <row r="109" spans="1:15">
      <c r="A109" s="5" t="str">
        <f>'Plant loading'!A56</f>
        <v>Leyland</v>
      </c>
      <c r="B109" s="5" t="str">
        <f>'Plant loading'!B56</f>
        <v>LLDMTX-DCSYS01</v>
      </c>
      <c r="C109" s="5">
        <f>'Plant loading'!E56</f>
        <v>896</v>
      </c>
      <c r="D109" s="10">
        <f>'Plant loading'!H56</f>
        <v>44</v>
      </c>
      <c r="E109" s="5">
        <f t="shared" si="34"/>
        <v>20.363636363636363</v>
      </c>
      <c r="F109" s="5">
        <f t="shared" si="35"/>
        <v>1109.8181818181818</v>
      </c>
      <c r="G109" s="16">
        <f t="shared" si="42"/>
        <v>96</v>
      </c>
      <c r="H109">
        <f t="shared" si="36"/>
        <v>50.78528</v>
      </c>
      <c r="I109">
        <f t="shared" si="39"/>
        <v>50.296959999999999</v>
      </c>
      <c r="J109">
        <f t="shared" si="37"/>
        <v>0.48832000000000164</v>
      </c>
      <c r="K109" s="65">
        <f t="shared" si="38"/>
        <v>552.24890112000173</v>
      </c>
      <c r="L109" s="65"/>
      <c r="M109" s="65"/>
      <c r="N109" s="65"/>
      <c r="O109" s="65"/>
    </row>
    <row r="110" spans="1:15">
      <c r="A110" s="5" t="str">
        <f>'Plant loading'!A57</f>
        <v>Leyland</v>
      </c>
      <c r="B110" s="5" t="str">
        <f>'Plant loading'!B57</f>
        <v>LLDMTX-DCSYS02</v>
      </c>
      <c r="C110" s="5">
        <f>'Plant loading'!E57</f>
        <v>822</v>
      </c>
      <c r="D110" s="10">
        <f>'Plant loading'!H57</f>
        <v>44</v>
      </c>
      <c r="E110" s="5">
        <f t="shared" si="34"/>
        <v>18.681818181818183</v>
      </c>
      <c r="F110" s="5">
        <f t="shared" si="35"/>
        <v>1018.159090909091</v>
      </c>
      <c r="G110" s="16">
        <f t="shared" si="42"/>
        <v>95.5</v>
      </c>
      <c r="H110">
        <f t="shared" si="36"/>
        <v>46.814955000000005</v>
      </c>
      <c r="I110">
        <f t="shared" si="39"/>
        <v>46.142970000000005</v>
      </c>
      <c r="J110">
        <f t="shared" si="37"/>
        <v>0.67198499999999939</v>
      </c>
      <c r="K110" s="65">
        <f t="shared" si="38"/>
        <v>759.95858825999926</v>
      </c>
      <c r="L110" s="65"/>
      <c r="M110" s="65"/>
      <c r="N110" s="65"/>
      <c r="O110" s="65"/>
    </row>
    <row r="111" spans="1:15" hidden="1" outlineLevel="2">
      <c r="A111" s="5" t="str">
        <f>'Plant loading'!A58</f>
        <v>Leyland</v>
      </c>
      <c r="B111" s="5" t="str">
        <f>'Plant loading'!B58</f>
        <v>LLDMTX-DCSYS03</v>
      </c>
      <c r="C111" s="5">
        <f>'Plant loading'!E58</f>
        <v>945</v>
      </c>
      <c r="D111" s="10">
        <f>'Plant loading'!H58</f>
        <v>44</v>
      </c>
      <c r="E111" s="5">
        <f t="shared" si="34"/>
        <v>21.477272727272727</v>
      </c>
      <c r="F111" s="5">
        <f t="shared" si="35"/>
        <v>1170.5113636363635</v>
      </c>
      <c r="G111" s="16">
        <f t="shared" si="42"/>
        <v>96</v>
      </c>
      <c r="H111">
        <f t="shared" si="36"/>
        <v>53.562599999999996</v>
      </c>
      <c r="I111">
        <f t="shared" si="39"/>
        <v>53.047575000000002</v>
      </c>
      <c r="J111">
        <f t="shared" si="37"/>
        <v>0.51502499999999429</v>
      </c>
      <c r="K111" s="65">
        <f t="shared" si="38"/>
        <v>582.45001289999345</v>
      </c>
      <c r="L111" s="65"/>
      <c r="M111" s="65"/>
      <c r="N111" s="65"/>
      <c r="O111" s="65"/>
    </row>
    <row r="112" spans="1:15" hidden="1" outlineLevel="2">
      <c r="A112" s="5" t="str">
        <f>'Plant loading'!A59</f>
        <v>Leyland</v>
      </c>
      <c r="B112" s="5" t="str">
        <f>'Plant loading'!B59</f>
        <v>LLDMTX-DCSYS04</v>
      </c>
      <c r="C112" s="5">
        <f>'Plant loading'!E59</f>
        <v>860</v>
      </c>
      <c r="D112" s="10">
        <f>'Plant loading'!H59</f>
        <v>44</v>
      </c>
      <c r="E112" s="5">
        <f t="shared" si="34"/>
        <v>19.545454545454547</v>
      </c>
      <c r="F112" s="5">
        <f t="shared" si="35"/>
        <v>1065.2272727272727</v>
      </c>
      <c r="G112" s="16">
        <f t="shared" si="42"/>
        <v>96</v>
      </c>
      <c r="H112">
        <f t="shared" si="36"/>
        <v>48.744800000000005</v>
      </c>
      <c r="I112">
        <f t="shared" si="39"/>
        <v>48.2761</v>
      </c>
      <c r="J112">
        <f t="shared" si="37"/>
        <v>0.46870000000000545</v>
      </c>
      <c r="K112" s="65">
        <f t="shared" si="38"/>
        <v>530.06032920000621</v>
      </c>
      <c r="L112" s="65"/>
      <c r="M112" s="65"/>
      <c r="N112" s="65"/>
      <c r="O112" s="65"/>
    </row>
    <row r="113" spans="1:11" hidden="1" outlineLevel="2">
      <c r="A113" s="5" t="str">
        <f>'Plant loading'!A60</f>
        <v>Leyland</v>
      </c>
      <c r="B113" s="5" t="str">
        <f>'Plant loading'!B60</f>
        <v>LLDMTX-DCSYS05</v>
      </c>
      <c r="C113" s="5">
        <f>'Plant loading'!E60</f>
        <v>917</v>
      </c>
      <c r="D113" s="10">
        <f>'Plant loading'!H60</f>
        <v>44</v>
      </c>
      <c r="E113" s="5">
        <f t="shared" si="34"/>
        <v>20.84090909090909</v>
      </c>
      <c r="F113" s="5">
        <f t="shared" si="35"/>
        <v>1135.8295454545455</v>
      </c>
      <c r="G113" s="16">
        <f t="shared" si="42"/>
        <v>96</v>
      </c>
      <c r="H113">
        <f t="shared" si="36"/>
        <v>51.975560000000002</v>
      </c>
      <c r="I113">
        <f t="shared" si="39"/>
        <v>51.475794999999998</v>
      </c>
      <c r="J113">
        <f t="shared" si="37"/>
        <v>0.49976500000000357</v>
      </c>
      <c r="K113" s="65">
        <f t="shared" si="38"/>
        <v>565.19223474000398</v>
      </c>
    </row>
    <row r="114" spans="1:11" hidden="1" outlineLevel="2">
      <c r="A114" s="5" t="str">
        <f>'Plant loading'!A61</f>
        <v>Leyland</v>
      </c>
      <c r="B114" s="5" t="str">
        <f>'Plant loading'!B61</f>
        <v>LLDMTX-DCSYS06</v>
      </c>
      <c r="C114" s="5">
        <f>'Plant loading'!E61</f>
        <v>892</v>
      </c>
      <c r="D114" s="10">
        <f>'Plant loading'!H61</f>
        <v>44</v>
      </c>
      <c r="E114" s="5">
        <f t="shared" si="34"/>
        <v>20.272727272727273</v>
      </c>
      <c r="F114" s="5">
        <f t="shared" si="35"/>
        <v>1104.8636363636365</v>
      </c>
      <c r="G114" s="16">
        <f t="shared" si="42"/>
        <v>96</v>
      </c>
      <c r="H114">
        <f t="shared" si="36"/>
        <v>50.558560000000007</v>
      </c>
      <c r="I114">
        <f t="shared" si="39"/>
        <v>50.072420000000001</v>
      </c>
      <c r="J114">
        <f t="shared" si="37"/>
        <v>0.48614000000000601</v>
      </c>
      <c r="K114" s="65">
        <f t="shared" si="38"/>
        <v>549.78350424000678</v>
      </c>
    </row>
    <row r="115" spans="1:11" hidden="1" outlineLevel="2">
      <c r="A115" s="5" t="str">
        <f>'Plant loading'!A64</f>
        <v>Milton Keynes</v>
      </c>
      <c r="B115" s="5" t="str">
        <f>'Plant loading'!B64</f>
        <v>PEAMS</v>
      </c>
      <c r="C115" s="5">
        <f>'Plant loading'!E64</f>
        <v>1106</v>
      </c>
      <c r="D115" s="10">
        <f>'Plant loading'!H64</f>
        <v>42</v>
      </c>
      <c r="E115" s="5">
        <f t="shared" si="34"/>
        <v>26.333333333333332</v>
      </c>
      <c r="F115" s="5">
        <f t="shared" si="35"/>
        <v>1435.1666666666665</v>
      </c>
      <c r="G115" s="16">
        <f t="shared" si="42"/>
        <v>97</v>
      </c>
      <c r="H115">
        <f t="shared" si="36"/>
        <v>62.085310000000007</v>
      </c>
      <c r="I115">
        <f t="shared" si="39"/>
        <v>62.085310000000007</v>
      </c>
      <c r="J115">
        <f t="shared" si="37"/>
        <v>0</v>
      </c>
      <c r="K115" s="65">
        <f t="shared" si="38"/>
        <v>0</v>
      </c>
    </row>
    <row r="116" spans="1:11" hidden="1" outlineLevel="2">
      <c r="A116" s="5" t="str">
        <f>'Plant loading'!A65</f>
        <v>Milton Keynes</v>
      </c>
      <c r="B116" s="5" t="str">
        <f>'Plant loading'!B65</f>
        <v>PEBMS</v>
      </c>
      <c r="C116" s="5">
        <f>'Plant loading'!E65</f>
        <v>1042</v>
      </c>
      <c r="D116" s="10">
        <f>'Plant loading'!H65</f>
        <v>42</v>
      </c>
      <c r="E116" s="5">
        <f t="shared" si="34"/>
        <v>24.80952380952381</v>
      </c>
      <c r="F116" s="5">
        <f t="shared" si="35"/>
        <v>1352.1190476190477</v>
      </c>
      <c r="G116" s="16">
        <f t="shared" si="42"/>
        <v>96</v>
      </c>
      <c r="H116">
        <f t="shared" si="36"/>
        <v>59.060560000000002</v>
      </c>
      <c r="I116">
        <f t="shared" si="39"/>
        <v>58.492669999999997</v>
      </c>
      <c r="J116">
        <f t="shared" si="37"/>
        <v>0.56789000000000556</v>
      </c>
      <c r="K116" s="65">
        <f t="shared" si="38"/>
        <v>642.23588724000626</v>
      </c>
    </row>
    <row r="117" spans="1:11" hidden="1" outlineLevel="1">
      <c r="A117" s="5" t="str">
        <f>'Plant loading'!A66</f>
        <v>Milton Keynes</v>
      </c>
      <c r="B117" s="5" t="str">
        <f>'Plant loading'!B66</f>
        <v>PECMS</v>
      </c>
      <c r="C117" s="5">
        <f>'Plant loading'!E66</f>
        <v>1084</v>
      </c>
      <c r="D117" s="10">
        <f>'Plant loading'!H66</f>
        <v>42</v>
      </c>
      <c r="E117" s="5">
        <f t="shared" si="34"/>
        <v>25.80952380952381</v>
      </c>
      <c r="F117" s="5">
        <f t="shared" si="35"/>
        <v>1406.6190476190477</v>
      </c>
      <c r="G117" s="16">
        <f t="shared" si="42"/>
        <v>97</v>
      </c>
      <c r="H117">
        <f t="shared" si="36"/>
        <v>60.850340000000003</v>
      </c>
      <c r="I117">
        <f t="shared" si="39"/>
        <v>60.850340000000003</v>
      </c>
      <c r="J117">
        <f t="shared" si="37"/>
        <v>0</v>
      </c>
      <c r="K117" s="65">
        <f t="shared" si="38"/>
        <v>0</v>
      </c>
    </row>
    <row r="118" spans="1:11" hidden="1" outlineLevel="1">
      <c r="A118" s="5" t="str">
        <f>'Plant loading'!A67</f>
        <v>Milton Keynes</v>
      </c>
      <c r="B118" s="5" t="str">
        <f>'Plant loading'!B67</f>
        <v>PEDMS</v>
      </c>
      <c r="C118" s="5">
        <f>'Plant loading'!E67</f>
        <v>1149</v>
      </c>
      <c r="D118" s="10">
        <f>'Plant loading'!H67</f>
        <v>42</v>
      </c>
      <c r="E118" s="5">
        <f t="shared" si="34"/>
        <v>27.357142857142858</v>
      </c>
      <c r="F118" s="5">
        <f t="shared" si="35"/>
        <v>1490.9642857142858</v>
      </c>
      <c r="G118" s="16">
        <f t="shared" si="42"/>
        <v>97</v>
      </c>
      <c r="H118">
        <f t="shared" si="36"/>
        <v>64.499115000000003</v>
      </c>
      <c r="I118">
        <f t="shared" si="39"/>
        <v>64.499115000000003</v>
      </c>
      <c r="J118">
        <f t="shared" si="37"/>
        <v>0</v>
      </c>
      <c r="K118" s="65">
        <f t="shared" si="38"/>
        <v>0</v>
      </c>
    </row>
    <row r="119" spans="1:11" hidden="1" outlineLevel="1">
      <c r="A119" s="5" t="str">
        <f>'Plant loading'!A68</f>
        <v>Milton Keynes</v>
      </c>
      <c r="B119" s="5" t="str">
        <f>'Plant loading'!B68</f>
        <v>PEEMS</v>
      </c>
      <c r="C119" s="5">
        <f>'Plant loading'!E68</f>
        <v>1078</v>
      </c>
      <c r="D119" s="10">
        <f>'Plant loading'!H68</f>
        <v>42</v>
      </c>
      <c r="E119" s="5">
        <f t="shared" si="34"/>
        <v>25.666666666666668</v>
      </c>
      <c r="F119" s="5">
        <f t="shared" si="35"/>
        <v>1398.8333333333335</v>
      </c>
      <c r="G119" s="16">
        <f t="shared" si="42"/>
        <v>97</v>
      </c>
      <c r="H119">
        <f t="shared" si="36"/>
        <v>60.513529999999996</v>
      </c>
      <c r="I119">
        <f t="shared" si="39"/>
        <v>60.513529999999996</v>
      </c>
      <c r="J119">
        <f t="shared" si="37"/>
        <v>0</v>
      </c>
      <c r="K119" s="65">
        <f t="shared" si="38"/>
        <v>0</v>
      </c>
    </row>
    <row r="120" spans="1:11" hidden="1" outlineLevel="1">
      <c r="A120" s="5" t="str">
        <f>'Plant loading'!A69</f>
        <v>Milton Keynes</v>
      </c>
      <c r="B120" s="5" t="str">
        <f>'Plant loading'!B69</f>
        <v>PEFMS</v>
      </c>
      <c r="C120" s="5">
        <f>'Plant loading'!E69</f>
        <v>1088</v>
      </c>
      <c r="D120" s="10">
        <f>'Plant loading'!H69</f>
        <v>42</v>
      </c>
      <c r="E120" s="5">
        <f t="shared" si="34"/>
        <v>25.904761904761905</v>
      </c>
      <c r="F120" s="5">
        <f t="shared" si="35"/>
        <v>1411.8095238095239</v>
      </c>
      <c r="G120" s="16">
        <f t="shared" si="42"/>
        <v>97</v>
      </c>
      <c r="H120">
        <f t="shared" si="36"/>
        <v>61.074880000000007</v>
      </c>
      <c r="I120">
        <f t="shared" si="39"/>
        <v>61.074880000000007</v>
      </c>
      <c r="J120">
        <f t="shared" si="37"/>
        <v>0</v>
      </c>
      <c r="K120" s="65">
        <f t="shared" si="38"/>
        <v>0</v>
      </c>
    </row>
    <row r="121" spans="1:11" hidden="1" outlineLevel="1">
      <c r="K121" s="66">
        <f>SUM(K95:K99)+SUM(K101:K120)</f>
        <v>11701.38994170001</v>
      </c>
    </row>
    <row r="122" spans="1:11" hidden="1" outlineLevel="1"/>
    <row r="123" spans="1:11" hidden="1" outlineLevel="1" collapsed="1"/>
    <row r="124" spans="1:11" hidden="1" outlineLevel="1"/>
    <row r="125" spans="1:11" hidden="1" outlineLevel="1"/>
    <row r="126" spans="1:11" hidden="1" outlineLevel="1"/>
    <row r="127" spans="1:11" hidden="1" outlineLevel="1"/>
    <row r="128" spans="1:11" hidden="1" outlineLevel="1"/>
    <row r="129" collapsed="1"/>
  </sheetData>
  <conditionalFormatting sqref="G1:G65536">
    <cfRule type="cellIs" dxfId="79" priority="1" stopIfTrue="1" operator="lessThan">
      <formula>90</formula>
    </cfRule>
  </conditionalFormatting>
  <conditionalFormatting sqref="L2:L56">
    <cfRule type="cellIs" dxfId="78" priority="2" stopIfTrue="1" operator="lessThan">
      <formula>90</formula>
    </cfRule>
  </conditionalFormatting>
  <pageMargins left="0.7" right="0.7" top="0.75" bottom="0.75" header="0.3" footer="0.3"/>
  <pageSetup paperSize="9" orientation="portrait" r:id="rId1"/>
  <headerFooter>
    <oddFooter>&amp;L&amp;1#&amp;"Calibri"&amp;7&amp;K000000C2 General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1">
    <pageSetUpPr fitToPage="1"/>
  </sheetPr>
  <dimension ref="A1"/>
  <sheetViews>
    <sheetView topLeftCell="A13"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2">
    <pageSetUpPr fitToPage="1"/>
  </sheetPr>
  <dimension ref="A1"/>
  <sheetViews>
    <sheetView topLeftCell="A4" zoomScale="80" zoomScaleNormal="8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3">
    <pageSetUpPr fitToPage="1"/>
  </sheetPr>
  <dimension ref="A1"/>
  <sheetViews>
    <sheetView view="pageBreakPreview" zoomScale="6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7">
    <pageSetUpPr fitToPage="1"/>
  </sheetPr>
  <dimension ref="C31:T74"/>
  <sheetViews>
    <sheetView view="pageBreakPreview" topLeftCell="A7" zoomScale="60" zoomScaleNormal="60" workbookViewId="0">
      <selection activeCell="AC46" sqref="AC46"/>
    </sheetView>
  </sheetViews>
  <sheetFormatPr defaultColWidth="8.6640625" defaultRowHeight="10.15"/>
  <sheetData>
    <row r="31" spans="15:15" ht="15">
      <c r="O31" s="14"/>
    </row>
    <row r="32" spans="15:15" ht="15">
      <c r="O32" s="14"/>
    </row>
    <row r="33" spans="15:20" ht="12" customHeight="1"/>
    <row r="34" spans="15:20">
      <c r="O34" s="514"/>
      <c r="P34" s="15"/>
      <c r="Q34" s="15"/>
      <c r="R34" s="15"/>
      <c r="S34" s="15"/>
      <c r="T34" s="15"/>
    </row>
    <row r="35" spans="15:20">
      <c r="O35" s="15"/>
      <c r="P35" s="15"/>
      <c r="Q35" s="15"/>
      <c r="R35" s="15"/>
      <c r="S35" s="15"/>
      <c r="T35" s="15"/>
    </row>
    <row r="36" spans="15:20">
      <c r="O36" s="15"/>
      <c r="P36" s="15"/>
      <c r="Q36" s="15"/>
      <c r="R36" s="15"/>
      <c r="S36" s="15"/>
      <c r="T36" s="15"/>
    </row>
    <row r="73" spans="3:3" ht="24.6">
      <c r="C73" s="115"/>
    </row>
    <row r="74" spans="3:3" ht="24.6">
      <c r="C74" s="116"/>
    </row>
  </sheetData>
  <pageMargins left="0.74803149606299213" right="0.74803149606299213" top="0.98425196850393704" bottom="0.98425196850393704" header="0.51181102362204722" footer="0.51181102362204722"/>
  <pageSetup paperSize="8" scale="78" orientation="landscape" r:id="rId1"/>
  <headerFooter alignWithMargins="0">
    <oddFooter>&amp;R&amp;K00-004MTX Space and Power July 2017&amp;L&amp;1#&amp;"Calibri"&amp;7&amp;K000000C2 General</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8" orientation="landscape" r:id="rId1"/>
  <headerFooter alignWithMargins="0">
    <oddFooter>&amp;R&amp;K00-004MTX Space and Power July 2017&amp;L&amp;1#&amp;"Calibri"&amp;7&amp;K000000C2 General</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1">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3" orientation="landscape" r:id="rId1"/>
  <headerFooter alignWithMargins="0">
    <oddFooter>&amp;R&amp;K00-004MTX Space and Power July 2017&amp;L&amp;1#&amp;"Calibri"&amp;7&amp;K000000C2 General</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3">
    <pageSetUpPr fitToPage="1"/>
  </sheetPr>
  <dimension ref="A1"/>
  <sheetViews>
    <sheetView view="pageBreakPreview" zoomScale="50" zoomScaleNormal="50" zoomScaleSheetLayoutView="5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77" orientation="landscape" r:id="rId1"/>
  <headerFooter alignWithMargins="0">
    <oddFooter>&amp;R&amp;K00-004MTX Space and Power July 2017&amp;L&amp;1#&amp;"Calibri"&amp;7&amp;K000000C2 General</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6">
    <pageSetUpPr fitToPage="1"/>
  </sheetPr>
  <dimension ref="A1"/>
  <sheetViews>
    <sheetView zoomScale="60" zoomScaleNormal="60" zoomScaleSheetLayoutView="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9" orientation="landscape" r:id="rId1"/>
  <headerFooter alignWithMargins="0">
    <oddFooter>&amp;R&amp;K00-004MTX Space and Power July 2017&amp;L&amp;1#&amp;"Calibri"&amp;7&amp;K000000C2 General</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0">
    <pageSetUpPr fitToPage="1"/>
  </sheetPr>
  <dimension ref="A1"/>
  <sheetViews>
    <sheetView topLeftCell="A7"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3">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4">
    <pageSetUpPr fitToPage="1"/>
  </sheetPr>
  <dimension ref="A1"/>
  <sheetViews>
    <sheet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7" orientation="landscape" r:id="rId1"/>
  <headerFooter alignWithMargins="0">
    <oddFooter>&amp;R&amp;K00-004MTX Space and Power July 2017&amp;L&amp;1#&amp;"Calibri"&amp;7&amp;K000000C2 General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9">
    <pageSetUpPr fitToPage="1"/>
  </sheetPr>
  <dimension ref="A1"/>
  <sheetViews>
    <sheetView topLeftCell="A4"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5">
    <pageSetUpPr fitToPage="1"/>
  </sheetPr>
  <dimension ref="C75:C76"/>
  <sheetViews>
    <sheetView view="pageBreakPreview" topLeftCell="A23" zoomScale="80" zoomScaleNormal="70" zoomScaleSheetLayoutView="80" workbookViewId="0">
      <selection activeCell="AC46" sqref="AC46"/>
    </sheetView>
  </sheetViews>
  <sheetFormatPr defaultColWidth="8.6640625" defaultRowHeight="10.15"/>
  <sheetData>
    <row r="75" spans="3:3" ht="20.25" hidden="1" customHeight="1">
      <c r="C75" s="116" t="s">
        <v>152</v>
      </c>
    </row>
    <row r="76" spans="3:3" ht="47.25" customHeight="1">
      <c r="C76" s="120"/>
    </row>
  </sheetData>
  <pageMargins left="0.74803149606299213" right="0.74803149606299213" top="0.98425196850393704" bottom="0.98425196850393704" header="0.51181102362204722" footer="0.51181102362204722"/>
  <pageSetup paperSize="8" scale="82" orientation="landscape" r:id="rId1"/>
  <headerFooter alignWithMargins="0">
    <oddFooter>&amp;R&amp;K00-003MTX Space and Power May 2017&amp;L&amp;1#&amp;"Calibri"&amp;7&amp;K000000C2 General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7">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51">
    <pageSetUpPr fitToPage="1"/>
  </sheetPr>
  <dimension ref="A1"/>
  <sheetViews>
    <sheetView zoomScale="75" zoomScaleNormal="75"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0"/>
  <dimension ref="B1:O36"/>
  <sheetViews>
    <sheetView topLeftCell="A4" zoomScale="110" zoomScaleNormal="110" workbookViewId="0">
      <selection activeCell="AC46" sqref="AC46"/>
    </sheetView>
  </sheetViews>
  <sheetFormatPr defaultColWidth="14.5" defaultRowHeight="10.15"/>
  <cols>
    <col min="2" max="2" width="10.1640625" bestFit="1" customWidth="1"/>
    <col min="3" max="3" width="17.6640625" bestFit="1" customWidth="1"/>
    <col min="4" max="4" width="14.1640625" bestFit="1" customWidth="1"/>
    <col min="5" max="5" width="18" bestFit="1" customWidth="1"/>
    <col min="6" max="6" width="12.1640625" bestFit="1" customWidth="1"/>
    <col min="7" max="7" width="21" bestFit="1" customWidth="1"/>
    <col min="8" max="8" width="18.1640625" bestFit="1" customWidth="1"/>
    <col min="9" max="9" width="23.1640625" bestFit="1" customWidth="1"/>
    <col min="10" max="10" width="12.6640625" bestFit="1" customWidth="1"/>
    <col min="11" max="11" width="18.6640625" bestFit="1" customWidth="1"/>
    <col min="12" max="12" width="17" bestFit="1" customWidth="1"/>
    <col min="13" max="14" width="13" bestFit="1" customWidth="1"/>
    <col min="15" max="15" width="15.1640625" bestFit="1" customWidth="1"/>
  </cols>
  <sheetData>
    <row r="1" spans="2:15" ht="10.9" thickBot="1">
      <c r="B1" s="13" t="s">
        <v>512</v>
      </c>
      <c r="C1" s="13" t="s">
        <v>580</v>
      </c>
      <c r="D1" s="13" t="s">
        <v>1485</v>
      </c>
      <c r="E1" s="13" t="s">
        <v>1522</v>
      </c>
      <c r="F1" s="13" t="s">
        <v>23</v>
      </c>
      <c r="G1" s="13"/>
      <c r="H1" s="13" t="s">
        <v>1523</v>
      </c>
      <c r="I1" s="13" t="s">
        <v>542</v>
      </c>
      <c r="J1" s="13"/>
      <c r="K1" s="13"/>
    </row>
    <row r="2" spans="2:15" ht="13.15">
      <c r="B2" s="244" t="s">
        <v>132</v>
      </c>
      <c r="C2" s="215" t="s">
        <v>1524</v>
      </c>
      <c r="D2" s="346">
        <v>674</v>
      </c>
      <c r="E2" s="1435">
        <v>208.953</v>
      </c>
      <c r="F2" s="215">
        <v>7</v>
      </c>
      <c r="G2" s="1438">
        <v>5.1275000000000004</v>
      </c>
      <c r="H2" s="215">
        <f t="shared" ref="H2:H7" si="0">D2+F2</f>
        <v>681</v>
      </c>
      <c r="I2" s="219">
        <v>466</v>
      </c>
      <c r="J2" s="220">
        <v>0.40346320346320347</v>
      </c>
      <c r="K2" s="1286">
        <v>0.57795666666666679</v>
      </c>
    </row>
    <row r="3" spans="2:15" ht="13.15">
      <c r="B3" s="246" t="s">
        <v>132</v>
      </c>
      <c r="C3" s="226" t="s">
        <v>1525</v>
      </c>
      <c r="D3" s="347">
        <v>583</v>
      </c>
      <c r="E3" s="1436"/>
      <c r="F3" s="226">
        <v>7</v>
      </c>
      <c r="G3" s="1439"/>
      <c r="H3" s="226">
        <f t="shared" si="0"/>
        <v>590</v>
      </c>
      <c r="I3" s="230">
        <v>534</v>
      </c>
      <c r="J3" s="231">
        <v>0.46233766233766233</v>
      </c>
      <c r="K3" s="1287"/>
    </row>
    <row r="4" spans="2:15" ht="13.15">
      <c r="B4" s="246" t="s">
        <v>132</v>
      </c>
      <c r="C4" s="226" t="s">
        <v>1526</v>
      </c>
      <c r="D4" s="347">
        <v>606</v>
      </c>
      <c r="E4" s="1436"/>
      <c r="F4" s="226">
        <v>7</v>
      </c>
      <c r="G4" s="1439"/>
      <c r="H4" s="226">
        <f t="shared" si="0"/>
        <v>613</v>
      </c>
      <c r="I4" s="230">
        <v>537</v>
      </c>
      <c r="J4" s="231">
        <v>0.46493506493506492</v>
      </c>
      <c r="K4" s="1287"/>
    </row>
    <row r="5" spans="2:15" ht="13.15">
      <c r="B5" s="246" t="s">
        <v>132</v>
      </c>
      <c r="C5" s="226" t="s">
        <v>1527</v>
      </c>
      <c r="D5" s="347">
        <v>589</v>
      </c>
      <c r="E5" s="1436"/>
      <c r="F5" s="226">
        <v>7</v>
      </c>
      <c r="G5" s="1439"/>
      <c r="H5" s="226">
        <f t="shared" si="0"/>
        <v>596</v>
      </c>
      <c r="I5" s="230">
        <v>516</v>
      </c>
      <c r="J5" s="231">
        <v>0.44675324675324674</v>
      </c>
      <c r="K5" s="1287"/>
    </row>
    <row r="6" spans="2:15" ht="13.15">
      <c r="B6" s="246" t="s">
        <v>132</v>
      </c>
      <c r="C6" s="226" t="s">
        <v>1528</v>
      </c>
      <c r="D6" s="347">
        <v>722</v>
      </c>
      <c r="E6" s="1436"/>
      <c r="F6" s="226">
        <v>7</v>
      </c>
      <c r="G6" s="1439"/>
      <c r="H6" s="226">
        <f t="shared" si="0"/>
        <v>729</v>
      </c>
      <c r="I6" s="230">
        <v>431</v>
      </c>
      <c r="J6" s="231">
        <v>0.37316017316017314</v>
      </c>
      <c r="K6" s="1287"/>
    </row>
    <row r="7" spans="2:15" ht="13.9" thickBot="1">
      <c r="B7" s="249" t="s">
        <v>132</v>
      </c>
      <c r="C7" s="253" t="s">
        <v>1529</v>
      </c>
      <c r="D7" s="348">
        <v>596</v>
      </c>
      <c r="E7" s="1437"/>
      <c r="F7" s="253">
        <v>0</v>
      </c>
      <c r="G7" s="1440"/>
      <c r="H7" s="253">
        <f t="shared" si="0"/>
        <v>596</v>
      </c>
      <c r="I7" s="254">
        <v>577</v>
      </c>
      <c r="J7" s="255">
        <v>0.49956709956709955</v>
      </c>
      <c r="K7" s="1288"/>
    </row>
    <row r="10" spans="2:15" ht="39.6">
      <c r="B10" s="300" t="s">
        <v>7</v>
      </c>
      <c r="C10" s="297" t="s">
        <v>343</v>
      </c>
      <c r="D10" s="297" t="s">
        <v>344</v>
      </c>
      <c r="E10" s="298" t="s">
        <v>255</v>
      </c>
      <c r="F10" s="298" t="s">
        <v>256</v>
      </c>
      <c r="G10" s="298" t="s">
        <v>258</v>
      </c>
      <c r="H10" s="297" t="s">
        <v>259</v>
      </c>
      <c r="I10" s="297" t="s">
        <v>260</v>
      </c>
      <c r="J10" s="297" t="s">
        <v>1530</v>
      </c>
      <c r="K10" s="297" t="s">
        <v>1531</v>
      </c>
      <c r="L10" s="297" t="s">
        <v>265</v>
      </c>
      <c r="M10" s="297" t="s">
        <v>268</v>
      </c>
      <c r="N10" s="297" t="s">
        <v>269</v>
      </c>
      <c r="O10" s="338" t="s">
        <v>1532</v>
      </c>
    </row>
    <row r="11" spans="2:15" ht="13.15">
      <c r="B11" s="197" t="s">
        <v>315</v>
      </c>
      <c r="C11" s="197" t="s">
        <v>1533</v>
      </c>
      <c r="D11" s="197" t="s">
        <v>352</v>
      </c>
      <c r="E11" s="197">
        <v>18</v>
      </c>
      <c r="F11" s="197">
        <v>5</v>
      </c>
      <c r="G11" s="197">
        <f>(E11-F11)*3</f>
        <v>39</v>
      </c>
      <c r="H11" s="197">
        <f>INT((G11*1000)/230)</f>
        <v>169</v>
      </c>
      <c r="I11" s="197">
        <f>42-G11</f>
        <v>3</v>
      </c>
      <c r="J11" s="197">
        <v>67</v>
      </c>
      <c r="K11" s="197">
        <f>INT((J11*230)/1000)</f>
        <v>15</v>
      </c>
      <c r="L11" s="197">
        <f>K11*1.09</f>
        <v>16.350000000000001</v>
      </c>
      <c r="M11" s="197">
        <v>0</v>
      </c>
      <c r="N11" s="197">
        <f>(M11*230)/1000</f>
        <v>0</v>
      </c>
      <c r="O11">
        <f>((L11/E11)*1000)/54.5</f>
        <v>16.666666666666668</v>
      </c>
    </row>
    <row r="12" spans="2:15" ht="13.15">
      <c r="B12" s="197" t="s">
        <v>315</v>
      </c>
      <c r="C12" s="197" t="s">
        <v>1534</v>
      </c>
      <c r="D12" s="197" t="s">
        <v>352</v>
      </c>
      <c r="E12" s="197">
        <v>18</v>
      </c>
      <c r="F12" s="197">
        <v>5</v>
      </c>
      <c r="G12" s="197">
        <f>(E12-F12)*3</f>
        <v>39</v>
      </c>
      <c r="H12" s="197">
        <f>INT((G12*1000)/230)</f>
        <v>169</v>
      </c>
      <c r="I12" s="197">
        <f>42-G12</f>
        <v>3</v>
      </c>
      <c r="J12" s="197">
        <v>37</v>
      </c>
      <c r="K12" s="197">
        <f>INT((J12*230)/1000)</f>
        <v>8</v>
      </c>
      <c r="L12" s="197">
        <f>K12*1.09</f>
        <v>8.7200000000000006</v>
      </c>
      <c r="M12" s="197">
        <v>0</v>
      </c>
      <c r="N12" s="197">
        <f>(M12*230)/1000</f>
        <v>0</v>
      </c>
      <c r="O12">
        <f>((L12/E12)*1000)/54.5</f>
        <v>8.8888888888888893</v>
      </c>
    </row>
    <row r="13" spans="2:15" ht="13.15">
      <c r="B13" s="197" t="s">
        <v>315</v>
      </c>
      <c r="C13" s="197" t="s">
        <v>1535</v>
      </c>
      <c r="D13" s="197" t="s">
        <v>352</v>
      </c>
      <c r="E13" s="197">
        <v>18</v>
      </c>
      <c r="F13" s="197">
        <v>5</v>
      </c>
      <c r="G13" s="197">
        <f>(E13-F13)*3</f>
        <v>39</v>
      </c>
      <c r="H13" s="197">
        <f>INT((G13*1000)/230)</f>
        <v>169</v>
      </c>
      <c r="I13" s="197">
        <f>42-G13</f>
        <v>3</v>
      </c>
      <c r="J13" s="197">
        <v>30</v>
      </c>
      <c r="K13" s="197">
        <f>INT((J13*230)/1000)</f>
        <v>6</v>
      </c>
      <c r="L13" s="197">
        <f>K13*1.09</f>
        <v>6.5400000000000009</v>
      </c>
      <c r="M13" s="197">
        <v>8</v>
      </c>
      <c r="N13" s="197">
        <f>(M13*230)/1000</f>
        <v>1.84</v>
      </c>
      <c r="O13">
        <f>((L13/E13)*1000)/54.5</f>
        <v>6.666666666666667</v>
      </c>
    </row>
    <row r="14" spans="2:15" ht="13.15">
      <c r="B14" s="197" t="s">
        <v>315</v>
      </c>
      <c r="C14" s="197" t="s">
        <v>1536</v>
      </c>
      <c r="D14" s="197" t="s">
        <v>352</v>
      </c>
      <c r="E14" s="197">
        <v>8</v>
      </c>
      <c r="F14" s="197">
        <v>3</v>
      </c>
      <c r="G14" s="197">
        <f>(E14-F14)*3</f>
        <v>15</v>
      </c>
      <c r="H14" s="197">
        <f>INT((G14*1000)/230)</f>
        <v>65</v>
      </c>
      <c r="I14" s="197">
        <f>42-G14</f>
        <v>27</v>
      </c>
      <c r="J14" s="197">
        <v>2</v>
      </c>
      <c r="K14" s="197">
        <f>INT((J14*230)/1000)</f>
        <v>0</v>
      </c>
      <c r="L14" s="197">
        <f>K14*1.09</f>
        <v>0</v>
      </c>
      <c r="M14" s="197">
        <v>0</v>
      </c>
      <c r="N14" s="197">
        <f>(M14*230)/1000</f>
        <v>0</v>
      </c>
      <c r="O14">
        <f>((L14/E14)*1000)/54.5</f>
        <v>0</v>
      </c>
    </row>
    <row r="17" spans="2:12" ht="13.15">
      <c r="B17" s="349"/>
      <c r="C17" s="350" t="s">
        <v>1533</v>
      </c>
      <c r="D17" s="350" t="s">
        <v>1534</v>
      </c>
      <c r="E17" s="350" t="s">
        <v>1535</v>
      </c>
      <c r="F17" s="350" t="s">
        <v>1536</v>
      </c>
      <c r="G17" s="356" t="s">
        <v>1537</v>
      </c>
      <c r="H17" s="792" t="s">
        <v>1538</v>
      </c>
      <c r="I17" s="792" t="s">
        <v>1539</v>
      </c>
      <c r="J17" s="792" t="s">
        <v>1540</v>
      </c>
      <c r="K17" s="792" t="s">
        <v>1541</v>
      </c>
      <c r="L17" s="792" t="s">
        <v>1542</v>
      </c>
    </row>
    <row r="18" spans="2:12">
      <c r="B18" s="351" t="s">
        <v>1524</v>
      </c>
      <c r="C18">
        <v>4</v>
      </c>
      <c r="D18">
        <v>3</v>
      </c>
      <c r="E18">
        <v>4</v>
      </c>
      <c r="G18" s="352">
        <f t="shared" ref="G18:G23" si="1">(C18*$O$11)+(D18*$O$12)+(E18*$O$13)</f>
        <v>120.00000000000001</v>
      </c>
      <c r="H18" s="357">
        <f t="shared" ref="H18:H23" si="2">D2-G18</f>
        <v>554</v>
      </c>
      <c r="I18" s="357">
        <f t="shared" ref="I18:I23" si="3">SUM(C30:D30)</f>
        <v>9</v>
      </c>
      <c r="J18" s="359">
        <f t="shared" ref="J18:J23" si="4">I18*$H$26</f>
        <v>104.94</v>
      </c>
      <c r="K18" s="357">
        <f t="shared" ref="K18:K23" si="5">H18+J18</f>
        <v>658.94</v>
      </c>
      <c r="L18" s="361">
        <f t="shared" ref="L18:L23" si="6">K18-D2</f>
        <v>-15.059999999999945</v>
      </c>
    </row>
    <row r="19" spans="2:12">
      <c r="B19" s="351" t="s">
        <v>1525</v>
      </c>
      <c r="C19">
        <v>3</v>
      </c>
      <c r="D19">
        <v>3</v>
      </c>
      <c r="E19">
        <v>3</v>
      </c>
      <c r="G19" s="352">
        <f t="shared" si="1"/>
        <v>96.666666666666671</v>
      </c>
      <c r="H19" s="357">
        <f t="shared" si="2"/>
        <v>486.33333333333331</v>
      </c>
      <c r="I19" s="357">
        <f t="shared" si="3"/>
        <v>9</v>
      </c>
      <c r="J19" s="359">
        <f t="shared" si="4"/>
        <v>104.94</v>
      </c>
      <c r="K19" s="357">
        <f t="shared" si="5"/>
        <v>591.27333333333331</v>
      </c>
      <c r="L19" s="361">
        <f t="shared" si="6"/>
        <v>8.2733333333333121</v>
      </c>
    </row>
    <row r="20" spans="2:12">
      <c r="B20" s="351" t="s">
        <v>1526</v>
      </c>
      <c r="C20">
        <v>3</v>
      </c>
      <c r="D20">
        <v>4</v>
      </c>
      <c r="E20">
        <v>3</v>
      </c>
      <c r="G20" s="352">
        <f t="shared" si="1"/>
        <v>105.55555555555556</v>
      </c>
      <c r="H20" s="357">
        <f t="shared" si="2"/>
        <v>500.44444444444446</v>
      </c>
      <c r="I20" s="357">
        <f t="shared" si="3"/>
        <v>9</v>
      </c>
      <c r="J20" s="359">
        <f t="shared" si="4"/>
        <v>104.94</v>
      </c>
      <c r="K20" s="357">
        <f t="shared" si="5"/>
        <v>605.3844444444444</v>
      </c>
      <c r="L20" s="361">
        <f t="shared" si="6"/>
        <v>-0.61555555555560204</v>
      </c>
    </row>
    <row r="21" spans="2:12">
      <c r="B21" s="351" t="s">
        <v>1527</v>
      </c>
      <c r="C21">
        <v>4</v>
      </c>
      <c r="D21">
        <v>4</v>
      </c>
      <c r="E21">
        <v>4</v>
      </c>
      <c r="G21" s="352">
        <f t="shared" si="1"/>
        <v>128.88888888888889</v>
      </c>
      <c r="H21" s="357">
        <f t="shared" si="2"/>
        <v>460.11111111111109</v>
      </c>
      <c r="I21" s="357">
        <f t="shared" si="3"/>
        <v>8</v>
      </c>
      <c r="J21" s="359">
        <f t="shared" si="4"/>
        <v>93.28</v>
      </c>
      <c r="K21" s="357">
        <f t="shared" si="5"/>
        <v>553.39111111111106</v>
      </c>
      <c r="L21" s="361">
        <f t="shared" si="6"/>
        <v>-35.608888888888941</v>
      </c>
    </row>
    <row r="22" spans="2:12">
      <c r="B22" s="351" t="s">
        <v>1528</v>
      </c>
      <c r="C22">
        <v>4</v>
      </c>
      <c r="D22">
        <v>4</v>
      </c>
      <c r="E22">
        <v>4</v>
      </c>
      <c r="G22" s="352">
        <f t="shared" si="1"/>
        <v>128.88888888888889</v>
      </c>
      <c r="H22" s="357">
        <f t="shared" si="2"/>
        <v>593.11111111111109</v>
      </c>
      <c r="I22" s="357">
        <f t="shared" si="3"/>
        <v>8</v>
      </c>
      <c r="J22" s="359">
        <f t="shared" si="4"/>
        <v>93.28</v>
      </c>
      <c r="K22" s="357">
        <f t="shared" si="5"/>
        <v>686.39111111111106</v>
      </c>
      <c r="L22" s="361">
        <f t="shared" si="6"/>
        <v>-35.608888888888941</v>
      </c>
    </row>
    <row r="23" spans="2:12" ht="10.9" thickBot="1">
      <c r="B23" s="353" t="s">
        <v>1529</v>
      </c>
      <c r="C23" s="354"/>
      <c r="D23" s="354"/>
      <c r="E23" s="354"/>
      <c r="F23" s="354"/>
      <c r="G23" s="355">
        <f t="shared" si="1"/>
        <v>0</v>
      </c>
      <c r="H23" s="358">
        <f t="shared" si="2"/>
        <v>596</v>
      </c>
      <c r="I23" s="358">
        <f t="shared" si="3"/>
        <v>9</v>
      </c>
      <c r="J23" s="360">
        <f t="shared" si="4"/>
        <v>104.94</v>
      </c>
      <c r="K23" s="358">
        <f t="shared" si="5"/>
        <v>700.94</v>
      </c>
      <c r="L23" s="362">
        <f t="shared" si="6"/>
        <v>104.94000000000005</v>
      </c>
    </row>
    <row r="25" spans="2:12">
      <c r="C25" s="338" t="s">
        <v>14</v>
      </c>
      <c r="D25" s="338" t="s">
        <v>1543</v>
      </c>
      <c r="E25" s="338" t="s">
        <v>1544</v>
      </c>
    </row>
    <row r="26" spans="2:12">
      <c r="B26" s="338" t="s">
        <v>316</v>
      </c>
      <c r="C26">
        <v>26</v>
      </c>
      <c r="D26">
        <v>15.5</v>
      </c>
      <c r="E26">
        <f>ROUNDUP(((D26/C26)*1000)/54.5,0)*1.06</f>
        <v>11.66</v>
      </c>
      <c r="G26" s="338" t="s">
        <v>1545</v>
      </c>
      <c r="H26">
        <f>MAX(E26:E27)</f>
        <v>11.66</v>
      </c>
    </row>
    <row r="27" spans="2:12">
      <c r="B27" s="338" t="s">
        <v>319</v>
      </c>
      <c r="C27">
        <v>26</v>
      </c>
      <c r="D27">
        <v>15.5</v>
      </c>
      <c r="E27">
        <f>ROUNDUP(((D27/C27)*1000)/54.5,0)*1.06</f>
        <v>11.66</v>
      </c>
    </row>
    <row r="28" spans="2:12" ht="10.9" thickBot="1"/>
    <row r="29" spans="2:12">
      <c r="B29" s="349"/>
      <c r="C29" s="366" t="s">
        <v>316</v>
      </c>
      <c r="D29" s="367" t="s">
        <v>319</v>
      </c>
    </row>
    <row r="30" spans="2:12">
      <c r="B30" s="351" t="s">
        <v>1524</v>
      </c>
      <c r="C30" s="5"/>
      <c r="D30" s="363">
        <v>9</v>
      </c>
    </row>
    <row r="31" spans="2:12">
      <c r="B31" s="351" t="s">
        <v>1525</v>
      </c>
      <c r="C31" s="5">
        <v>9</v>
      </c>
      <c r="D31" s="363"/>
    </row>
    <row r="32" spans="2:12">
      <c r="B32" s="351" t="s">
        <v>1526</v>
      </c>
      <c r="C32" s="5">
        <v>9</v>
      </c>
      <c r="D32" s="363"/>
    </row>
    <row r="33" spans="2:4">
      <c r="B33" s="351" t="s">
        <v>1527</v>
      </c>
      <c r="C33" s="5">
        <v>8</v>
      </c>
      <c r="D33" s="363"/>
    </row>
    <row r="34" spans="2:4">
      <c r="B34" s="351" t="s">
        <v>1528</v>
      </c>
      <c r="C34" s="5"/>
      <c r="D34" s="363">
        <v>8</v>
      </c>
    </row>
    <row r="35" spans="2:4" ht="10.9" thickBot="1">
      <c r="B35" s="353" t="s">
        <v>1529</v>
      </c>
      <c r="C35" s="364"/>
      <c r="D35" s="365">
        <v>9</v>
      </c>
    </row>
    <row r="36" spans="2:4">
      <c r="C36" s="5">
        <f>SUM(C30:C35)</f>
        <v>26</v>
      </c>
      <c r="D36" s="5">
        <f>SUM(D30:D35)</f>
        <v>26</v>
      </c>
    </row>
  </sheetData>
  <mergeCells count="3">
    <mergeCell ref="E2:E7"/>
    <mergeCell ref="G2:G7"/>
    <mergeCell ref="K2:K7"/>
  </mergeCells>
  <conditionalFormatting sqref="J2:J7">
    <cfRule type="cellIs" dxfId="77" priority="4" stopIfTrue="1" operator="lessThanOrEqual">
      <formula>0</formula>
    </cfRule>
    <cfRule type="cellIs" dxfId="76" priority="5" stopIfTrue="1" operator="lessThan">
      <formula>0.06</formula>
    </cfRule>
    <cfRule type="cellIs" dxfId="75" priority="6" stopIfTrue="1" operator="greaterThanOrEqual">
      <formula>0.195</formula>
    </cfRule>
    <cfRule type="cellIs" dxfId="74" priority="7" stopIfTrue="1" operator="between">
      <formula>0.06</formula>
      <formula>0.195</formula>
    </cfRule>
  </conditionalFormatting>
  <conditionalFormatting sqref="K2:K7">
    <cfRule type="cellIs" dxfId="73" priority="1" stopIfTrue="1" operator="lessThan">
      <formula>0.805</formula>
    </cfRule>
    <cfRule type="cellIs" dxfId="72" priority="2" stopIfTrue="1" operator="between">
      <formula>0.805</formula>
      <formula>0.945</formula>
    </cfRule>
    <cfRule type="cellIs" dxfId="71"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26"/>
  <dimension ref="B1:O38"/>
  <sheetViews>
    <sheetView topLeftCell="C1" workbookViewId="0">
      <selection activeCell="AC46" sqref="AC46"/>
    </sheetView>
  </sheetViews>
  <sheetFormatPr defaultColWidth="20.5" defaultRowHeight="13.9"/>
  <cols>
    <col min="1" max="16384" width="20.5" style="369"/>
  </cols>
  <sheetData>
    <row r="1" spans="2:15" ht="14.45" thickBot="1">
      <c r="B1" s="368" t="s">
        <v>512</v>
      </c>
      <c r="C1" s="368" t="s">
        <v>580</v>
      </c>
      <c r="D1" s="368" t="s">
        <v>1485</v>
      </c>
      <c r="E1" s="368" t="s">
        <v>1522</v>
      </c>
      <c r="F1" s="368" t="s">
        <v>23</v>
      </c>
      <c r="G1" s="368"/>
      <c r="H1" s="368" t="s">
        <v>1523</v>
      </c>
      <c r="I1" s="368" t="s">
        <v>542</v>
      </c>
      <c r="J1" s="368"/>
      <c r="K1" s="368"/>
    </row>
    <row r="2" spans="2:15">
      <c r="B2" s="370" t="s">
        <v>106</v>
      </c>
      <c r="C2" s="371" t="s">
        <v>1546</v>
      </c>
      <c r="D2" s="372">
        <v>756</v>
      </c>
      <c r="E2" s="1441">
        <v>274.57100000000003</v>
      </c>
      <c r="F2" s="371">
        <v>7</v>
      </c>
      <c r="G2" s="1444">
        <v>9.7055000000000007</v>
      </c>
      <c r="H2" s="373">
        <v>763</v>
      </c>
      <c r="I2" s="374">
        <v>392</v>
      </c>
      <c r="J2" s="375">
        <v>0.33939393939393941</v>
      </c>
      <c r="K2" s="1447">
        <v>0.73839222222222234</v>
      </c>
    </row>
    <row r="3" spans="2:15">
      <c r="B3" s="376" t="s">
        <v>106</v>
      </c>
      <c r="C3" s="377" t="s">
        <v>1547</v>
      </c>
      <c r="D3" s="378">
        <v>814</v>
      </c>
      <c r="E3" s="1442"/>
      <c r="F3" s="377">
        <v>49</v>
      </c>
      <c r="G3" s="1445"/>
      <c r="H3" s="377">
        <v>863</v>
      </c>
      <c r="I3" s="379">
        <v>292</v>
      </c>
      <c r="J3" s="380">
        <v>0.25281385281385282</v>
      </c>
      <c r="K3" s="1448"/>
    </row>
    <row r="4" spans="2:15">
      <c r="B4" s="376" t="s">
        <v>106</v>
      </c>
      <c r="C4" s="377" t="s">
        <v>1548</v>
      </c>
      <c r="D4" s="378">
        <v>903</v>
      </c>
      <c r="E4" s="1442"/>
      <c r="F4" s="377">
        <v>7</v>
      </c>
      <c r="G4" s="1445"/>
      <c r="H4" s="377">
        <v>910</v>
      </c>
      <c r="I4" s="379">
        <v>245</v>
      </c>
      <c r="J4" s="380">
        <v>0.21212121212121213</v>
      </c>
      <c r="K4" s="1448"/>
    </row>
    <row r="5" spans="2:15">
      <c r="B5" s="376" t="s">
        <v>106</v>
      </c>
      <c r="C5" s="377" t="s">
        <v>1549</v>
      </c>
      <c r="D5" s="378">
        <v>869</v>
      </c>
      <c r="E5" s="1442"/>
      <c r="F5" s="377">
        <v>49</v>
      </c>
      <c r="G5" s="1445"/>
      <c r="H5" s="377">
        <v>918</v>
      </c>
      <c r="I5" s="379">
        <v>237</v>
      </c>
      <c r="J5" s="380">
        <v>0.20519480519480521</v>
      </c>
      <c r="K5" s="1448"/>
    </row>
    <row r="6" spans="2:15">
      <c r="B6" s="376" t="s">
        <v>106</v>
      </c>
      <c r="C6" s="377" t="s">
        <v>1550</v>
      </c>
      <c r="D6" s="378">
        <v>861</v>
      </c>
      <c r="E6" s="1442"/>
      <c r="F6" s="377">
        <v>0</v>
      </c>
      <c r="G6" s="1445"/>
      <c r="H6" s="377">
        <v>861</v>
      </c>
      <c r="I6" s="379">
        <v>294</v>
      </c>
      <c r="J6" s="380">
        <v>0.25454545454545452</v>
      </c>
      <c r="K6" s="1449"/>
    </row>
    <row r="7" spans="2:15" ht="14.45" thickBot="1">
      <c r="B7" s="381" t="s">
        <v>106</v>
      </c>
      <c r="C7" s="382" t="s">
        <v>1551</v>
      </c>
      <c r="D7" s="383">
        <v>835</v>
      </c>
      <c r="E7" s="1443"/>
      <c r="F7" s="382">
        <v>7</v>
      </c>
      <c r="G7" s="1446"/>
      <c r="H7" s="382">
        <v>842</v>
      </c>
      <c r="I7" s="384">
        <v>313</v>
      </c>
      <c r="J7" s="385">
        <v>0.27099567099567101</v>
      </c>
      <c r="K7" s="1450"/>
    </row>
    <row r="10" spans="2:15" ht="27.6">
      <c r="B10" s="386" t="s">
        <v>7</v>
      </c>
      <c r="C10" s="387" t="s">
        <v>343</v>
      </c>
      <c r="D10" s="387" t="s">
        <v>344</v>
      </c>
      <c r="E10" s="388" t="s">
        <v>255</v>
      </c>
      <c r="F10" s="388" t="s">
        <v>256</v>
      </c>
      <c r="G10" s="388" t="s">
        <v>258</v>
      </c>
      <c r="H10" s="387" t="s">
        <v>259</v>
      </c>
      <c r="I10" s="387" t="s">
        <v>260</v>
      </c>
      <c r="J10" s="387" t="s">
        <v>1530</v>
      </c>
      <c r="K10" s="387" t="s">
        <v>1531</v>
      </c>
      <c r="L10" s="387" t="s">
        <v>265</v>
      </c>
      <c r="M10" s="387" t="s">
        <v>268</v>
      </c>
      <c r="N10" s="387" t="s">
        <v>269</v>
      </c>
      <c r="O10" s="369" t="s">
        <v>1532</v>
      </c>
    </row>
    <row r="11" spans="2:15">
      <c r="B11" s="389" t="s">
        <v>297</v>
      </c>
      <c r="C11" s="389" t="s">
        <v>1552</v>
      </c>
      <c r="D11" s="389" t="s">
        <v>352</v>
      </c>
      <c r="E11" s="389">
        <v>18</v>
      </c>
      <c r="F11" s="389">
        <v>5</v>
      </c>
      <c r="G11" s="389">
        <f>(E11-F11)*3</f>
        <v>39</v>
      </c>
      <c r="H11" s="389">
        <f>INT((G11*1000)/230)</f>
        <v>169</v>
      </c>
      <c r="I11" s="389">
        <f>42-G11</f>
        <v>3</v>
      </c>
      <c r="J11" s="389">
        <v>66</v>
      </c>
      <c r="K11" s="389">
        <f>INT((J11*230)/1000)</f>
        <v>15</v>
      </c>
      <c r="L11" s="389">
        <f>K11*1.09</f>
        <v>16.350000000000001</v>
      </c>
      <c r="M11" s="389"/>
      <c r="N11" s="389"/>
      <c r="O11" s="369">
        <f>((L11/E11)*1000)/54.5</f>
        <v>16.666666666666668</v>
      </c>
    </row>
    <row r="12" spans="2:15">
      <c r="B12" s="389" t="s">
        <v>297</v>
      </c>
      <c r="C12" s="389" t="s">
        <v>1553</v>
      </c>
      <c r="D12" s="389" t="s">
        <v>352</v>
      </c>
      <c r="E12" s="389">
        <v>18</v>
      </c>
      <c r="F12" s="389">
        <v>5</v>
      </c>
      <c r="G12" s="389">
        <f>(E12-F12)*3</f>
        <v>39</v>
      </c>
      <c r="H12" s="389">
        <f>INT((G12*1000)/230)</f>
        <v>169</v>
      </c>
      <c r="I12" s="389">
        <f>42-G12</f>
        <v>3</v>
      </c>
      <c r="J12" s="389">
        <v>71</v>
      </c>
      <c r="K12" s="389">
        <f>INT((J12*230)/1000)</f>
        <v>16</v>
      </c>
      <c r="L12" s="389">
        <f>K12*1.09</f>
        <v>17.440000000000001</v>
      </c>
      <c r="M12" s="389"/>
      <c r="N12" s="389"/>
      <c r="O12" s="369">
        <f>((L12/E12)*1000)/54.5</f>
        <v>17.777777777777779</v>
      </c>
    </row>
    <row r="13" spans="2:15">
      <c r="B13" s="389" t="s">
        <v>297</v>
      </c>
      <c r="C13" s="389" t="s">
        <v>1554</v>
      </c>
      <c r="D13" s="389" t="s">
        <v>352</v>
      </c>
      <c r="E13" s="389">
        <v>18</v>
      </c>
      <c r="F13" s="389">
        <v>5</v>
      </c>
      <c r="G13" s="389">
        <f>(E13-F13)*3</f>
        <v>39</v>
      </c>
      <c r="H13" s="389">
        <f>INT((G13*1000)/230)</f>
        <v>169</v>
      </c>
      <c r="I13" s="389">
        <f>42-G13</f>
        <v>3</v>
      </c>
      <c r="J13" s="389">
        <v>64</v>
      </c>
      <c r="K13" s="389">
        <f>INT((J13*230)/1000)</f>
        <v>14</v>
      </c>
      <c r="L13" s="389">
        <f>K13*1.09</f>
        <v>15.260000000000002</v>
      </c>
      <c r="M13" s="389"/>
      <c r="N13" s="389"/>
      <c r="O13" s="369">
        <f>((L13/E13)*1000)/54.5</f>
        <v>15.555555555555557</v>
      </c>
    </row>
    <row r="14" spans="2:15">
      <c r="B14" s="389" t="s">
        <v>297</v>
      </c>
      <c r="C14" s="389" t="s">
        <v>1555</v>
      </c>
      <c r="D14" s="389" t="s">
        <v>352</v>
      </c>
      <c r="E14" s="389">
        <v>9</v>
      </c>
      <c r="F14" s="389">
        <v>2</v>
      </c>
      <c r="G14" s="389">
        <f>(E14-F14)*3</f>
        <v>21</v>
      </c>
      <c r="H14" s="389">
        <f>INT((G14*1000)/230)</f>
        <v>91</v>
      </c>
      <c r="I14" s="389">
        <f>42-G14</f>
        <v>21</v>
      </c>
      <c r="J14" s="389">
        <v>31</v>
      </c>
      <c r="K14" s="389">
        <f>INT((J14*230)/1000)</f>
        <v>7</v>
      </c>
      <c r="L14" s="389">
        <f>K14*1.09</f>
        <v>7.6300000000000008</v>
      </c>
      <c r="M14" s="389"/>
      <c r="N14" s="389"/>
      <c r="O14" s="369">
        <f>((L14/E14)*1000)/54.5</f>
        <v>15.555555555555557</v>
      </c>
    </row>
    <row r="17" spans="2:12">
      <c r="B17" s="390"/>
      <c r="C17" s="391" t="s">
        <v>1552</v>
      </c>
      <c r="D17" s="391" t="s">
        <v>1553</v>
      </c>
      <c r="E17" s="391" t="s">
        <v>1554</v>
      </c>
      <c r="F17" s="391" t="s">
        <v>1555</v>
      </c>
      <c r="G17" s="392" t="s">
        <v>1537</v>
      </c>
      <c r="H17" s="393" t="s">
        <v>1538</v>
      </c>
      <c r="I17" s="393" t="s">
        <v>1539</v>
      </c>
      <c r="J17" s="393" t="s">
        <v>1540</v>
      </c>
      <c r="K17" s="393" t="s">
        <v>1541</v>
      </c>
      <c r="L17" s="393" t="s">
        <v>1542</v>
      </c>
    </row>
    <row r="18" spans="2:12">
      <c r="B18" s="394" t="s">
        <v>1546</v>
      </c>
      <c r="C18" s="369">
        <v>4</v>
      </c>
      <c r="D18" s="369">
        <v>4</v>
      </c>
      <c r="E18" s="369">
        <v>4</v>
      </c>
      <c r="F18" s="369">
        <v>2</v>
      </c>
      <c r="G18" s="395">
        <f t="shared" ref="G18:G23" si="0">(C18*$O$11)+(D18*$O$12)+(E18*$O$13)+(F18*$O$14)</f>
        <v>231.11111111111111</v>
      </c>
      <c r="H18" s="396">
        <f t="shared" ref="H18:H23" si="1">D2-G18</f>
        <v>524.88888888888891</v>
      </c>
      <c r="I18" s="396">
        <f t="shared" ref="I18:I23" si="2">SUM(C32:F32)</f>
        <v>20</v>
      </c>
      <c r="J18" s="397">
        <f t="shared" ref="J18:J23" si="3">I18*$H$26</f>
        <v>254.4</v>
      </c>
      <c r="K18" s="396">
        <f t="shared" ref="K18:K23" si="4">H18+J18</f>
        <v>779.28888888888889</v>
      </c>
      <c r="L18" s="398">
        <f t="shared" ref="L18:L23" si="5">K18-D2</f>
        <v>23.288888888888891</v>
      </c>
    </row>
    <row r="19" spans="2:12">
      <c r="B19" s="394" t="s">
        <v>1547</v>
      </c>
      <c r="C19" s="369">
        <v>3</v>
      </c>
      <c r="D19" s="369">
        <v>3</v>
      </c>
      <c r="E19" s="369">
        <v>3</v>
      </c>
      <c r="F19" s="369">
        <v>1</v>
      </c>
      <c r="G19" s="395">
        <f t="shared" si="0"/>
        <v>165.55555555555554</v>
      </c>
      <c r="H19" s="396">
        <f t="shared" si="1"/>
        <v>648.44444444444446</v>
      </c>
      <c r="I19" s="396">
        <f t="shared" si="2"/>
        <v>14</v>
      </c>
      <c r="J19" s="397">
        <f t="shared" si="3"/>
        <v>178.08</v>
      </c>
      <c r="K19" s="396">
        <f t="shared" si="4"/>
        <v>826.5244444444445</v>
      </c>
      <c r="L19" s="398">
        <f t="shared" si="5"/>
        <v>12.524444444444498</v>
      </c>
    </row>
    <row r="20" spans="2:12">
      <c r="B20" s="394" t="s">
        <v>1548</v>
      </c>
      <c r="C20" s="369">
        <v>3</v>
      </c>
      <c r="D20" s="369">
        <v>3</v>
      </c>
      <c r="E20" s="369">
        <v>3</v>
      </c>
      <c r="F20" s="369">
        <v>2</v>
      </c>
      <c r="G20" s="395">
        <f t="shared" si="0"/>
        <v>181.11111111111111</v>
      </c>
      <c r="H20" s="396">
        <f t="shared" si="1"/>
        <v>721.88888888888891</v>
      </c>
      <c r="I20" s="396">
        <f t="shared" si="2"/>
        <v>14</v>
      </c>
      <c r="J20" s="397">
        <f t="shared" si="3"/>
        <v>178.08</v>
      </c>
      <c r="K20" s="396">
        <f t="shared" si="4"/>
        <v>899.96888888888896</v>
      </c>
      <c r="L20" s="398">
        <f t="shared" si="5"/>
        <v>-3.0311111111110449</v>
      </c>
    </row>
    <row r="21" spans="2:12">
      <c r="B21" s="394" t="s">
        <v>1549</v>
      </c>
      <c r="C21" s="369">
        <v>4</v>
      </c>
      <c r="D21" s="369">
        <v>4</v>
      </c>
      <c r="E21" s="369">
        <v>4</v>
      </c>
      <c r="F21" s="369">
        <v>2</v>
      </c>
      <c r="G21" s="395">
        <f t="shared" si="0"/>
        <v>231.11111111111111</v>
      </c>
      <c r="H21" s="396">
        <f t="shared" si="1"/>
        <v>637.88888888888891</v>
      </c>
      <c r="I21" s="396">
        <f t="shared" si="2"/>
        <v>14</v>
      </c>
      <c r="J21" s="397">
        <f t="shared" si="3"/>
        <v>178.08</v>
      </c>
      <c r="K21" s="396">
        <f t="shared" si="4"/>
        <v>815.96888888888896</v>
      </c>
      <c r="L21" s="398">
        <f t="shared" si="5"/>
        <v>-53.031111111111045</v>
      </c>
    </row>
    <row r="22" spans="2:12">
      <c r="B22" s="394" t="s">
        <v>1550</v>
      </c>
      <c r="G22" s="395">
        <f t="shared" si="0"/>
        <v>0</v>
      </c>
      <c r="H22" s="396">
        <f t="shared" si="1"/>
        <v>861</v>
      </c>
      <c r="I22" s="396">
        <f t="shared" si="2"/>
        <v>7</v>
      </c>
      <c r="J22" s="397">
        <f t="shared" si="3"/>
        <v>89.04</v>
      </c>
      <c r="K22" s="396">
        <f t="shared" si="4"/>
        <v>950.04</v>
      </c>
      <c r="L22" s="398">
        <f t="shared" si="5"/>
        <v>89.039999999999964</v>
      </c>
    </row>
    <row r="23" spans="2:12" ht="14.45" thickBot="1">
      <c r="B23" s="399" t="s">
        <v>1551</v>
      </c>
      <c r="C23" s="400">
        <v>4</v>
      </c>
      <c r="D23" s="400">
        <v>4</v>
      </c>
      <c r="E23" s="400">
        <v>4</v>
      </c>
      <c r="F23" s="400">
        <v>2</v>
      </c>
      <c r="G23" s="401">
        <f t="shared" si="0"/>
        <v>231.11111111111111</v>
      </c>
      <c r="H23" s="402">
        <f t="shared" si="1"/>
        <v>603.88888888888891</v>
      </c>
      <c r="I23" s="402">
        <f t="shared" si="2"/>
        <v>15</v>
      </c>
      <c r="J23" s="403">
        <f t="shared" si="3"/>
        <v>190.8</v>
      </c>
      <c r="K23" s="402">
        <f t="shared" si="4"/>
        <v>794.68888888888887</v>
      </c>
      <c r="L23" s="404">
        <f t="shared" si="5"/>
        <v>-40.311111111111131</v>
      </c>
    </row>
    <row r="25" spans="2:12">
      <c r="C25" s="369" t="s">
        <v>14</v>
      </c>
      <c r="D25" s="369" t="s">
        <v>1543</v>
      </c>
      <c r="E25" s="369" t="s">
        <v>1544</v>
      </c>
    </row>
    <row r="26" spans="2:12">
      <c r="B26" s="369" t="s">
        <v>298</v>
      </c>
      <c r="C26" s="369">
        <v>21</v>
      </c>
      <c r="D26" s="369">
        <v>13.5</v>
      </c>
      <c r="E26" s="369">
        <f>ROUNDUP(((D26/C26)*1000)/54.5,0)*1.06</f>
        <v>12.72</v>
      </c>
      <c r="G26" s="369" t="s">
        <v>1556</v>
      </c>
      <c r="H26" s="369">
        <f>MAX(E26:E29)</f>
        <v>12.72</v>
      </c>
    </row>
    <row r="27" spans="2:12">
      <c r="B27" s="369" t="s">
        <v>301</v>
      </c>
      <c r="C27" s="369">
        <v>21</v>
      </c>
      <c r="D27" s="369">
        <v>13.5</v>
      </c>
      <c r="E27" s="369">
        <f>ROUNDUP(((D27/C27)*1000)/54.5,0)*1.06</f>
        <v>12.72</v>
      </c>
    </row>
    <row r="28" spans="2:12">
      <c r="B28" s="369" t="s">
        <v>302</v>
      </c>
      <c r="C28" s="369">
        <v>21</v>
      </c>
      <c r="D28" s="369">
        <v>13.5</v>
      </c>
      <c r="E28" s="369">
        <f>ROUNDUP(((D28/C28)*1000)/54.5,0)*1.06</f>
        <v>12.72</v>
      </c>
    </row>
    <row r="29" spans="2:12">
      <c r="B29" s="369" t="s">
        <v>304</v>
      </c>
      <c r="C29" s="369">
        <v>21</v>
      </c>
      <c r="D29" s="369">
        <v>13.5</v>
      </c>
      <c r="E29" s="369">
        <f>ROUNDUP(((D29/C29)*1000)/54.5,0)*1.06</f>
        <v>12.72</v>
      </c>
    </row>
    <row r="30" spans="2:12" ht="14.45" thickBot="1"/>
    <row r="31" spans="2:12">
      <c r="B31" s="390"/>
      <c r="C31" s="391" t="s">
        <v>298</v>
      </c>
      <c r="D31" s="391" t="s">
        <v>301</v>
      </c>
      <c r="E31" s="391" t="s">
        <v>302</v>
      </c>
      <c r="F31" s="392" t="s">
        <v>304</v>
      </c>
    </row>
    <row r="32" spans="2:12">
      <c r="B32" s="394" t="s">
        <v>1546</v>
      </c>
      <c r="C32" s="389"/>
      <c r="D32" s="389">
        <v>10</v>
      </c>
      <c r="E32" s="389"/>
      <c r="F32" s="405">
        <v>10</v>
      </c>
    </row>
    <row r="33" spans="2:6">
      <c r="B33" s="394" t="s">
        <v>1547</v>
      </c>
      <c r="C33" s="389">
        <v>7</v>
      </c>
      <c r="D33" s="389"/>
      <c r="E33" s="389">
        <v>7</v>
      </c>
      <c r="F33" s="405"/>
    </row>
    <row r="34" spans="2:6">
      <c r="B34" s="394" t="s">
        <v>1548</v>
      </c>
      <c r="C34" s="389">
        <v>7</v>
      </c>
      <c r="D34" s="389"/>
      <c r="E34" s="389">
        <v>7</v>
      </c>
      <c r="F34" s="405"/>
    </row>
    <row r="35" spans="2:6">
      <c r="B35" s="394" t="s">
        <v>1549</v>
      </c>
      <c r="C35" s="389">
        <v>7</v>
      </c>
      <c r="D35" s="389"/>
      <c r="E35" s="389">
        <v>7</v>
      </c>
      <c r="F35" s="405"/>
    </row>
    <row r="36" spans="2:6">
      <c r="B36" s="394" t="s">
        <v>1550</v>
      </c>
      <c r="C36" s="389"/>
      <c r="D36" s="389">
        <v>2</v>
      </c>
      <c r="E36" s="389"/>
      <c r="F36" s="405">
        <v>5</v>
      </c>
    </row>
    <row r="37" spans="2:6" ht="14.45" thickBot="1">
      <c r="B37" s="399" t="s">
        <v>1551</v>
      </c>
      <c r="C37" s="406"/>
      <c r="D37" s="406">
        <v>9</v>
      </c>
      <c r="E37" s="406"/>
      <c r="F37" s="407">
        <v>6</v>
      </c>
    </row>
    <row r="38" spans="2:6">
      <c r="C38" s="389">
        <f>SUM(C32:C37)</f>
        <v>21</v>
      </c>
      <c r="D38" s="389">
        <f>SUM(D32:D37)</f>
        <v>21</v>
      </c>
      <c r="E38" s="389">
        <f>SUM(E32:E37)</f>
        <v>21</v>
      </c>
      <c r="F38" s="389">
        <f>SUM(F32:F37)</f>
        <v>21</v>
      </c>
    </row>
  </sheetData>
  <mergeCells count="3">
    <mergeCell ref="E2:E7"/>
    <mergeCell ref="G2:G7"/>
    <mergeCell ref="K2:K7"/>
  </mergeCells>
  <conditionalFormatting sqref="J2:J7">
    <cfRule type="cellIs" dxfId="70" priority="4" stopIfTrue="1" operator="lessThanOrEqual">
      <formula>0</formula>
    </cfRule>
    <cfRule type="cellIs" dxfId="69" priority="5" stopIfTrue="1" operator="lessThan">
      <formula>0.06</formula>
    </cfRule>
    <cfRule type="cellIs" dxfId="68" priority="6" stopIfTrue="1" operator="greaterThanOrEqual">
      <formula>0.195</formula>
    </cfRule>
    <cfRule type="cellIs" dxfId="67" priority="7" stopIfTrue="1" operator="between">
      <formula>0.06</formula>
      <formula>0.195</formula>
    </cfRule>
  </conditionalFormatting>
  <conditionalFormatting sqref="K2:K7">
    <cfRule type="cellIs" dxfId="66" priority="1" stopIfTrue="1" operator="lessThan">
      <formula>0.805</formula>
    </cfRule>
    <cfRule type="cellIs" dxfId="65" priority="2" stopIfTrue="1" operator="between">
      <formula>0.805</formula>
      <formula>0.945</formula>
    </cfRule>
    <cfRule type="cellIs" dxfId="64"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27"/>
  <dimension ref="B1:O29"/>
  <sheetViews>
    <sheetView zoomScale="80" zoomScaleNormal="80" workbookViewId="0">
      <selection activeCell="AC46" sqref="AC46"/>
    </sheetView>
  </sheetViews>
  <sheetFormatPr defaultColWidth="21.5" defaultRowHeight="13.9"/>
  <cols>
    <col min="1" max="16384" width="21.5" style="369"/>
  </cols>
  <sheetData>
    <row r="1" spans="2:15" ht="14.45" thickBot="1">
      <c r="B1" s="368" t="s">
        <v>512</v>
      </c>
      <c r="C1" s="368" t="s">
        <v>580</v>
      </c>
      <c r="D1" s="368" t="s">
        <v>1485</v>
      </c>
      <c r="E1" s="368" t="s">
        <v>1522</v>
      </c>
      <c r="F1" s="368" t="s">
        <v>23</v>
      </c>
      <c r="G1" s="368"/>
      <c r="H1" s="368" t="s">
        <v>1523</v>
      </c>
      <c r="I1" s="368" t="s">
        <v>542</v>
      </c>
      <c r="J1" s="368"/>
      <c r="K1" s="368"/>
    </row>
    <row r="2" spans="2:15">
      <c r="B2" s="370" t="s">
        <v>145</v>
      </c>
      <c r="C2" s="371" t="s">
        <v>146</v>
      </c>
      <c r="D2" s="372">
        <v>787</v>
      </c>
      <c r="E2" s="1441"/>
      <c r="F2" s="371"/>
      <c r="G2" s="1444"/>
      <c r="H2" s="373"/>
      <c r="I2" s="374"/>
      <c r="J2" s="375"/>
      <c r="K2" s="1447"/>
    </row>
    <row r="3" spans="2:15">
      <c r="B3" s="376" t="s">
        <v>145</v>
      </c>
      <c r="C3" s="377" t="s">
        <v>147</v>
      </c>
      <c r="D3" s="378">
        <v>765</v>
      </c>
      <c r="E3" s="1442"/>
      <c r="F3" s="377"/>
      <c r="G3" s="1445"/>
      <c r="H3" s="377"/>
      <c r="I3" s="379"/>
      <c r="J3" s="380"/>
      <c r="K3" s="1448"/>
    </row>
    <row r="4" spans="2:15">
      <c r="B4" s="376" t="s">
        <v>145</v>
      </c>
      <c r="C4" s="377" t="s">
        <v>148</v>
      </c>
      <c r="D4" s="378">
        <v>765</v>
      </c>
      <c r="E4" s="1442"/>
      <c r="F4" s="377"/>
      <c r="G4" s="1445"/>
      <c r="H4" s="377"/>
      <c r="I4" s="379"/>
      <c r="J4" s="380"/>
      <c r="K4" s="1448"/>
    </row>
    <row r="5" spans="2:15">
      <c r="B5" s="376" t="s">
        <v>145</v>
      </c>
      <c r="C5" s="377" t="s">
        <v>149</v>
      </c>
      <c r="D5" s="378">
        <v>663</v>
      </c>
      <c r="E5" s="1442"/>
      <c r="F5" s="377"/>
      <c r="G5" s="1445"/>
      <c r="H5" s="377"/>
      <c r="I5" s="379"/>
      <c r="J5" s="380"/>
      <c r="K5" s="1448"/>
    </row>
    <row r="6" spans="2:15">
      <c r="B6" s="376" t="s">
        <v>145</v>
      </c>
      <c r="C6" s="377" t="s">
        <v>150</v>
      </c>
      <c r="D6" s="378">
        <v>777</v>
      </c>
      <c r="E6" s="1442"/>
      <c r="F6" s="377"/>
      <c r="G6" s="1445"/>
      <c r="H6" s="377"/>
      <c r="I6" s="379"/>
      <c r="J6" s="380"/>
      <c r="K6" s="1449"/>
    </row>
    <row r="7" spans="2:15" ht="14.45" thickBot="1">
      <c r="B7" s="381" t="s">
        <v>145</v>
      </c>
      <c r="C7" s="382" t="s">
        <v>151</v>
      </c>
      <c r="D7" s="383">
        <v>850</v>
      </c>
      <c r="E7" s="1443"/>
      <c r="F7" s="382"/>
      <c r="G7" s="1446"/>
      <c r="H7" s="382"/>
      <c r="I7" s="384"/>
      <c r="J7" s="385"/>
      <c r="K7" s="1450"/>
    </row>
    <row r="10" spans="2:15" ht="27.6">
      <c r="B10" s="386" t="s">
        <v>7</v>
      </c>
      <c r="C10" s="387" t="s">
        <v>343</v>
      </c>
      <c r="D10" s="387" t="s">
        <v>344</v>
      </c>
      <c r="E10" s="388" t="s">
        <v>255</v>
      </c>
      <c r="F10" s="388" t="s">
        <v>256</v>
      </c>
      <c r="G10" s="388" t="s">
        <v>258</v>
      </c>
      <c r="H10" s="387" t="s">
        <v>259</v>
      </c>
      <c r="I10" s="387" t="s">
        <v>260</v>
      </c>
      <c r="J10" s="387" t="s">
        <v>1530</v>
      </c>
      <c r="K10" s="387" t="s">
        <v>1531</v>
      </c>
      <c r="L10" s="387" t="s">
        <v>265</v>
      </c>
      <c r="M10" s="387" t="s">
        <v>268</v>
      </c>
      <c r="N10" s="387" t="s">
        <v>269</v>
      </c>
      <c r="O10" s="369" t="s">
        <v>1532</v>
      </c>
    </row>
    <row r="11" spans="2:15">
      <c r="B11" s="389" t="s">
        <v>320</v>
      </c>
      <c r="C11" s="389" t="s">
        <v>1557</v>
      </c>
      <c r="D11" s="389" t="s">
        <v>352</v>
      </c>
      <c r="E11" s="389">
        <v>18</v>
      </c>
      <c r="F11" s="389">
        <v>4</v>
      </c>
      <c r="G11" s="389">
        <v>42</v>
      </c>
      <c r="H11" s="389">
        <v>182</v>
      </c>
      <c r="I11" s="389">
        <v>0</v>
      </c>
      <c r="J11" s="389">
        <v>85</v>
      </c>
      <c r="K11" s="389">
        <v>19</v>
      </c>
      <c r="L11" s="389">
        <v>20.71</v>
      </c>
      <c r="M11" s="389"/>
      <c r="N11" s="389"/>
      <c r="O11" s="369">
        <f>((L11/E11)*1000)/54.5</f>
        <v>21.111111111111114</v>
      </c>
    </row>
    <row r="12" spans="2:15">
      <c r="B12" s="389" t="s">
        <v>320</v>
      </c>
      <c r="C12" s="389" t="s">
        <v>1558</v>
      </c>
      <c r="D12" s="389" t="s">
        <v>352</v>
      </c>
      <c r="E12" s="389">
        <v>18</v>
      </c>
      <c r="F12" s="389">
        <v>4</v>
      </c>
      <c r="G12" s="389">
        <v>42</v>
      </c>
      <c r="H12" s="389">
        <v>182</v>
      </c>
      <c r="I12" s="389">
        <v>0</v>
      </c>
      <c r="J12" s="389">
        <v>57</v>
      </c>
      <c r="K12" s="389">
        <v>13</v>
      </c>
      <c r="L12" s="389">
        <v>14.170000000000002</v>
      </c>
      <c r="M12" s="389"/>
      <c r="N12" s="389"/>
      <c r="O12" s="369">
        <f>((L12/E12)*1000)/54.5</f>
        <v>14.444444444444446</v>
      </c>
    </row>
    <row r="13" spans="2:15">
      <c r="B13" s="389" t="s">
        <v>320</v>
      </c>
      <c r="C13" s="389" t="s">
        <v>1559</v>
      </c>
      <c r="D13" s="389" t="s">
        <v>352</v>
      </c>
      <c r="E13" s="389">
        <v>18</v>
      </c>
      <c r="F13" s="389">
        <v>4</v>
      </c>
      <c r="G13" s="389">
        <v>42</v>
      </c>
      <c r="H13" s="389">
        <v>182</v>
      </c>
      <c r="I13" s="389">
        <v>0</v>
      </c>
      <c r="J13" s="389">
        <v>47</v>
      </c>
      <c r="K13" s="389">
        <v>10</v>
      </c>
      <c r="L13" s="389">
        <v>10.9</v>
      </c>
      <c r="M13" s="389"/>
      <c r="N13" s="389"/>
      <c r="O13" s="369">
        <f>((L13/E13)*1000)/54.5</f>
        <v>11.111111111111112</v>
      </c>
    </row>
    <row r="14" spans="2:15">
      <c r="B14" s="389"/>
      <c r="C14" s="389"/>
      <c r="D14" s="389"/>
      <c r="E14" s="389"/>
      <c r="F14" s="389"/>
      <c r="G14" s="389"/>
      <c r="H14" s="389"/>
      <c r="I14" s="389"/>
      <c r="J14" s="389"/>
      <c r="K14" s="389"/>
      <c r="L14" s="389"/>
      <c r="M14" s="389"/>
      <c r="N14" s="389"/>
      <c r="O14" s="369" t="e">
        <f>((L14/E14)*1000)/54.5</f>
        <v>#DIV/0!</v>
      </c>
    </row>
    <row r="17" spans="2:12">
      <c r="B17" s="390"/>
      <c r="C17" s="391" t="s">
        <v>1557</v>
      </c>
      <c r="D17" s="391" t="s">
        <v>1558</v>
      </c>
      <c r="E17" s="391" t="s">
        <v>1559</v>
      </c>
      <c r="F17" s="391"/>
      <c r="G17" s="392" t="s">
        <v>1537</v>
      </c>
      <c r="H17" s="393" t="s">
        <v>1538</v>
      </c>
      <c r="I17" s="393" t="s">
        <v>1539</v>
      </c>
      <c r="J17" s="393" t="s">
        <v>1540</v>
      </c>
      <c r="K17" s="393" t="s">
        <v>1541</v>
      </c>
      <c r="L17" s="393" t="s">
        <v>1542</v>
      </c>
    </row>
    <row r="18" spans="2:12">
      <c r="B18" s="394" t="s">
        <v>146</v>
      </c>
      <c r="C18" s="369">
        <v>3</v>
      </c>
      <c r="D18" s="369">
        <v>3</v>
      </c>
      <c r="E18" s="369">
        <v>3</v>
      </c>
      <c r="G18" s="395">
        <f t="shared" ref="G18:G23" si="0">(C18*$O$11)+(D18*$O$12)+(E18*$O$13)</f>
        <v>140.00000000000003</v>
      </c>
      <c r="H18" s="396">
        <f t="shared" ref="H18:H23" si="1">D2-G18</f>
        <v>647</v>
      </c>
      <c r="I18" s="396">
        <v>13</v>
      </c>
      <c r="J18" s="397">
        <f t="shared" ref="J18:J23" si="2">I18*$H$26</f>
        <v>206.70000000000002</v>
      </c>
      <c r="K18" s="396">
        <f t="shared" ref="K18:K23" si="3">H18+J18</f>
        <v>853.7</v>
      </c>
      <c r="L18" s="398">
        <f t="shared" ref="L18:L23" si="4">K18-D2</f>
        <v>66.700000000000045</v>
      </c>
    </row>
    <row r="19" spans="2:12">
      <c r="B19" s="394" t="s">
        <v>147</v>
      </c>
      <c r="C19" s="369">
        <v>3</v>
      </c>
      <c r="D19" s="369">
        <v>3</v>
      </c>
      <c r="E19" s="369">
        <v>3</v>
      </c>
      <c r="G19" s="395">
        <f t="shared" si="0"/>
        <v>140.00000000000003</v>
      </c>
      <c r="H19" s="396">
        <f t="shared" si="1"/>
        <v>625</v>
      </c>
      <c r="I19" s="396">
        <v>11</v>
      </c>
      <c r="J19" s="397">
        <f t="shared" si="2"/>
        <v>174.9</v>
      </c>
      <c r="K19" s="396">
        <f t="shared" si="3"/>
        <v>799.9</v>
      </c>
      <c r="L19" s="398">
        <f t="shared" si="4"/>
        <v>34.899999999999977</v>
      </c>
    </row>
    <row r="20" spans="2:12">
      <c r="B20" s="394" t="s">
        <v>148</v>
      </c>
      <c r="C20" s="369">
        <v>3</v>
      </c>
      <c r="D20" s="369">
        <v>3</v>
      </c>
      <c r="E20" s="369">
        <v>3</v>
      </c>
      <c r="G20" s="395">
        <f t="shared" si="0"/>
        <v>140.00000000000003</v>
      </c>
      <c r="H20" s="396">
        <f t="shared" si="1"/>
        <v>625</v>
      </c>
      <c r="I20" s="396">
        <v>12</v>
      </c>
      <c r="J20" s="397">
        <f t="shared" si="2"/>
        <v>190.8</v>
      </c>
      <c r="K20" s="396">
        <f t="shared" si="3"/>
        <v>815.8</v>
      </c>
      <c r="L20" s="398">
        <f t="shared" si="4"/>
        <v>50.799999999999955</v>
      </c>
    </row>
    <row r="21" spans="2:12">
      <c r="B21" s="394" t="s">
        <v>149</v>
      </c>
      <c r="C21" s="369">
        <v>3</v>
      </c>
      <c r="D21" s="369">
        <v>3</v>
      </c>
      <c r="E21" s="369">
        <v>3</v>
      </c>
      <c r="G21" s="395">
        <f t="shared" si="0"/>
        <v>140.00000000000003</v>
      </c>
      <c r="H21" s="396">
        <f t="shared" si="1"/>
        <v>523</v>
      </c>
      <c r="I21" s="396">
        <v>13</v>
      </c>
      <c r="J21" s="397">
        <f t="shared" si="2"/>
        <v>206.70000000000002</v>
      </c>
      <c r="K21" s="396">
        <f t="shared" si="3"/>
        <v>729.7</v>
      </c>
      <c r="L21" s="398">
        <f t="shared" si="4"/>
        <v>66.700000000000045</v>
      </c>
    </row>
    <row r="22" spans="2:12">
      <c r="B22" s="394" t="s">
        <v>150</v>
      </c>
      <c r="C22" s="369">
        <v>3</v>
      </c>
      <c r="D22" s="369">
        <v>3</v>
      </c>
      <c r="E22" s="369">
        <v>3</v>
      </c>
      <c r="G22" s="395">
        <f t="shared" si="0"/>
        <v>140.00000000000003</v>
      </c>
      <c r="H22" s="396">
        <f t="shared" si="1"/>
        <v>637</v>
      </c>
      <c r="I22" s="396">
        <v>12</v>
      </c>
      <c r="J22" s="397">
        <f t="shared" si="2"/>
        <v>190.8</v>
      </c>
      <c r="K22" s="396">
        <f t="shared" si="3"/>
        <v>827.8</v>
      </c>
      <c r="L22" s="398">
        <f t="shared" si="4"/>
        <v>50.799999999999955</v>
      </c>
    </row>
    <row r="23" spans="2:12" ht="14.45" thickBot="1">
      <c r="B23" s="399" t="s">
        <v>151</v>
      </c>
      <c r="C23" s="400">
        <v>3</v>
      </c>
      <c r="D23" s="400">
        <v>3</v>
      </c>
      <c r="E23" s="400">
        <v>3</v>
      </c>
      <c r="F23" s="400"/>
      <c r="G23" s="401">
        <f t="shared" si="0"/>
        <v>140.00000000000003</v>
      </c>
      <c r="H23" s="402">
        <f t="shared" si="1"/>
        <v>710</v>
      </c>
      <c r="I23" s="402">
        <v>11</v>
      </c>
      <c r="J23" s="403">
        <f t="shared" si="2"/>
        <v>174.9</v>
      </c>
      <c r="K23" s="402">
        <f t="shared" si="3"/>
        <v>884.9</v>
      </c>
      <c r="L23" s="404">
        <f t="shared" si="4"/>
        <v>34.899999999999977</v>
      </c>
    </row>
    <row r="25" spans="2:12">
      <c r="C25" s="369" t="s">
        <v>14</v>
      </c>
      <c r="D25" s="369" t="s">
        <v>1543</v>
      </c>
      <c r="E25" s="369" t="s">
        <v>1544</v>
      </c>
    </row>
    <row r="26" spans="2:12">
      <c r="B26" s="369" t="s">
        <v>324</v>
      </c>
      <c r="C26" s="369">
        <v>14</v>
      </c>
      <c r="D26" s="369">
        <v>10</v>
      </c>
      <c r="E26" s="369">
        <f>ROUNDUP(((D26/C26)*1000)/54.5,0)*1.06</f>
        <v>14.84</v>
      </c>
      <c r="G26" s="369" t="s">
        <v>1556</v>
      </c>
      <c r="H26" s="369">
        <f>MAX(E26:E29)</f>
        <v>15.9</v>
      </c>
    </row>
    <row r="27" spans="2:12">
      <c r="B27" s="369" t="s">
        <v>325</v>
      </c>
      <c r="C27" s="369">
        <v>14</v>
      </c>
      <c r="D27" s="369">
        <v>10</v>
      </c>
      <c r="E27" s="369">
        <f>ROUNDUP(((D27/C27)*1000)/54.5,0)*1.06</f>
        <v>14.84</v>
      </c>
    </row>
    <row r="28" spans="2:12">
      <c r="B28" s="369" t="s">
        <v>326</v>
      </c>
      <c r="C28" s="369">
        <v>22</v>
      </c>
      <c r="D28" s="369">
        <v>17.5</v>
      </c>
      <c r="E28" s="369">
        <f>ROUNDUP(((D28/C28)*1000)/54.5,0)*1.06</f>
        <v>15.9</v>
      </c>
    </row>
    <row r="29" spans="2:12">
      <c r="B29" s="369" t="s">
        <v>327</v>
      </c>
      <c r="C29" s="369">
        <v>22</v>
      </c>
      <c r="D29" s="369">
        <v>17.5</v>
      </c>
      <c r="E29" s="369">
        <f>ROUNDUP(((D29/C29)*1000)/54.5,0)*1.06</f>
        <v>15.9</v>
      </c>
    </row>
  </sheetData>
  <mergeCells count="3">
    <mergeCell ref="E2:E7"/>
    <mergeCell ref="G2:G7"/>
    <mergeCell ref="K2:K7"/>
  </mergeCells>
  <conditionalFormatting sqref="J2:J7">
    <cfRule type="cellIs" dxfId="63" priority="4" stopIfTrue="1" operator="lessThanOrEqual">
      <formula>0</formula>
    </cfRule>
    <cfRule type="cellIs" dxfId="62" priority="5" stopIfTrue="1" operator="lessThan">
      <formula>0.06</formula>
    </cfRule>
    <cfRule type="cellIs" dxfId="61" priority="6" stopIfTrue="1" operator="greaterThanOrEqual">
      <formula>0.195</formula>
    </cfRule>
    <cfRule type="cellIs" dxfId="60" priority="7" stopIfTrue="1" operator="between">
      <formula>0.06</formula>
      <formula>0.195</formula>
    </cfRule>
  </conditionalFormatting>
  <conditionalFormatting sqref="K2:K7">
    <cfRule type="cellIs" dxfId="59" priority="1" stopIfTrue="1" operator="lessThan">
      <formula>0.805</formula>
    </cfRule>
    <cfRule type="cellIs" dxfId="58" priority="2" stopIfTrue="1" operator="between">
      <formula>0.805</formula>
      <formula>0.945</formula>
    </cfRule>
    <cfRule type="cellIs" dxfId="57"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28"/>
  <dimension ref="B1:O44"/>
  <sheetViews>
    <sheetView zoomScale="80" zoomScaleNormal="80" workbookViewId="0">
      <selection activeCell="AC46" sqref="AC46"/>
    </sheetView>
  </sheetViews>
  <sheetFormatPr defaultColWidth="14.6640625" defaultRowHeight="13.9"/>
  <cols>
    <col min="1" max="16384" width="14.6640625" style="369"/>
  </cols>
  <sheetData>
    <row r="1" spans="2:15" ht="14.45" thickBot="1">
      <c r="B1" s="368" t="s">
        <v>512</v>
      </c>
      <c r="C1" s="368" t="s">
        <v>580</v>
      </c>
      <c r="D1" s="368" t="s">
        <v>1485</v>
      </c>
    </row>
    <row r="2" spans="2:15">
      <c r="B2" s="370" t="s">
        <v>52</v>
      </c>
      <c r="C2" s="371" t="s">
        <v>53</v>
      </c>
      <c r="D2" s="372">
        <v>766</v>
      </c>
    </row>
    <row r="3" spans="2:15">
      <c r="B3" s="376" t="s">
        <v>52</v>
      </c>
      <c r="C3" s="377" t="s">
        <v>59</v>
      </c>
      <c r="D3" s="378">
        <v>815</v>
      </c>
    </row>
    <row r="4" spans="2:15">
      <c r="B4" s="376" t="s">
        <v>52</v>
      </c>
      <c r="C4" s="377" t="s">
        <v>62</v>
      </c>
      <c r="D4" s="378">
        <v>732</v>
      </c>
    </row>
    <row r="5" spans="2:15">
      <c r="B5" s="376" t="s">
        <v>52</v>
      </c>
      <c r="C5" s="377" t="s">
        <v>63</v>
      </c>
      <c r="D5" s="377">
        <v>809</v>
      </c>
    </row>
    <row r="6" spans="2:15">
      <c r="B6" s="376" t="s">
        <v>52</v>
      </c>
      <c r="C6" s="377" t="s">
        <v>65</v>
      </c>
      <c r="D6" s="377">
        <v>848</v>
      </c>
    </row>
    <row r="7" spans="2:15">
      <c r="B7" s="376" t="s">
        <v>52</v>
      </c>
      <c r="C7" s="377" t="s">
        <v>66</v>
      </c>
      <c r="D7" s="377">
        <v>321</v>
      </c>
    </row>
    <row r="8" spans="2:15">
      <c r="B8" s="376" t="s">
        <v>52</v>
      </c>
      <c r="C8" s="377" t="s">
        <v>67</v>
      </c>
      <c r="D8" s="377">
        <v>815</v>
      </c>
    </row>
    <row r="9" spans="2:15" ht="14.45" thickBot="1">
      <c r="B9" s="381" t="s">
        <v>52</v>
      </c>
      <c r="C9" s="382" t="s">
        <v>68</v>
      </c>
      <c r="D9" s="382">
        <v>797</v>
      </c>
    </row>
    <row r="12" spans="2:15" ht="41.45">
      <c r="B12" s="386" t="s">
        <v>7</v>
      </c>
      <c r="C12" s="387" t="s">
        <v>343</v>
      </c>
      <c r="D12" s="387" t="s">
        <v>344</v>
      </c>
      <c r="E12" s="388" t="s">
        <v>255</v>
      </c>
      <c r="F12" s="388" t="s">
        <v>256</v>
      </c>
      <c r="G12" s="388" t="s">
        <v>258</v>
      </c>
      <c r="H12" s="387" t="s">
        <v>259</v>
      </c>
      <c r="I12" s="387" t="s">
        <v>260</v>
      </c>
      <c r="J12" s="387" t="s">
        <v>1530</v>
      </c>
      <c r="K12" s="387" t="s">
        <v>1531</v>
      </c>
      <c r="L12" s="387" t="s">
        <v>265</v>
      </c>
      <c r="M12" s="387" t="s">
        <v>268</v>
      </c>
      <c r="N12" s="387" t="s">
        <v>269</v>
      </c>
      <c r="O12" s="369" t="s">
        <v>1532</v>
      </c>
    </row>
    <row r="13" spans="2:15">
      <c r="B13" s="389" t="s">
        <v>280</v>
      </c>
      <c r="C13" s="389" t="s">
        <v>1560</v>
      </c>
      <c r="D13" s="389" t="s">
        <v>352</v>
      </c>
      <c r="E13" s="389">
        <v>18</v>
      </c>
      <c r="F13" s="389">
        <v>4</v>
      </c>
      <c r="G13" s="389">
        <f>(E13-F13)*3</f>
        <v>42</v>
      </c>
      <c r="H13" s="389">
        <f>INT((G13*1000)/230)</f>
        <v>182</v>
      </c>
      <c r="I13" s="389">
        <f>42-G13</f>
        <v>0</v>
      </c>
      <c r="J13" s="389">
        <v>108</v>
      </c>
      <c r="K13" s="389">
        <f>INT((J13*230)/1000)</f>
        <v>24</v>
      </c>
      <c r="L13" s="389">
        <f>K13*1.09</f>
        <v>26.160000000000004</v>
      </c>
      <c r="M13" s="389"/>
      <c r="N13" s="389"/>
      <c r="O13" s="369">
        <f>((L13/E13)*1000)/54.5</f>
        <v>26.666666666666668</v>
      </c>
    </row>
    <row r="14" spans="2:15">
      <c r="B14" s="389" t="s">
        <v>280</v>
      </c>
      <c r="C14" s="389" t="s">
        <v>1561</v>
      </c>
      <c r="D14" s="389" t="s">
        <v>352</v>
      </c>
      <c r="E14" s="389">
        <v>18</v>
      </c>
      <c r="F14" s="389">
        <v>4</v>
      </c>
      <c r="G14" s="389">
        <f>(E14-F14)*3</f>
        <v>42</v>
      </c>
      <c r="H14" s="389">
        <f>INT((G14*1000)/230)</f>
        <v>182</v>
      </c>
      <c r="I14" s="389">
        <f>42-G14</f>
        <v>0</v>
      </c>
      <c r="J14" s="389">
        <v>110</v>
      </c>
      <c r="K14" s="389">
        <f>INT((J14*230)/1000)</f>
        <v>25</v>
      </c>
      <c r="L14" s="389">
        <f>K14*1.09</f>
        <v>27.250000000000004</v>
      </c>
      <c r="M14" s="389"/>
      <c r="N14" s="389"/>
      <c r="O14" s="369">
        <f>((L14/E14)*1000)/54.5</f>
        <v>27.777777777777782</v>
      </c>
    </row>
    <row r="15" spans="2:15">
      <c r="B15" s="389" t="s">
        <v>280</v>
      </c>
      <c r="C15" s="389" t="s">
        <v>1562</v>
      </c>
      <c r="D15" s="389" t="s">
        <v>352</v>
      </c>
      <c r="E15" s="389">
        <v>18</v>
      </c>
      <c r="F15" s="389">
        <v>4</v>
      </c>
      <c r="G15" s="389">
        <f>(E15-F15)*3</f>
        <v>42</v>
      </c>
      <c r="H15" s="389">
        <f>INT((G15*1000)/230)</f>
        <v>182</v>
      </c>
      <c r="I15" s="389">
        <f>42-G15</f>
        <v>0</v>
      </c>
      <c r="J15" s="389">
        <v>86</v>
      </c>
      <c r="K15" s="389">
        <f>INT((J15*230)/1000)</f>
        <v>19</v>
      </c>
      <c r="L15" s="389">
        <f>K15*1.09</f>
        <v>20.71</v>
      </c>
      <c r="M15" s="389"/>
      <c r="N15" s="389"/>
      <c r="O15" s="369">
        <f>((L15/E15)*1000)/54.5</f>
        <v>21.111111111111114</v>
      </c>
    </row>
    <row r="16" spans="2:15">
      <c r="B16" s="389" t="s">
        <v>280</v>
      </c>
      <c r="C16" s="389" t="s">
        <v>1563</v>
      </c>
      <c r="D16" s="389" t="s">
        <v>352</v>
      </c>
      <c r="E16" s="389">
        <v>18</v>
      </c>
      <c r="F16" s="389">
        <v>4</v>
      </c>
      <c r="G16" s="389">
        <f>(E16-F16)*3</f>
        <v>42</v>
      </c>
      <c r="H16" s="389">
        <f>INT((G16*1000)/230)</f>
        <v>182</v>
      </c>
      <c r="I16" s="389">
        <f>42-G16</f>
        <v>0</v>
      </c>
      <c r="J16" s="389">
        <v>46</v>
      </c>
      <c r="K16" s="389">
        <f>INT((J16*230)/1000)</f>
        <v>10</v>
      </c>
      <c r="L16" s="389">
        <f>K16*1.09</f>
        <v>10.9</v>
      </c>
      <c r="M16" s="389"/>
      <c r="N16" s="389"/>
      <c r="O16" s="369">
        <f>((L16/E16)*1000)/54.5</f>
        <v>11.111111111111112</v>
      </c>
    </row>
    <row r="17" spans="2:15">
      <c r="B17" s="389" t="s">
        <v>280</v>
      </c>
      <c r="C17" s="389" t="s">
        <v>1564</v>
      </c>
      <c r="D17" s="389" t="s">
        <v>352</v>
      </c>
      <c r="E17" s="389">
        <v>18</v>
      </c>
      <c r="F17" s="389">
        <v>4</v>
      </c>
      <c r="G17" s="389">
        <f>(E17-F17)*3</f>
        <v>42</v>
      </c>
      <c r="H17" s="389">
        <f>INT((G17*1000)/230)</f>
        <v>182</v>
      </c>
      <c r="I17" s="389">
        <f>42-G17</f>
        <v>0</v>
      </c>
      <c r="J17" s="389">
        <v>33</v>
      </c>
      <c r="K17" s="389">
        <f>INT((J17*230)/1000)</f>
        <v>7</v>
      </c>
      <c r="L17" s="389">
        <f>K17*1.09</f>
        <v>7.6300000000000008</v>
      </c>
      <c r="O17" s="369">
        <f>((L17/E17)*1000)/54.5</f>
        <v>7.7777777777777786</v>
      </c>
    </row>
    <row r="18" spans="2:15" ht="14.45" thickBot="1"/>
    <row r="19" spans="2:15">
      <c r="B19" s="390"/>
      <c r="C19" s="391" t="s">
        <v>1560</v>
      </c>
      <c r="D19" s="391" t="s">
        <v>1561</v>
      </c>
      <c r="E19" s="391" t="s">
        <v>1562</v>
      </c>
      <c r="F19" s="391" t="s">
        <v>1563</v>
      </c>
      <c r="G19" s="391" t="s">
        <v>1564</v>
      </c>
      <c r="H19" s="391" t="s">
        <v>1537</v>
      </c>
      <c r="I19" s="408" t="s">
        <v>1538</v>
      </c>
      <c r="J19" s="408" t="s">
        <v>1539</v>
      </c>
      <c r="K19" s="408" t="s">
        <v>1540</v>
      </c>
      <c r="L19" s="408" t="s">
        <v>1541</v>
      </c>
      <c r="M19" s="393" t="s">
        <v>1542</v>
      </c>
    </row>
    <row r="20" spans="2:15">
      <c r="B20" s="394" t="s">
        <v>53</v>
      </c>
      <c r="C20" s="369">
        <v>3</v>
      </c>
      <c r="D20" s="369">
        <v>2</v>
      </c>
      <c r="E20" s="369">
        <v>3</v>
      </c>
      <c r="F20" s="369">
        <v>3</v>
      </c>
      <c r="G20" s="369">
        <v>3</v>
      </c>
      <c r="H20" s="369">
        <f>(C20*$O$13)+(D20*$O$14)+(E20*$O$15)+(F20*$O$16)+(G20*$O$17)</f>
        <v>255.5555555555556</v>
      </c>
      <c r="I20" s="409">
        <f t="shared" ref="I20:I25" si="0">D2-H20</f>
        <v>510.4444444444444</v>
      </c>
      <c r="J20" s="409">
        <f>SUM(C36:F36)</f>
        <v>10</v>
      </c>
      <c r="K20" s="411">
        <f>J20*$H$30</f>
        <v>190.8</v>
      </c>
      <c r="L20" s="409">
        <f t="shared" ref="L20:L25" si="1">I20+K20</f>
        <v>701.24444444444441</v>
      </c>
      <c r="M20" s="398">
        <f t="shared" ref="M20:M27" si="2">L20-D2</f>
        <v>-64.755555555555588</v>
      </c>
    </row>
    <row r="21" spans="2:15">
      <c r="B21" s="394" t="s">
        <v>59</v>
      </c>
      <c r="C21" s="369">
        <v>3</v>
      </c>
      <c r="D21" s="369">
        <v>3</v>
      </c>
      <c r="E21" s="369">
        <v>2</v>
      </c>
      <c r="F21" s="369">
        <v>3</v>
      </c>
      <c r="G21" s="369">
        <v>3</v>
      </c>
      <c r="H21" s="369">
        <f t="shared" ref="H21:H27" si="3">(C21*$O$13)+(D21*$O$14)+(E21*$O$15)+(F21*$O$16)+(G21*$O$17)</f>
        <v>262.22222222222223</v>
      </c>
      <c r="I21" s="409">
        <f t="shared" si="0"/>
        <v>552.77777777777783</v>
      </c>
      <c r="J21" s="409">
        <f t="shared" ref="J21:J27" si="4">SUM(C37:F37)</f>
        <v>10</v>
      </c>
      <c r="K21" s="411">
        <f t="shared" ref="K21:K27" si="5">J21*$H$30</f>
        <v>190.8</v>
      </c>
      <c r="L21" s="409">
        <f t="shared" si="1"/>
        <v>743.57777777777778</v>
      </c>
      <c r="M21" s="398">
        <f t="shared" si="2"/>
        <v>-71.422222222222217</v>
      </c>
    </row>
    <row r="22" spans="2:15">
      <c r="B22" s="394" t="s">
        <v>62</v>
      </c>
      <c r="C22" s="369">
        <v>3</v>
      </c>
      <c r="D22" s="369">
        <v>2</v>
      </c>
      <c r="E22" s="369">
        <v>3</v>
      </c>
      <c r="F22" s="369">
        <v>3</v>
      </c>
      <c r="H22" s="369">
        <f t="shared" si="3"/>
        <v>232.22222222222226</v>
      </c>
      <c r="I22" s="409">
        <f t="shared" si="0"/>
        <v>499.77777777777771</v>
      </c>
      <c r="J22" s="409">
        <f t="shared" si="4"/>
        <v>20</v>
      </c>
      <c r="K22" s="411">
        <f t="shared" si="5"/>
        <v>381.6</v>
      </c>
      <c r="L22" s="409">
        <f t="shared" si="1"/>
        <v>881.37777777777774</v>
      </c>
      <c r="M22" s="398">
        <f t="shared" si="2"/>
        <v>149.37777777777774</v>
      </c>
    </row>
    <row r="23" spans="2:15">
      <c r="B23" s="394" t="s">
        <v>63</v>
      </c>
      <c r="C23" s="369">
        <v>3</v>
      </c>
      <c r="D23" s="369">
        <v>3</v>
      </c>
      <c r="E23" s="369">
        <v>2</v>
      </c>
      <c r="F23" s="369">
        <v>3</v>
      </c>
      <c r="G23" s="369">
        <v>3</v>
      </c>
      <c r="H23" s="369">
        <f t="shared" si="3"/>
        <v>262.22222222222223</v>
      </c>
      <c r="I23" s="409">
        <f t="shared" si="0"/>
        <v>546.77777777777783</v>
      </c>
      <c r="J23" s="409">
        <f t="shared" si="4"/>
        <v>20</v>
      </c>
      <c r="K23" s="411">
        <f t="shared" si="5"/>
        <v>381.6</v>
      </c>
      <c r="L23" s="409">
        <f t="shared" si="1"/>
        <v>928.37777777777785</v>
      </c>
      <c r="M23" s="398">
        <f t="shared" si="2"/>
        <v>119.37777777777785</v>
      </c>
    </row>
    <row r="24" spans="2:15">
      <c r="B24" s="394" t="s">
        <v>65</v>
      </c>
      <c r="C24" s="369">
        <v>3</v>
      </c>
      <c r="D24" s="369">
        <v>3</v>
      </c>
      <c r="E24" s="369">
        <v>2</v>
      </c>
      <c r="F24" s="369">
        <v>2</v>
      </c>
      <c r="G24" s="369">
        <v>3</v>
      </c>
      <c r="H24" s="369">
        <f t="shared" si="3"/>
        <v>251.11111111111114</v>
      </c>
      <c r="I24" s="409">
        <f t="shared" si="0"/>
        <v>596.88888888888891</v>
      </c>
      <c r="J24" s="409">
        <f t="shared" si="4"/>
        <v>20</v>
      </c>
      <c r="K24" s="411">
        <f t="shared" si="5"/>
        <v>381.6</v>
      </c>
      <c r="L24" s="409">
        <f t="shared" si="1"/>
        <v>978.48888888888894</v>
      </c>
      <c r="M24" s="398">
        <f t="shared" si="2"/>
        <v>130.48888888888894</v>
      </c>
    </row>
    <row r="25" spans="2:15">
      <c r="B25" s="394" t="s">
        <v>66</v>
      </c>
      <c r="H25" s="369">
        <f t="shared" si="3"/>
        <v>0</v>
      </c>
      <c r="I25" s="409">
        <f t="shared" si="0"/>
        <v>321</v>
      </c>
      <c r="J25" s="409">
        <f t="shared" si="4"/>
        <v>20</v>
      </c>
      <c r="K25" s="411">
        <f t="shared" si="5"/>
        <v>381.6</v>
      </c>
      <c r="L25" s="409">
        <f t="shared" si="1"/>
        <v>702.6</v>
      </c>
      <c r="M25" s="398">
        <f t="shared" si="2"/>
        <v>381.6</v>
      </c>
    </row>
    <row r="26" spans="2:15">
      <c r="B26" s="394" t="s">
        <v>67</v>
      </c>
      <c r="C26" s="369">
        <v>3</v>
      </c>
      <c r="D26" s="369">
        <v>3</v>
      </c>
      <c r="E26" s="369">
        <v>3</v>
      </c>
      <c r="F26" s="369">
        <v>2</v>
      </c>
      <c r="G26" s="369">
        <v>3</v>
      </c>
      <c r="H26" s="369">
        <f t="shared" si="3"/>
        <v>272.22222222222223</v>
      </c>
      <c r="I26" s="409">
        <f>D8-H26</f>
        <v>542.77777777777783</v>
      </c>
      <c r="J26" s="409">
        <f t="shared" si="4"/>
        <v>10</v>
      </c>
      <c r="K26" s="411">
        <f t="shared" si="5"/>
        <v>190.8</v>
      </c>
      <c r="L26" s="409">
        <f>I26+K26</f>
        <v>733.57777777777778</v>
      </c>
      <c r="M26" s="398">
        <f t="shared" si="2"/>
        <v>-81.422222222222217</v>
      </c>
    </row>
    <row r="27" spans="2:15" ht="14.45" thickBot="1">
      <c r="B27" s="399" t="s">
        <v>68</v>
      </c>
      <c r="C27" s="400"/>
      <c r="D27" s="400">
        <v>2</v>
      </c>
      <c r="E27" s="400">
        <v>3</v>
      </c>
      <c r="F27" s="400">
        <v>2</v>
      </c>
      <c r="G27" s="400">
        <v>3</v>
      </c>
      <c r="H27" s="400">
        <f t="shared" si="3"/>
        <v>164.44444444444449</v>
      </c>
      <c r="I27" s="410">
        <f>D9-H27</f>
        <v>632.55555555555554</v>
      </c>
      <c r="J27" s="410">
        <f t="shared" si="4"/>
        <v>10</v>
      </c>
      <c r="K27" s="412">
        <f t="shared" si="5"/>
        <v>190.8</v>
      </c>
      <c r="L27" s="410">
        <f>I27+K27</f>
        <v>823.35555555555561</v>
      </c>
      <c r="M27" s="404">
        <f t="shared" si="2"/>
        <v>26.355555555555611</v>
      </c>
    </row>
    <row r="29" spans="2:15">
      <c r="C29" s="369" t="s">
        <v>14</v>
      </c>
      <c r="D29" s="369" t="s">
        <v>1543</v>
      </c>
      <c r="E29" s="369" t="s">
        <v>1544</v>
      </c>
    </row>
    <row r="30" spans="2:15">
      <c r="B30" s="369" t="s">
        <v>281</v>
      </c>
      <c r="C30" s="369">
        <v>30</v>
      </c>
      <c r="D30" s="369">
        <v>28</v>
      </c>
      <c r="E30" s="369">
        <f>ROUNDUP(((D30/C30)*1000)/54.5,0)*1.06</f>
        <v>19.080000000000002</v>
      </c>
      <c r="G30" s="369" t="s">
        <v>1556</v>
      </c>
      <c r="H30" s="369">
        <f>MAX(E30:E33)</f>
        <v>19.080000000000002</v>
      </c>
    </row>
    <row r="31" spans="2:15">
      <c r="B31" s="369" t="s">
        <v>282</v>
      </c>
      <c r="C31" s="369">
        <v>30</v>
      </c>
      <c r="D31" s="369">
        <v>28</v>
      </c>
      <c r="E31" s="369">
        <f>ROUNDUP(((D31/C31)*1000)/54.5,0)*1.06</f>
        <v>19.080000000000002</v>
      </c>
    </row>
    <row r="32" spans="2:15">
      <c r="B32" s="369" t="s">
        <v>283</v>
      </c>
      <c r="C32" s="369">
        <v>30</v>
      </c>
      <c r="D32" s="369">
        <v>28</v>
      </c>
      <c r="E32" s="369">
        <f>ROUNDUP(((D32/C32)*1000)/54.5,0)*1.06</f>
        <v>19.080000000000002</v>
      </c>
    </row>
    <row r="33" spans="2:6">
      <c r="B33" s="369" t="s">
        <v>284</v>
      </c>
      <c r="C33" s="369">
        <v>30</v>
      </c>
      <c r="D33" s="369">
        <v>28</v>
      </c>
      <c r="E33" s="369">
        <f>ROUNDUP(((D33/C33)*1000)/54.5,0)*1.06</f>
        <v>19.080000000000002</v>
      </c>
    </row>
    <row r="34" spans="2:6" ht="14.45" thickBot="1"/>
    <row r="35" spans="2:6">
      <c r="B35" s="390"/>
      <c r="C35" s="391" t="s">
        <v>281</v>
      </c>
      <c r="D35" s="391" t="s">
        <v>282</v>
      </c>
      <c r="E35" s="391" t="s">
        <v>1565</v>
      </c>
      <c r="F35" s="392" t="s">
        <v>284</v>
      </c>
    </row>
    <row r="36" spans="2:6">
      <c r="B36" s="394" t="s">
        <v>53</v>
      </c>
      <c r="C36" s="389"/>
      <c r="D36" s="389"/>
      <c r="E36" s="389"/>
      <c r="F36" s="405">
        <v>10</v>
      </c>
    </row>
    <row r="37" spans="2:6">
      <c r="B37" s="394" t="s">
        <v>59</v>
      </c>
      <c r="C37" s="389"/>
      <c r="D37" s="389"/>
      <c r="E37" s="389"/>
      <c r="F37" s="405">
        <v>10</v>
      </c>
    </row>
    <row r="38" spans="2:6">
      <c r="B38" s="394" t="s">
        <v>62</v>
      </c>
      <c r="C38" s="389">
        <v>10</v>
      </c>
      <c r="D38" s="389"/>
      <c r="E38" s="389"/>
      <c r="F38" s="405">
        <v>10</v>
      </c>
    </row>
    <row r="39" spans="2:6">
      <c r="B39" s="394" t="s">
        <v>63</v>
      </c>
      <c r="C39" s="389">
        <v>10</v>
      </c>
      <c r="D39" s="389"/>
      <c r="E39" s="389">
        <v>10</v>
      </c>
      <c r="F39" s="405"/>
    </row>
    <row r="40" spans="2:6">
      <c r="B40" s="394" t="s">
        <v>65</v>
      </c>
      <c r="C40" s="389">
        <v>10</v>
      </c>
      <c r="D40" s="389"/>
      <c r="E40" s="389">
        <v>10</v>
      </c>
      <c r="F40" s="405"/>
    </row>
    <row r="41" spans="2:6">
      <c r="B41" s="394" t="s">
        <v>66</v>
      </c>
      <c r="C41" s="389"/>
      <c r="D41" s="389">
        <v>10</v>
      </c>
      <c r="E41" s="389">
        <v>10</v>
      </c>
      <c r="F41" s="405"/>
    </row>
    <row r="42" spans="2:6">
      <c r="B42" s="394" t="s">
        <v>67</v>
      </c>
      <c r="C42" s="389"/>
      <c r="D42" s="389">
        <v>10</v>
      </c>
      <c r="E42" s="389"/>
      <c r="F42" s="405"/>
    </row>
    <row r="43" spans="2:6" ht="14.45" thickBot="1">
      <c r="B43" s="399" t="s">
        <v>68</v>
      </c>
      <c r="C43" s="406"/>
      <c r="D43" s="406">
        <v>10</v>
      </c>
      <c r="E43" s="406"/>
      <c r="F43" s="407"/>
    </row>
    <row r="44" spans="2:6">
      <c r="C44" s="389">
        <f>SUM(C36:C43)</f>
        <v>30</v>
      </c>
      <c r="D44" s="389">
        <f>SUM(D36:D43)</f>
        <v>30</v>
      </c>
      <c r="E44" s="389">
        <f>SUM(E36:E43)</f>
        <v>30</v>
      </c>
      <c r="F44" s="389">
        <f>SUM(F36:F43)</f>
        <v>30</v>
      </c>
    </row>
  </sheetData>
  <pageMargins left="0.7" right="0.7" top="0.75" bottom="0.75" header="0.3" footer="0.3"/>
  <pageSetup paperSize="9" orientation="portrait" r:id="rId1"/>
  <headerFooter>
    <oddFooter>&amp;L&amp;1#&amp;"Calibri"&amp;7&amp;K000000C2 General</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7"/>
  <dimension ref="A1:Y108"/>
  <sheetViews>
    <sheetView zoomScaleNormal="100" workbookViewId="0">
      <selection activeCell="AC46" sqref="AC46"/>
    </sheetView>
  </sheetViews>
  <sheetFormatPr defaultColWidth="8.6640625" defaultRowHeight="13.15"/>
  <cols>
    <col min="1" max="1" width="24" style="198" bestFit="1" customWidth="1"/>
    <col min="2" max="2" width="19" style="198" bestFit="1" customWidth="1"/>
    <col min="3" max="3" width="19.1640625" style="198" bestFit="1" customWidth="1"/>
    <col min="4" max="4" width="0.1640625" style="198" customWidth="1"/>
    <col min="5" max="5" width="15.5" style="198" bestFit="1" customWidth="1"/>
    <col min="6" max="6" width="18.6640625" style="198" bestFit="1" customWidth="1"/>
    <col min="7" max="7" width="11.1640625" style="198" bestFit="1" customWidth="1"/>
    <col min="8" max="8" width="8.5" style="198" bestFit="1" customWidth="1"/>
    <col min="9" max="9" width="10.6640625" style="198" bestFit="1" customWidth="1"/>
    <col min="10" max="10" width="9.6640625" style="198" bestFit="1" customWidth="1"/>
    <col min="11" max="11" width="9" style="198" bestFit="1" customWidth="1"/>
    <col min="12" max="12" width="9.5" style="198" bestFit="1" customWidth="1"/>
    <col min="13" max="13" width="9.1640625" style="198" bestFit="1" customWidth="1"/>
    <col min="14" max="14" width="9.6640625" style="198" customWidth="1"/>
    <col min="15" max="15" width="9.5" style="198" bestFit="1" customWidth="1"/>
    <col min="16" max="16" width="8.5" style="198" bestFit="1" customWidth="1"/>
    <col min="17" max="17" width="9" style="198" bestFit="1" customWidth="1"/>
    <col min="18" max="18" width="8.5" style="198" bestFit="1" customWidth="1"/>
    <col min="19" max="19" width="5" style="198" customWidth="1"/>
    <col min="20" max="20" width="5.1640625" style="198" customWidth="1"/>
    <col min="21" max="21" width="4.6640625" style="198" customWidth="1"/>
    <col min="22" max="22" width="7.6640625" style="198" customWidth="1"/>
    <col min="23" max="23" width="12.1640625" style="198" bestFit="1" customWidth="1"/>
    <col min="24" max="24" width="2.1640625" style="198" bestFit="1" customWidth="1"/>
    <col min="25" max="25" width="3.6640625" style="198" bestFit="1" customWidth="1"/>
    <col min="26" max="27" width="1.5" style="198" customWidth="1"/>
    <col min="28" max="30" width="8.6640625" style="198"/>
    <col min="31" max="31" width="12.1640625" style="198" customWidth="1"/>
    <col min="32" max="16384" width="8.6640625" style="198"/>
  </cols>
  <sheetData>
    <row r="1" spans="1:15">
      <c r="G1" s="1451">
        <v>2017</v>
      </c>
      <c r="H1" s="1452"/>
      <c r="I1" s="1452"/>
      <c r="J1" s="1452"/>
      <c r="K1" s="1452"/>
    </row>
    <row r="2" spans="1:15" ht="13.9" thickBot="1">
      <c r="A2" s="301" t="s">
        <v>512</v>
      </c>
      <c r="B2" s="302" t="s">
        <v>679</v>
      </c>
      <c r="C2" s="302" t="s">
        <v>1566</v>
      </c>
      <c r="D2" s="302" t="s">
        <v>1567</v>
      </c>
      <c r="E2" s="303" t="s">
        <v>1568</v>
      </c>
      <c r="F2" s="212"/>
      <c r="G2" s="788" t="s">
        <v>1569</v>
      </c>
      <c r="H2" s="302" t="s">
        <v>1570</v>
      </c>
      <c r="I2" s="302" t="s">
        <v>1571</v>
      </c>
      <c r="J2" s="302" t="s">
        <v>1572</v>
      </c>
      <c r="K2" s="302" t="s">
        <v>1573</v>
      </c>
      <c r="L2" s="439" t="s">
        <v>1574</v>
      </c>
      <c r="M2" s="302" t="s">
        <v>1575</v>
      </c>
      <c r="N2" s="302" t="s">
        <v>1576</v>
      </c>
      <c r="O2" s="302" t="s">
        <v>1577</v>
      </c>
    </row>
    <row r="3" spans="1:15">
      <c r="A3" s="322" t="s">
        <v>280</v>
      </c>
      <c r="B3" s="305">
        <f>'Plant loading'!G9</f>
        <v>386.95</v>
      </c>
      <c r="C3" s="226">
        <v>583.79999999999995</v>
      </c>
      <c r="D3" s="226">
        <v>33</v>
      </c>
      <c r="E3" s="306">
        <f t="shared" ref="E3:E16" si="0">(C3-D3)/B3</f>
        <v>1.4234397208941723</v>
      </c>
      <c r="F3" s="212" t="s">
        <v>1578</v>
      </c>
      <c r="G3" s="307">
        <v>1.38</v>
      </c>
      <c r="H3" s="226">
        <v>1.43</v>
      </c>
      <c r="I3" s="226">
        <v>1.47</v>
      </c>
      <c r="J3" s="226">
        <v>1.49</v>
      </c>
      <c r="K3" s="226">
        <v>1.54</v>
      </c>
      <c r="L3" s="440">
        <v>1.57</v>
      </c>
      <c r="M3" s="307">
        <v>1.58</v>
      </c>
      <c r="N3" s="307">
        <v>1.56</v>
      </c>
      <c r="O3" s="307">
        <v>1.55</v>
      </c>
    </row>
    <row r="4" spans="1:15">
      <c r="A4" s="309" t="s">
        <v>297</v>
      </c>
      <c r="B4" s="305" t="e">
        <f>SUM('Plant loading'!G39)+('Inverter Loading'!#REF!+'Inverter Loading'!#REF!)</f>
        <v>#REF!</v>
      </c>
      <c r="C4" s="226">
        <v>564</v>
      </c>
      <c r="D4" s="226">
        <v>0</v>
      </c>
      <c r="E4" s="306" t="e">
        <f>(C4-D4)/B4</f>
        <v>#REF!</v>
      </c>
      <c r="F4" s="212" t="s">
        <v>1579</v>
      </c>
      <c r="G4" s="307">
        <v>1.37</v>
      </c>
      <c r="H4" s="434" t="s">
        <v>1580</v>
      </c>
      <c r="I4" s="226">
        <v>1.43</v>
      </c>
      <c r="J4" s="226">
        <v>1.43</v>
      </c>
      <c r="K4" s="226">
        <v>1.52</v>
      </c>
      <c r="L4" s="440">
        <v>1.53</v>
      </c>
      <c r="M4" s="307">
        <v>1.51</v>
      </c>
      <c r="N4" s="307">
        <v>1.51</v>
      </c>
      <c r="O4" s="307">
        <v>1.48</v>
      </c>
    </row>
    <row r="5" spans="1:15">
      <c r="A5" s="310" t="s">
        <v>315</v>
      </c>
      <c r="B5" s="305" t="e">
        <f>SUM('Plant loading'!G56)+('Inverter Loading'!#REF!+'Inverter Loading'!#REF!)</f>
        <v>#REF!</v>
      </c>
      <c r="C5" s="226">
        <v>445.5</v>
      </c>
      <c r="D5" s="226">
        <v>5</v>
      </c>
      <c r="E5" s="307" t="e">
        <f>(C5-D5)/B5</f>
        <v>#REF!</v>
      </c>
      <c r="F5" s="212"/>
      <c r="G5" s="307">
        <v>1.43</v>
      </c>
      <c r="H5" s="226">
        <v>1.43</v>
      </c>
      <c r="I5" s="226">
        <v>1.46</v>
      </c>
      <c r="J5" s="226">
        <v>1.46</v>
      </c>
      <c r="K5" s="307">
        <v>1.5</v>
      </c>
      <c r="L5" s="440">
        <v>1.54</v>
      </c>
      <c r="M5" s="307">
        <v>1.52</v>
      </c>
      <c r="N5" s="307">
        <v>1.5</v>
      </c>
      <c r="O5" s="307">
        <v>1.49</v>
      </c>
    </row>
    <row r="6" spans="1:15">
      <c r="A6" s="310" t="s">
        <v>320</v>
      </c>
      <c r="B6" s="305">
        <f>'Plant loading'!G64</f>
        <v>389.18450000000001</v>
      </c>
      <c r="C6" s="226">
        <v>402.6</v>
      </c>
      <c r="D6" s="226">
        <v>0</v>
      </c>
      <c r="E6" s="306">
        <f>(C6-D6)/B6</f>
        <v>1.0344707972696754</v>
      </c>
      <c r="F6" s="212"/>
      <c r="G6" s="307">
        <v>1.29</v>
      </c>
      <c r="H6" s="226">
        <v>1.34</v>
      </c>
      <c r="I6" s="226">
        <v>1.37</v>
      </c>
      <c r="J6" s="226">
        <v>1.36</v>
      </c>
      <c r="K6" s="226">
        <v>1.36</v>
      </c>
      <c r="L6" s="440">
        <v>1.44</v>
      </c>
      <c r="M6" s="307">
        <v>1.42</v>
      </c>
      <c r="N6" s="307">
        <v>1.42</v>
      </c>
      <c r="O6" s="307">
        <v>1.42</v>
      </c>
    </row>
    <row r="7" spans="1:15">
      <c r="A7" s="327" t="s">
        <v>274</v>
      </c>
      <c r="B7" s="305">
        <f>'Plant loading'!G4</f>
        <v>170.91200000000001</v>
      </c>
      <c r="C7" s="226">
        <v>240</v>
      </c>
      <c r="D7" s="226">
        <v>10</v>
      </c>
      <c r="E7" s="306">
        <f>(C7-D7)/B7</f>
        <v>1.3457217749485115</v>
      </c>
      <c r="F7" s="212" t="s">
        <v>1578</v>
      </c>
      <c r="G7" s="307">
        <v>1.57</v>
      </c>
      <c r="H7" s="226">
        <v>1.63</v>
      </c>
      <c r="I7" s="226">
        <v>1.67</v>
      </c>
      <c r="J7" s="226">
        <v>1.68</v>
      </c>
      <c r="K7" s="226">
        <v>1.73</v>
      </c>
      <c r="L7" s="440">
        <v>1.88</v>
      </c>
      <c r="M7" s="307">
        <v>2.06</v>
      </c>
      <c r="N7" s="307">
        <v>1.77</v>
      </c>
      <c r="O7" s="307">
        <v>1.74</v>
      </c>
    </row>
    <row r="8" spans="1:15">
      <c r="A8" s="310" t="s">
        <v>287</v>
      </c>
      <c r="B8" s="305">
        <f>'Plant loading'!G17</f>
        <v>123.4425</v>
      </c>
      <c r="C8" s="226">
        <v>199.3</v>
      </c>
      <c r="D8" s="226">
        <v>5</v>
      </c>
      <c r="E8" s="306">
        <f t="shared" si="0"/>
        <v>1.5740121919112138</v>
      </c>
      <c r="F8" s="212" t="s">
        <v>1578</v>
      </c>
      <c r="G8" s="307">
        <v>1.32</v>
      </c>
      <c r="H8" s="226">
        <v>1.37</v>
      </c>
      <c r="I8" s="226">
        <v>1.41</v>
      </c>
      <c r="J8" s="226">
        <v>1.43</v>
      </c>
      <c r="K8" s="226">
        <v>1.43</v>
      </c>
      <c r="L8" s="440">
        <v>1.44</v>
      </c>
      <c r="M8" s="307">
        <v>1.44</v>
      </c>
      <c r="N8" s="307">
        <v>1.44</v>
      </c>
      <c r="O8" s="451">
        <v>1.45</v>
      </c>
    </row>
    <row r="9" spans="1:15">
      <c r="A9" s="310" t="s">
        <v>305</v>
      </c>
      <c r="B9" s="305">
        <f>'Plant loading'!G32</f>
        <v>274.84350000000001</v>
      </c>
      <c r="C9" s="226">
        <v>254</v>
      </c>
      <c r="D9" s="226">
        <v>0</v>
      </c>
      <c r="E9" s="307">
        <f>(C9-D9)/B9</f>
        <v>0.92416229599754041</v>
      </c>
      <c r="F9" s="212"/>
      <c r="G9" s="307">
        <v>1.35</v>
      </c>
      <c r="H9" s="226">
        <v>1.38</v>
      </c>
      <c r="I9" s="307" t="s">
        <v>1580</v>
      </c>
      <c r="J9" s="307" t="s">
        <v>1580</v>
      </c>
      <c r="K9" s="307">
        <v>1.45</v>
      </c>
      <c r="L9" s="440">
        <v>1.48</v>
      </c>
      <c r="M9" s="307">
        <v>1.5</v>
      </c>
      <c r="N9" s="307">
        <v>1.32</v>
      </c>
      <c r="O9" s="307">
        <v>1.43</v>
      </c>
    </row>
    <row r="10" spans="1:15">
      <c r="A10" s="310" t="s">
        <v>328</v>
      </c>
      <c r="B10" s="305">
        <f>'Plant loading'!G72</f>
        <v>278.22250000000003</v>
      </c>
      <c r="C10" s="226">
        <v>419.5</v>
      </c>
      <c r="D10" s="311">
        <v>5</v>
      </c>
      <c r="E10" s="306">
        <f>(C10-D10)/B10</f>
        <v>1.4898148064948016</v>
      </c>
      <c r="F10" s="212" t="s">
        <v>1579</v>
      </c>
      <c r="G10" s="307">
        <v>1.39</v>
      </c>
      <c r="H10" s="226">
        <v>1.33</v>
      </c>
      <c r="I10" s="226">
        <v>1.43</v>
      </c>
      <c r="J10" s="226">
        <v>1.43</v>
      </c>
      <c r="K10" s="226">
        <v>1.51</v>
      </c>
      <c r="L10" s="440">
        <v>1.54</v>
      </c>
      <c r="M10" s="307">
        <v>1.49</v>
      </c>
      <c r="N10" s="307">
        <v>1.5</v>
      </c>
      <c r="O10" s="307">
        <v>1.55</v>
      </c>
    </row>
    <row r="11" spans="1:15" ht="13.9" thickBot="1">
      <c r="A11" s="321" t="s">
        <v>333</v>
      </c>
      <c r="B11" s="305">
        <f>'Plant loading'!G80</f>
        <v>106.384</v>
      </c>
      <c r="C11" s="226">
        <v>309.89999999999998</v>
      </c>
      <c r="D11" s="311">
        <v>10</v>
      </c>
      <c r="E11" s="306">
        <f>(C11-D11)/B11</f>
        <v>2.8190329372838017</v>
      </c>
      <c r="F11" s="212"/>
      <c r="G11" s="307">
        <v>1.42</v>
      </c>
      <c r="H11" s="226">
        <v>1.36</v>
      </c>
      <c r="I11" s="307" t="s">
        <v>1581</v>
      </c>
      <c r="J11" s="307">
        <v>1.48</v>
      </c>
      <c r="K11" s="307">
        <v>1.47</v>
      </c>
      <c r="L11" s="440">
        <v>1.5</v>
      </c>
      <c r="M11" s="307">
        <v>1.5</v>
      </c>
      <c r="N11" s="307">
        <v>1.32</v>
      </c>
      <c r="O11" s="451">
        <v>1.26</v>
      </c>
    </row>
    <row r="12" spans="1:15">
      <c r="A12" s="788" t="s">
        <v>290</v>
      </c>
      <c r="B12" s="230">
        <f>'Plant loading'!G22</f>
        <v>288.14150000000001</v>
      </c>
      <c r="C12" s="226">
        <v>317.5</v>
      </c>
      <c r="D12" s="311">
        <v>15</v>
      </c>
      <c r="E12" s="306">
        <f t="shared" si="0"/>
        <v>1.0498314196323681</v>
      </c>
      <c r="F12" s="212" t="s">
        <v>1582</v>
      </c>
      <c r="G12" s="307">
        <v>1.29</v>
      </c>
      <c r="H12" s="226">
        <v>1.28</v>
      </c>
      <c r="I12" s="226">
        <v>1.33</v>
      </c>
      <c r="J12" s="226">
        <v>1.36</v>
      </c>
      <c r="K12" s="226">
        <v>1.42</v>
      </c>
      <c r="L12" s="440">
        <v>1.44</v>
      </c>
      <c r="M12" s="307">
        <v>1.4</v>
      </c>
      <c r="N12" s="307">
        <v>1.21</v>
      </c>
      <c r="O12" s="307">
        <v>1.28</v>
      </c>
    </row>
    <row r="13" spans="1:15">
      <c r="A13" s="329" t="s">
        <v>293</v>
      </c>
      <c r="B13" s="230">
        <f>'Plant loading'!G28</f>
        <v>82.622</v>
      </c>
      <c r="C13" s="226">
        <v>224.5</v>
      </c>
      <c r="D13" s="226">
        <v>10</v>
      </c>
      <c r="E13" s="306">
        <f t="shared" si="0"/>
        <v>2.5961608288349352</v>
      </c>
      <c r="F13" s="212" t="s">
        <v>1579</v>
      </c>
      <c r="G13" s="307">
        <v>2.04</v>
      </c>
      <c r="H13" s="226">
        <v>1.84</v>
      </c>
      <c r="I13" s="226">
        <v>1.71</v>
      </c>
      <c r="J13" s="226">
        <v>1.95</v>
      </c>
      <c r="K13" s="226">
        <v>2.0299999999999998</v>
      </c>
      <c r="L13" s="440">
        <v>1.83</v>
      </c>
      <c r="M13" s="307">
        <v>1.89</v>
      </c>
      <c r="N13" s="307">
        <v>1.89</v>
      </c>
      <c r="O13" s="307">
        <v>1.81</v>
      </c>
    </row>
    <row r="14" spans="1:15">
      <c r="A14" s="788" t="s">
        <v>312</v>
      </c>
      <c r="B14" s="230">
        <f>'Plant loading'!G47</f>
        <v>122.7885</v>
      </c>
      <c r="C14" s="226">
        <v>399</v>
      </c>
      <c r="D14" s="226">
        <v>0</v>
      </c>
      <c r="E14" s="306">
        <f t="shared" si="0"/>
        <v>3.2494899766671961</v>
      </c>
      <c r="F14" s="212"/>
      <c r="G14" s="307">
        <v>1.92</v>
      </c>
      <c r="H14" s="226">
        <v>1.92</v>
      </c>
      <c r="I14" s="226">
        <v>1.94</v>
      </c>
      <c r="J14" s="226">
        <v>1.98</v>
      </c>
      <c r="K14" s="226">
        <v>1.97</v>
      </c>
      <c r="L14" s="440">
        <v>1.97</v>
      </c>
      <c r="M14" s="307">
        <v>1.99</v>
      </c>
      <c r="N14" s="307">
        <v>1.99</v>
      </c>
      <c r="O14" s="307">
        <v>1.97</v>
      </c>
    </row>
    <row r="15" spans="1:15">
      <c r="A15" s="329" t="s">
        <v>336</v>
      </c>
      <c r="B15" s="230">
        <f>'Plant loading'!G85</f>
        <v>92.867999999999995</v>
      </c>
      <c r="C15" s="226">
        <v>224.2</v>
      </c>
      <c r="D15" s="226">
        <v>5</v>
      </c>
      <c r="E15" s="306">
        <f t="shared" si="0"/>
        <v>2.3603394064693974</v>
      </c>
      <c r="F15" s="212" t="s">
        <v>1583</v>
      </c>
      <c r="G15" s="307">
        <v>1.74</v>
      </c>
      <c r="H15" s="226">
        <v>1.74</v>
      </c>
      <c r="I15" s="307" t="s">
        <v>1584</v>
      </c>
      <c r="J15" s="307">
        <v>1.77</v>
      </c>
      <c r="K15" s="307">
        <v>1.8</v>
      </c>
      <c r="L15" s="440">
        <v>1.85</v>
      </c>
      <c r="M15" s="307">
        <v>1.81</v>
      </c>
      <c r="N15" s="307">
        <v>1.83</v>
      </c>
      <c r="O15" s="307">
        <v>1.81</v>
      </c>
    </row>
    <row r="16" spans="1:15">
      <c r="A16" s="328" t="s">
        <v>339</v>
      </c>
      <c r="B16" s="230">
        <f>'Plant loading'!G89</f>
        <v>109.8175</v>
      </c>
      <c r="C16" s="226">
        <v>225.9</v>
      </c>
      <c r="D16" s="226">
        <v>5</v>
      </c>
      <c r="E16" s="306">
        <f t="shared" si="0"/>
        <v>2.0115191112527606</v>
      </c>
      <c r="F16" s="212" t="s">
        <v>1583</v>
      </c>
      <c r="G16" s="307">
        <v>1.36</v>
      </c>
      <c r="H16" s="226">
        <v>1.38</v>
      </c>
      <c r="I16" s="226">
        <v>1.43</v>
      </c>
      <c r="J16" s="226">
        <v>1.43</v>
      </c>
      <c r="K16" s="226">
        <v>1.46</v>
      </c>
      <c r="L16" s="440">
        <v>1.48</v>
      </c>
      <c r="M16" s="307">
        <v>1.49</v>
      </c>
      <c r="N16" s="307">
        <v>1.47</v>
      </c>
      <c r="O16" s="307">
        <v>1.46</v>
      </c>
    </row>
    <row r="17" spans="1:22">
      <c r="D17" s="413" t="s">
        <v>1585</v>
      </c>
    </row>
    <row r="18" spans="1:22">
      <c r="A18" s="312" t="s">
        <v>1586</v>
      </c>
      <c r="B18" s="313"/>
    </row>
    <row r="19" spans="1:22">
      <c r="A19" s="413" t="s">
        <v>1587</v>
      </c>
    </row>
    <row r="20" spans="1:22">
      <c r="B20" s="344" t="s">
        <v>1588</v>
      </c>
    </row>
    <row r="22" spans="1:22" ht="13.9" thickBot="1">
      <c r="A22" s="301" t="s">
        <v>512</v>
      </c>
      <c r="B22" s="788" t="s">
        <v>1589</v>
      </c>
      <c r="C22" s="788" t="s">
        <v>1590</v>
      </c>
      <c r="D22" s="197"/>
      <c r="E22" s="197"/>
      <c r="F22" s="197"/>
      <c r="H22" s="197"/>
      <c r="I22" s="197"/>
      <c r="J22" s="197"/>
      <c r="K22" s="197"/>
      <c r="L22" s="197"/>
      <c r="M22" s="197"/>
      <c r="N22" s="197"/>
      <c r="O22" s="197"/>
      <c r="P22" s="197"/>
      <c r="Q22" s="197"/>
      <c r="R22" s="197"/>
      <c r="S22" s="197"/>
    </row>
    <row r="23" spans="1:22">
      <c r="A23" s="322" t="s">
        <v>280</v>
      </c>
      <c r="B23" s="308">
        <v>1.55</v>
      </c>
      <c r="C23" s="226">
        <v>1.58</v>
      </c>
      <c r="D23" s="299"/>
      <c r="E23" s="299"/>
      <c r="F23" s="299"/>
      <c r="H23" s="299"/>
      <c r="I23" s="299"/>
      <c r="J23" s="299"/>
      <c r="K23" s="299"/>
      <c r="L23" s="299"/>
      <c r="M23" s="299"/>
      <c r="N23" s="299"/>
      <c r="O23" s="299"/>
      <c r="P23" s="299"/>
      <c r="Q23" s="197"/>
      <c r="R23" s="299"/>
      <c r="S23" s="299"/>
    </row>
    <row r="24" spans="1:22">
      <c r="A24" s="309" t="s">
        <v>297</v>
      </c>
      <c r="B24" s="308">
        <v>1.48</v>
      </c>
      <c r="C24" s="226">
        <v>1.51</v>
      </c>
      <c r="D24" s="299"/>
      <c r="E24" s="299"/>
      <c r="F24" s="299"/>
      <c r="H24" s="299"/>
      <c r="I24" s="299"/>
      <c r="J24" s="299"/>
      <c r="K24" s="1456" t="s">
        <v>1591</v>
      </c>
      <c r="L24" s="1456"/>
      <c r="M24" s="1456"/>
      <c r="N24" s="1456"/>
      <c r="O24" s="1456"/>
      <c r="P24" s="1456"/>
      <c r="Q24" s="1456"/>
      <c r="R24" s="1456"/>
      <c r="S24" s="1456"/>
      <c r="T24" s="1456"/>
      <c r="U24" s="1456"/>
      <c r="V24" s="1456"/>
    </row>
    <row r="25" spans="1:22">
      <c r="A25" s="310" t="s">
        <v>315</v>
      </c>
      <c r="B25" s="308">
        <v>1.53</v>
      </c>
      <c r="C25" s="307">
        <v>1.52</v>
      </c>
      <c r="D25" s="299"/>
      <c r="E25" s="299"/>
      <c r="F25" s="299"/>
      <c r="H25" s="299"/>
      <c r="I25" s="299"/>
      <c r="J25" s="299"/>
      <c r="K25" s="1456"/>
      <c r="L25" s="1456"/>
      <c r="M25" s="1456"/>
      <c r="N25" s="1456"/>
      <c r="O25" s="1456"/>
      <c r="P25" s="1456"/>
      <c r="Q25" s="1456"/>
      <c r="R25" s="1456"/>
      <c r="S25" s="1456"/>
      <c r="T25" s="1456"/>
      <c r="U25" s="1456"/>
      <c r="V25" s="1456"/>
    </row>
    <row r="26" spans="1:22">
      <c r="A26" s="326" t="s">
        <v>320</v>
      </c>
      <c r="B26" s="308">
        <v>1.4</v>
      </c>
      <c r="C26" s="226">
        <v>1.42</v>
      </c>
      <c r="D26" s="299"/>
      <c r="E26" s="299"/>
      <c r="F26" s="299"/>
      <c r="H26" s="316"/>
      <c r="I26" s="316"/>
      <c r="J26" s="316"/>
      <c r="K26" s="1456"/>
      <c r="L26" s="1456"/>
      <c r="M26" s="1456"/>
      <c r="N26" s="1456"/>
      <c r="O26" s="1456"/>
      <c r="P26" s="1456"/>
      <c r="Q26" s="1456"/>
      <c r="R26" s="1456"/>
      <c r="S26" s="1456"/>
      <c r="T26" s="1456"/>
      <c r="U26" s="1456"/>
      <c r="V26" s="1456"/>
    </row>
    <row r="27" spans="1:22">
      <c r="A27" s="327" t="s">
        <v>274</v>
      </c>
      <c r="B27" s="308">
        <v>1.73</v>
      </c>
      <c r="C27" s="226">
        <v>2.06</v>
      </c>
      <c r="H27" s="316"/>
      <c r="I27" s="316"/>
      <c r="J27" s="316"/>
      <c r="K27" s="1456"/>
      <c r="L27" s="1456"/>
      <c r="M27" s="1456"/>
      <c r="N27" s="1456"/>
      <c r="O27" s="1456"/>
      <c r="P27" s="1456"/>
      <c r="Q27" s="1456"/>
      <c r="R27" s="1456"/>
      <c r="S27" s="1456"/>
      <c r="T27" s="1456"/>
      <c r="U27" s="1456"/>
      <c r="V27" s="1456"/>
    </row>
    <row r="28" spans="1:22">
      <c r="A28" s="326" t="s">
        <v>287</v>
      </c>
      <c r="B28" s="308">
        <v>1.56</v>
      </c>
      <c r="C28" s="226">
        <v>1.44</v>
      </c>
      <c r="D28" s="299"/>
      <c r="E28" s="299"/>
      <c r="F28" s="299"/>
      <c r="H28" s="299"/>
      <c r="I28" s="299"/>
      <c r="J28" s="299"/>
      <c r="K28" s="1456"/>
      <c r="L28" s="1456"/>
      <c r="M28" s="1456"/>
      <c r="N28" s="1456"/>
      <c r="O28" s="1456"/>
      <c r="P28" s="1456"/>
      <c r="Q28" s="1456"/>
      <c r="R28" s="1456"/>
      <c r="S28" s="1456"/>
      <c r="T28" s="1456"/>
      <c r="U28" s="1456"/>
      <c r="V28" s="1456"/>
    </row>
    <row r="29" spans="1:22">
      <c r="A29" s="310" t="s">
        <v>305</v>
      </c>
      <c r="B29" s="308">
        <v>1.49</v>
      </c>
      <c r="C29" s="307">
        <v>1.5</v>
      </c>
      <c r="D29" s="299"/>
      <c r="E29" s="299"/>
      <c r="F29" s="299"/>
      <c r="H29" s="299"/>
      <c r="I29" s="299"/>
      <c r="J29" s="299"/>
      <c r="K29" s="1456"/>
      <c r="L29" s="1456"/>
      <c r="M29" s="1456"/>
      <c r="N29" s="1456"/>
      <c r="O29" s="1456"/>
      <c r="P29" s="1456"/>
      <c r="Q29" s="1456"/>
      <c r="R29" s="1456"/>
      <c r="S29" s="1456"/>
      <c r="T29" s="1456"/>
      <c r="U29" s="1456"/>
      <c r="V29" s="1456"/>
    </row>
    <row r="30" spans="1:22">
      <c r="A30" s="310" t="s">
        <v>328</v>
      </c>
      <c r="B30" s="308">
        <v>1.54</v>
      </c>
      <c r="C30" s="226">
        <v>1.49</v>
      </c>
      <c r="D30" s="299"/>
      <c r="E30" s="299"/>
      <c r="F30" s="299"/>
      <c r="H30" s="299"/>
      <c r="I30" s="299"/>
      <c r="J30" s="299"/>
      <c r="K30" s="1456"/>
      <c r="L30" s="1456"/>
      <c r="M30" s="1456"/>
      <c r="N30" s="1456"/>
      <c r="O30" s="1456"/>
      <c r="P30" s="1456"/>
      <c r="Q30" s="1456"/>
      <c r="R30" s="1456"/>
      <c r="S30" s="1456"/>
      <c r="T30" s="1456"/>
      <c r="U30" s="1456"/>
      <c r="V30" s="1456"/>
    </row>
    <row r="31" spans="1:22" ht="13.9" thickBot="1">
      <c r="A31" s="321" t="s">
        <v>333</v>
      </c>
      <c r="B31" s="308">
        <v>1.52</v>
      </c>
      <c r="C31" s="307">
        <v>1.5</v>
      </c>
      <c r="D31" s="299"/>
      <c r="E31" s="299"/>
      <c r="F31" s="299"/>
      <c r="K31" s="1456"/>
      <c r="L31" s="1456"/>
      <c r="M31" s="1456"/>
      <c r="N31" s="1456"/>
      <c r="O31" s="1456"/>
      <c r="P31" s="1456"/>
      <c r="Q31" s="1456"/>
      <c r="R31" s="1456"/>
      <c r="S31" s="1456"/>
      <c r="T31" s="1456"/>
      <c r="U31" s="1456"/>
      <c r="V31" s="1456"/>
    </row>
    <row r="32" spans="1:22">
      <c r="A32" s="301" t="s">
        <v>512</v>
      </c>
      <c r="B32" s="788" t="s">
        <v>1589</v>
      </c>
      <c r="C32" s="788" t="s">
        <v>1590</v>
      </c>
      <c r="D32" s="197"/>
      <c r="E32" s="197"/>
      <c r="F32" s="197"/>
      <c r="K32" s="1456"/>
      <c r="L32" s="1456"/>
      <c r="M32" s="1456"/>
      <c r="N32" s="1456"/>
      <c r="O32" s="1456"/>
      <c r="P32" s="1456"/>
      <c r="Q32" s="1456"/>
      <c r="R32" s="1456"/>
      <c r="S32" s="1456"/>
      <c r="T32" s="1456"/>
      <c r="U32" s="1456"/>
      <c r="V32" s="1456"/>
    </row>
    <row r="33" spans="1:25">
      <c r="A33" s="788" t="s">
        <v>290</v>
      </c>
      <c r="B33" s="308">
        <v>1.46</v>
      </c>
      <c r="C33" s="307">
        <v>1.4</v>
      </c>
      <c r="H33" s="197"/>
      <c r="I33" s="197"/>
      <c r="J33" s="197"/>
      <c r="K33" s="197"/>
      <c r="L33" s="197"/>
      <c r="M33" s="197"/>
      <c r="N33" s="197"/>
      <c r="O33" s="197"/>
      <c r="P33" s="197"/>
      <c r="Q33" s="197"/>
      <c r="R33" s="299"/>
      <c r="S33" s="299"/>
    </row>
    <row r="34" spans="1:25">
      <c r="A34" s="329" t="s">
        <v>293</v>
      </c>
      <c r="B34" s="308">
        <v>1.76</v>
      </c>
      <c r="C34" s="307">
        <v>1.89</v>
      </c>
      <c r="H34" s="299"/>
      <c r="I34" s="299"/>
      <c r="J34" s="299"/>
      <c r="K34" s="299"/>
      <c r="L34" s="299"/>
      <c r="M34" s="299"/>
      <c r="N34" s="299"/>
      <c r="O34" s="299"/>
      <c r="P34" s="299"/>
      <c r="Q34" s="299"/>
      <c r="R34" s="299"/>
      <c r="S34" s="299"/>
    </row>
    <row r="35" spans="1:25">
      <c r="A35" s="788" t="s">
        <v>312</v>
      </c>
      <c r="B35" s="308">
        <v>2.02</v>
      </c>
      <c r="C35" s="307">
        <v>1.99</v>
      </c>
      <c r="D35" s="299"/>
      <c r="E35" s="299"/>
      <c r="F35" s="299"/>
      <c r="H35" s="299"/>
      <c r="I35" s="299"/>
      <c r="J35" s="299"/>
      <c r="K35" s="299"/>
      <c r="L35" s="299"/>
      <c r="M35" s="299"/>
      <c r="N35" s="299"/>
      <c r="O35" s="299"/>
      <c r="P35" s="299"/>
      <c r="Q35" s="299"/>
      <c r="R35" s="299"/>
      <c r="S35" s="299"/>
    </row>
    <row r="36" spans="1:25">
      <c r="A36" s="788" t="s">
        <v>336</v>
      </c>
      <c r="B36" s="308">
        <v>1.74</v>
      </c>
      <c r="C36" s="307">
        <v>1.81</v>
      </c>
      <c r="D36" s="299"/>
      <c r="E36" s="299"/>
      <c r="F36" s="299"/>
      <c r="H36" s="299"/>
      <c r="I36" s="299"/>
      <c r="J36" s="299"/>
      <c r="K36" s="299"/>
      <c r="L36" s="299"/>
      <c r="M36" s="299"/>
      <c r="N36" s="299"/>
      <c r="O36" s="299"/>
      <c r="P36" s="299"/>
      <c r="Q36" s="299"/>
      <c r="R36" s="299"/>
      <c r="S36" s="299"/>
    </row>
    <row r="37" spans="1:25">
      <c r="A37" s="328" t="s">
        <v>339</v>
      </c>
      <c r="B37" s="308">
        <v>1.49</v>
      </c>
      <c r="C37" s="307">
        <v>1.49</v>
      </c>
      <c r="D37" s="299"/>
      <c r="E37" s="299"/>
      <c r="F37" s="299"/>
      <c r="H37" s="299"/>
      <c r="I37" s="299"/>
      <c r="J37" s="299"/>
      <c r="K37" s="299"/>
      <c r="L37" s="299"/>
      <c r="M37" s="299"/>
      <c r="N37" s="299"/>
      <c r="O37" s="299"/>
      <c r="P37" s="299"/>
      <c r="Q37" s="299"/>
      <c r="R37" s="299"/>
      <c r="S37" s="299"/>
      <c r="W37" s="212"/>
      <c r="X37" s="212"/>
      <c r="Y37" s="212"/>
    </row>
    <row r="38" spans="1:25">
      <c r="B38" s="299"/>
      <c r="C38" s="299"/>
      <c r="D38" s="299"/>
      <c r="E38" s="299"/>
      <c r="F38" s="299"/>
      <c r="G38" s="299"/>
      <c r="H38" s="197"/>
      <c r="I38" s="197"/>
      <c r="J38" s="197"/>
      <c r="K38" s="197"/>
      <c r="L38" s="197"/>
      <c r="M38" s="197"/>
      <c r="N38" s="197"/>
      <c r="O38" s="197"/>
      <c r="P38" s="197"/>
      <c r="Q38" s="197"/>
      <c r="R38" s="197"/>
      <c r="S38" s="299"/>
      <c r="W38" s="212" t="s">
        <v>1592</v>
      </c>
      <c r="X38" s="226" t="s">
        <v>1593</v>
      </c>
      <c r="Y38" s="226" t="s">
        <v>785</v>
      </c>
    </row>
    <row r="39" spans="1:25">
      <c r="G39" s="1453">
        <v>2016</v>
      </c>
      <c r="H39" s="1454"/>
      <c r="I39" s="1454"/>
      <c r="J39" s="1454"/>
      <c r="K39" s="1454"/>
      <c r="L39" s="1454"/>
      <c r="M39" s="1454"/>
      <c r="N39" s="1454"/>
      <c r="O39" s="1454"/>
      <c r="P39" s="1454"/>
      <c r="Q39" s="1454"/>
      <c r="R39" s="1455"/>
      <c r="W39" s="314" t="s">
        <v>1594</v>
      </c>
      <c r="X39" s="212"/>
      <c r="Y39" s="212">
        <f>(400*X39*1.73)/1000</f>
        <v>0</v>
      </c>
    </row>
    <row r="40" spans="1:25" ht="13.9" thickBot="1">
      <c r="A40" s="301" t="s">
        <v>512</v>
      </c>
      <c r="B40" s="302" t="s">
        <v>679</v>
      </c>
      <c r="C40" s="302" t="s">
        <v>1566</v>
      </c>
      <c r="D40" s="302" t="s">
        <v>1567</v>
      </c>
      <c r="E40" s="303" t="s">
        <v>1568</v>
      </c>
      <c r="F40" s="212"/>
      <c r="G40" s="788" t="s">
        <v>1569</v>
      </c>
      <c r="H40" s="788" t="s">
        <v>1570</v>
      </c>
      <c r="I40" s="788" t="s">
        <v>1571</v>
      </c>
      <c r="J40" s="788" t="s">
        <v>1572</v>
      </c>
      <c r="K40" s="788" t="s">
        <v>1573</v>
      </c>
      <c r="L40" s="301" t="s">
        <v>1595</v>
      </c>
      <c r="M40" s="301" t="s">
        <v>1596</v>
      </c>
      <c r="N40" s="301" t="s">
        <v>1576</v>
      </c>
      <c r="O40" s="301" t="s">
        <v>1577</v>
      </c>
      <c r="P40" s="301" t="s">
        <v>1597</v>
      </c>
      <c r="Q40" s="301" t="s">
        <v>1598</v>
      </c>
      <c r="R40" s="301" t="s">
        <v>1599</v>
      </c>
      <c r="W40" s="314" t="s">
        <v>1600</v>
      </c>
      <c r="X40" s="212"/>
      <c r="Y40" s="212">
        <f>(400*X40*1.73)/1000</f>
        <v>0</v>
      </c>
    </row>
    <row r="41" spans="1:25">
      <c r="A41" s="322" t="s">
        <v>280</v>
      </c>
      <c r="B41" s="305">
        <f>'Plant loading'!G50</f>
        <v>0</v>
      </c>
      <c r="C41" s="226">
        <v>583.79999999999995</v>
      </c>
      <c r="D41" s="226">
        <v>33</v>
      </c>
      <c r="E41" s="306" t="e">
        <f t="shared" ref="E41:E54" si="1">(C41-D41)/B41</f>
        <v>#DIV/0!</v>
      </c>
      <c r="F41" s="212" t="s">
        <v>1578</v>
      </c>
      <c r="G41" s="307">
        <v>1.42</v>
      </c>
      <c r="H41" s="307">
        <v>1.42</v>
      </c>
      <c r="I41" s="307">
        <v>1.38</v>
      </c>
      <c r="J41" s="307">
        <v>1.43</v>
      </c>
      <c r="K41" s="308">
        <v>1.46</v>
      </c>
      <c r="L41" s="331">
        <v>1.52</v>
      </c>
      <c r="M41" s="331">
        <v>1.55</v>
      </c>
      <c r="N41" s="331">
        <v>1.54</v>
      </c>
      <c r="O41" s="331">
        <v>1.55</v>
      </c>
      <c r="P41" s="331">
        <v>1.51</v>
      </c>
      <c r="Q41" s="331">
        <v>1.46</v>
      </c>
      <c r="R41" s="331">
        <v>1.43</v>
      </c>
      <c r="W41" s="314" t="s">
        <v>566</v>
      </c>
      <c r="X41" s="212">
        <f>SUM(X39:X40)</f>
        <v>0</v>
      </c>
      <c r="Y41" s="212">
        <f>SUM(Y39:Y40)</f>
        <v>0</v>
      </c>
    </row>
    <row r="42" spans="1:25">
      <c r="A42" s="309" t="s">
        <v>297</v>
      </c>
      <c r="B42" s="305" t="e">
        <f>SUM('Plant loading'!G83)+('Inverter Loading'!M49+'Inverter Loading'!#REF!)</f>
        <v>#REF!</v>
      </c>
      <c r="C42" s="226">
        <v>564</v>
      </c>
      <c r="D42" s="226">
        <v>0</v>
      </c>
      <c r="E42" s="306" t="e">
        <f t="shared" si="1"/>
        <v>#REF!</v>
      </c>
      <c r="F42" s="212" t="s">
        <v>1579</v>
      </c>
      <c r="G42" s="307">
        <v>1.37</v>
      </c>
      <c r="H42" s="307">
        <v>1.38</v>
      </c>
      <c r="I42" s="307">
        <v>1.32</v>
      </c>
      <c r="J42" s="307">
        <v>1.4</v>
      </c>
      <c r="K42" s="308">
        <v>1.46</v>
      </c>
      <c r="L42" s="211">
        <v>1.48</v>
      </c>
      <c r="M42" s="331">
        <v>1.48</v>
      </c>
      <c r="N42" s="331">
        <v>1.5</v>
      </c>
      <c r="O42" s="331">
        <v>1.48</v>
      </c>
      <c r="P42" s="331">
        <v>1.44</v>
      </c>
      <c r="Q42" s="331">
        <v>1.38</v>
      </c>
      <c r="R42" s="331">
        <v>1.4</v>
      </c>
    </row>
    <row r="43" spans="1:25">
      <c r="A43" s="310" t="s">
        <v>315</v>
      </c>
      <c r="B43" s="305" t="e">
        <f>SUM('Plant loading'!G100)+('Inverter Loading'!O62+'Inverter Loading'!#REF!)</f>
        <v>#REF!</v>
      </c>
      <c r="C43" s="226">
        <v>445.5</v>
      </c>
      <c r="D43" s="226">
        <v>5</v>
      </c>
      <c r="E43" s="307" t="e">
        <f t="shared" si="1"/>
        <v>#REF!</v>
      </c>
      <c r="F43" s="212"/>
      <c r="G43" s="307">
        <v>1.41</v>
      </c>
      <c r="H43" s="307">
        <v>1.41</v>
      </c>
      <c r="I43" s="307">
        <v>1.3</v>
      </c>
      <c r="J43" s="307">
        <v>1.46</v>
      </c>
      <c r="K43" s="308">
        <v>1.49</v>
      </c>
      <c r="L43" s="211">
        <v>1.54</v>
      </c>
      <c r="M43" s="331">
        <v>1.53</v>
      </c>
      <c r="N43" s="331">
        <v>1.51</v>
      </c>
      <c r="O43" s="331">
        <v>1.5</v>
      </c>
      <c r="P43" s="331">
        <v>1.47</v>
      </c>
      <c r="Q43" s="331">
        <v>1.4</v>
      </c>
      <c r="R43" s="331">
        <v>1.46</v>
      </c>
    </row>
    <row r="44" spans="1:25">
      <c r="A44" s="310" t="s">
        <v>320</v>
      </c>
      <c r="B44" s="305" t="e">
        <f>'Plant loading'!#REF!</f>
        <v>#REF!</v>
      </c>
      <c r="C44" s="226">
        <v>402.6</v>
      </c>
      <c r="D44" s="226">
        <v>0</v>
      </c>
      <c r="E44" s="306" t="e">
        <f t="shared" si="1"/>
        <v>#REF!</v>
      </c>
      <c r="F44" s="212"/>
      <c r="G44" s="307">
        <v>1.4</v>
      </c>
      <c r="H44" s="307">
        <v>1.29</v>
      </c>
      <c r="I44" s="307">
        <v>1.25</v>
      </c>
      <c r="J44" s="307">
        <v>1.36</v>
      </c>
      <c r="K44" s="308">
        <v>1.37</v>
      </c>
      <c r="L44" s="211">
        <v>1.37</v>
      </c>
      <c r="M44" s="331">
        <v>1.4</v>
      </c>
      <c r="N44" s="331">
        <v>1.4</v>
      </c>
      <c r="O44" s="331">
        <v>1.39</v>
      </c>
      <c r="P44" s="331">
        <v>1.38</v>
      </c>
      <c r="Q44" s="331">
        <v>1.31</v>
      </c>
      <c r="R44" s="331">
        <v>1.33</v>
      </c>
    </row>
    <row r="45" spans="1:25">
      <c r="A45" s="327" t="s">
        <v>274</v>
      </c>
      <c r="B45" s="305">
        <f>'Plant loading'!G47</f>
        <v>122.7885</v>
      </c>
      <c r="C45" s="226">
        <v>240</v>
      </c>
      <c r="D45" s="226">
        <v>10</v>
      </c>
      <c r="E45" s="306">
        <f t="shared" si="1"/>
        <v>1.8731395855475066</v>
      </c>
      <c r="F45" s="212" t="s">
        <v>1578</v>
      </c>
      <c r="G45" s="307">
        <v>1.55</v>
      </c>
      <c r="H45" s="307">
        <v>1.6</v>
      </c>
      <c r="I45" s="307">
        <v>1.58</v>
      </c>
      <c r="J45" s="307">
        <v>1.62</v>
      </c>
      <c r="K45" s="308">
        <v>1.67</v>
      </c>
      <c r="L45" s="226">
        <v>1.72</v>
      </c>
      <c r="M45" s="307">
        <v>1.73</v>
      </c>
      <c r="N45" s="307">
        <v>1.73</v>
      </c>
      <c r="O45" s="307">
        <v>1.73</v>
      </c>
      <c r="P45" s="307">
        <v>1.69</v>
      </c>
      <c r="Q45" s="307">
        <v>1.63</v>
      </c>
      <c r="R45" s="307">
        <v>1.62</v>
      </c>
    </row>
    <row r="46" spans="1:25">
      <c r="A46" s="310" t="s">
        <v>287</v>
      </c>
      <c r="B46" s="305">
        <f>'Plant loading'!G58</f>
        <v>0</v>
      </c>
      <c r="C46" s="226">
        <v>199.3</v>
      </c>
      <c r="D46" s="226">
        <v>5</v>
      </c>
      <c r="E46" s="306" t="e">
        <f t="shared" si="1"/>
        <v>#DIV/0!</v>
      </c>
      <c r="F46" s="212" t="s">
        <v>1578</v>
      </c>
      <c r="G46" s="307">
        <v>1.58</v>
      </c>
      <c r="H46" s="307">
        <v>1.55</v>
      </c>
      <c r="I46" s="307">
        <v>1.55</v>
      </c>
      <c r="J46" s="307">
        <v>1.49</v>
      </c>
      <c r="K46" s="308">
        <v>1.47</v>
      </c>
      <c r="L46" s="226">
        <v>1.47</v>
      </c>
      <c r="M46" s="307">
        <v>1.56</v>
      </c>
      <c r="N46" s="307">
        <v>1.64</v>
      </c>
      <c r="O46" s="307">
        <v>1.55</v>
      </c>
      <c r="P46" s="307">
        <v>1.44</v>
      </c>
      <c r="Q46" s="307">
        <v>1.37</v>
      </c>
      <c r="R46" s="307">
        <v>1.36</v>
      </c>
    </row>
    <row r="47" spans="1:25">
      <c r="A47" s="310" t="s">
        <v>305</v>
      </c>
      <c r="B47" s="305">
        <f>'Plant loading'!G76</f>
        <v>0</v>
      </c>
      <c r="C47" s="226">
        <v>254</v>
      </c>
      <c r="D47" s="226">
        <v>0</v>
      </c>
      <c r="E47" s="307" t="e">
        <f t="shared" si="1"/>
        <v>#DIV/0!</v>
      </c>
      <c r="F47" s="212"/>
      <c r="G47" s="307">
        <v>1.45</v>
      </c>
      <c r="H47" s="307">
        <v>1.55</v>
      </c>
      <c r="I47" s="307">
        <v>1.55</v>
      </c>
      <c r="J47" s="307">
        <v>1.44</v>
      </c>
      <c r="K47" s="308">
        <v>1.52</v>
      </c>
      <c r="L47" s="330">
        <v>1.52</v>
      </c>
      <c r="M47" s="336">
        <v>1.49</v>
      </c>
      <c r="N47" s="336">
        <v>1.47</v>
      </c>
      <c r="O47" s="336">
        <v>1.45</v>
      </c>
      <c r="P47" s="336">
        <v>1.4</v>
      </c>
      <c r="Q47" s="336">
        <v>1.34</v>
      </c>
      <c r="R47" s="336">
        <v>1.34</v>
      </c>
    </row>
    <row r="48" spans="1:25">
      <c r="A48" s="310" t="s">
        <v>328</v>
      </c>
      <c r="B48" s="305">
        <f>'Plant loading'!G108</f>
        <v>0</v>
      </c>
      <c r="C48" s="226">
        <v>419.5</v>
      </c>
      <c r="D48" s="311">
        <v>5</v>
      </c>
      <c r="E48" s="306" t="e">
        <f t="shared" si="1"/>
        <v>#DIV/0!</v>
      </c>
      <c r="F48" s="212" t="s">
        <v>1579</v>
      </c>
      <c r="G48" s="307">
        <v>1.41</v>
      </c>
      <c r="H48" s="307">
        <v>1.39</v>
      </c>
      <c r="I48" s="307">
        <v>1.41</v>
      </c>
      <c r="J48" s="307">
        <v>1.43</v>
      </c>
      <c r="K48" s="308">
        <v>1.46</v>
      </c>
      <c r="L48" s="211">
        <v>1.51</v>
      </c>
      <c r="M48" s="331">
        <v>1.54</v>
      </c>
      <c r="N48" s="331">
        <v>1.55</v>
      </c>
      <c r="O48" s="331">
        <v>1.5</v>
      </c>
      <c r="P48" s="331">
        <v>1.38</v>
      </c>
      <c r="Q48" s="331">
        <v>1.35</v>
      </c>
      <c r="R48" s="331">
        <v>1.36</v>
      </c>
    </row>
    <row r="49" spans="1:18" ht="13.9" thickBot="1">
      <c r="A49" s="321" t="s">
        <v>333</v>
      </c>
      <c r="B49" s="305">
        <f>'Plant loading'!G112</f>
        <v>19.1295</v>
      </c>
      <c r="C49" s="226">
        <v>309.89999999999998</v>
      </c>
      <c r="D49" s="311">
        <v>10</v>
      </c>
      <c r="E49" s="306">
        <f t="shared" si="1"/>
        <v>15.67735696176063</v>
      </c>
      <c r="F49" s="212"/>
      <c r="G49" s="307">
        <v>1.45</v>
      </c>
      <c r="H49" s="307">
        <v>1.46</v>
      </c>
      <c r="I49" s="307">
        <v>1.47</v>
      </c>
      <c r="J49" s="307">
        <v>1.47</v>
      </c>
      <c r="K49" s="308">
        <v>1.54</v>
      </c>
      <c r="L49" s="211">
        <v>1.55</v>
      </c>
      <c r="M49" s="331">
        <v>1.52</v>
      </c>
      <c r="N49" s="331">
        <v>1.62</v>
      </c>
      <c r="O49" s="331">
        <v>1.51</v>
      </c>
      <c r="P49" s="331">
        <v>1.44</v>
      </c>
      <c r="Q49" s="331">
        <v>1.37</v>
      </c>
      <c r="R49" s="331">
        <v>1.45</v>
      </c>
    </row>
    <row r="50" spans="1:18">
      <c r="A50" s="788" t="s">
        <v>290</v>
      </c>
      <c r="B50" s="230">
        <f>'Plant loading'!G65</f>
        <v>0</v>
      </c>
      <c r="C50" s="226">
        <v>317.5</v>
      </c>
      <c r="D50" s="311">
        <v>15</v>
      </c>
      <c r="E50" s="306" t="e">
        <f t="shared" si="1"/>
        <v>#DIV/0!</v>
      </c>
      <c r="F50" s="212" t="s">
        <v>1582</v>
      </c>
      <c r="G50" s="307">
        <v>1.3</v>
      </c>
      <c r="H50" s="307">
        <v>1.28</v>
      </c>
      <c r="I50" s="307">
        <v>1.28</v>
      </c>
      <c r="J50" s="307">
        <v>1.31</v>
      </c>
      <c r="K50" s="308">
        <v>1.26</v>
      </c>
      <c r="L50" s="211">
        <v>1.43</v>
      </c>
      <c r="M50" s="331">
        <v>1.46</v>
      </c>
      <c r="N50" s="331">
        <v>1.45</v>
      </c>
      <c r="O50" s="331">
        <v>1.45</v>
      </c>
      <c r="P50" s="331">
        <v>1.36</v>
      </c>
      <c r="Q50" s="331">
        <v>1.51</v>
      </c>
      <c r="R50" s="331">
        <v>1.35</v>
      </c>
    </row>
    <row r="51" spans="1:18">
      <c r="A51" s="329" t="s">
        <v>293</v>
      </c>
      <c r="B51" s="230">
        <f>'Plant loading'!G72</f>
        <v>278.22250000000003</v>
      </c>
      <c r="C51" s="226">
        <v>224.5</v>
      </c>
      <c r="D51" s="226">
        <v>10</v>
      </c>
      <c r="E51" s="306">
        <f t="shared" si="1"/>
        <v>0.77096568394001197</v>
      </c>
      <c r="F51" s="212" t="s">
        <v>1579</v>
      </c>
      <c r="G51" s="307">
        <v>1.93</v>
      </c>
      <c r="H51" s="307">
        <v>1.77</v>
      </c>
      <c r="I51" s="307">
        <v>1.74</v>
      </c>
      <c r="J51" s="307">
        <v>1.74</v>
      </c>
      <c r="K51" s="308">
        <v>1.98</v>
      </c>
      <c r="L51" s="331">
        <v>1.86</v>
      </c>
      <c r="M51" s="331">
        <v>1.76</v>
      </c>
      <c r="N51" s="331">
        <v>1.87</v>
      </c>
      <c r="O51" s="331">
        <v>2.12</v>
      </c>
      <c r="P51" s="331">
        <v>1.74</v>
      </c>
      <c r="Q51" s="331">
        <v>2.0299999999999998</v>
      </c>
      <c r="R51" s="331">
        <v>2.0299999999999998</v>
      </c>
    </row>
    <row r="52" spans="1:18">
      <c r="A52" s="788" t="s">
        <v>312</v>
      </c>
      <c r="B52" s="230">
        <f>'Plant loading'!G89</f>
        <v>109.8175</v>
      </c>
      <c r="C52" s="226">
        <v>399</v>
      </c>
      <c r="D52" s="226">
        <v>0</v>
      </c>
      <c r="E52" s="306">
        <f t="shared" si="1"/>
        <v>3.6333007034397982</v>
      </c>
      <c r="F52" s="212"/>
      <c r="G52" s="307">
        <v>1.92</v>
      </c>
      <c r="H52" s="307">
        <v>2.02</v>
      </c>
      <c r="I52" s="307">
        <v>1.95</v>
      </c>
      <c r="J52" s="307">
        <v>1.93</v>
      </c>
      <c r="K52" s="308">
        <v>1.96</v>
      </c>
      <c r="L52" s="211">
        <v>2</v>
      </c>
      <c r="M52" s="331">
        <v>2.02</v>
      </c>
      <c r="N52" s="331">
        <v>2.14</v>
      </c>
      <c r="O52" s="331">
        <v>2.04</v>
      </c>
      <c r="P52" s="331">
        <v>1.95</v>
      </c>
      <c r="Q52" s="331">
        <v>1.92</v>
      </c>
      <c r="R52" s="331">
        <v>2.0099999999999998</v>
      </c>
    </row>
    <row r="53" spans="1:18">
      <c r="A53" s="329" t="s">
        <v>336</v>
      </c>
      <c r="B53" s="230">
        <f>'Plant loading'!G117</f>
        <v>0</v>
      </c>
      <c r="C53" s="226">
        <v>224.2</v>
      </c>
      <c r="D53" s="226">
        <v>5</v>
      </c>
      <c r="E53" s="306" t="e">
        <f t="shared" si="1"/>
        <v>#DIV/0!</v>
      </c>
      <c r="F53" s="212" t="s">
        <v>1583</v>
      </c>
      <c r="G53" s="307">
        <v>1.74</v>
      </c>
      <c r="H53" s="307">
        <v>1.8</v>
      </c>
      <c r="I53" s="307">
        <v>1.84</v>
      </c>
      <c r="J53" s="307">
        <v>1.86</v>
      </c>
      <c r="K53" s="308">
        <v>1.81</v>
      </c>
      <c r="L53" s="226">
        <v>1.77</v>
      </c>
      <c r="M53" s="307">
        <v>1.74</v>
      </c>
      <c r="N53" s="307">
        <v>1.75</v>
      </c>
      <c r="O53" s="307">
        <v>1.75</v>
      </c>
      <c r="P53" s="307">
        <v>1.76</v>
      </c>
      <c r="Q53" s="307">
        <v>1.75</v>
      </c>
      <c r="R53" s="307">
        <v>1.75</v>
      </c>
    </row>
    <row r="54" spans="1:18">
      <c r="A54" s="328" t="s">
        <v>339</v>
      </c>
      <c r="B54" s="230" t="e">
        <f>'Plant loading'!#REF!</f>
        <v>#REF!</v>
      </c>
      <c r="C54" s="226">
        <v>225.9</v>
      </c>
      <c r="D54" s="226">
        <v>5</v>
      </c>
      <c r="E54" s="306" t="e">
        <f t="shared" si="1"/>
        <v>#REF!</v>
      </c>
      <c r="F54" s="212" t="s">
        <v>1583</v>
      </c>
      <c r="G54" s="307">
        <v>1.42</v>
      </c>
      <c r="H54" s="307">
        <v>1.38</v>
      </c>
      <c r="I54" s="307">
        <v>1.42</v>
      </c>
      <c r="J54" s="307">
        <v>1.5</v>
      </c>
      <c r="K54" s="308">
        <v>1.51</v>
      </c>
      <c r="L54" s="266">
        <v>1.51</v>
      </c>
      <c r="M54" s="337">
        <v>1.49</v>
      </c>
      <c r="N54" s="337">
        <v>1.49</v>
      </c>
      <c r="O54" s="337">
        <v>1.55</v>
      </c>
      <c r="P54" s="337">
        <v>1.45</v>
      </c>
      <c r="Q54" s="337">
        <v>1.4</v>
      </c>
      <c r="R54" s="337">
        <v>1.4</v>
      </c>
    </row>
    <row r="55" spans="1:18">
      <c r="G55" s="1285">
        <v>2015</v>
      </c>
      <c r="H55" s="1285"/>
      <c r="I55" s="1285"/>
      <c r="J55" s="1285"/>
      <c r="K55" s="1285"/>
      <c r="L55" s="1285"/>
      <c r="M55" s="1285"/>
      <c r="N55" s="1285"/>
      <c r="O55" s="1285"/>
      <c r="P55" s="1285"/>
      <c r="Q55" s="1285"/>
      <c r="R55" s="1285"/>
    </row>
    <row r="56" spans="1:18" ht="13.9" thickBot="1">
      <c r="A56" s="301" t="s">
        <v>512</v>
      </c>
      <c r="B56" s="302" t="s">
        <v>679</v>
      </c>
      <c r="C56" s="302" t="s">
        <v>1566</v>
      </c>
      <c r="D56" s="302" t="s">
        <v>1567</v>
      </c>
      <c r="E56" s="303" t="s">
        <v>1568</v>
      </c>
      <c r="F56" s="212"/>
      <c r="G56" s="788" t="s">
        <v>1569</v>
      </c>
      <c r="H56" s="788" t="s">
        <v>1570</v>
      </c>
      <c r="I56" s="788" t="s">
        <v>1571</v>
      </c>
      <c r="J56" s="788" t="s">
        <v>1572</v>
      </c>
      <c r="K56" s="788" t="s">
        <v>1573</v>
      </c>
      <c r="L56" s="302" t="s">
        <v>1595</v>
      </c>
      <c r="M56" s="302" t="s">
        <v>1596</v>
      </c>
      <c r="N56" s="302" t="s">
        <v>1576</v>
      </c>
      <c r="O56" s="302" t="s">
        <v>1577</v>
      </c>
      <c r="P56" s="302" t="s">
        <v>1597</v>
      </c>
      <c r="Q56" s="302" t="s">
        <v>1598</v>
      </c>
      <c r="R56" s="302" t="s">
        <v>1599</v>
      </c>
    </row>
    <row r="57" spans="1:18">
      <c r="A57" s="322" t="s">
        <v>280</v>
      </c>
      <c r="B57" s="305">
        <f>'Plant loading'!G49</f>
        <v>0</v>
      </c>
      <c r="C57" s="226">
        <v>583.79999999999995</v>
      </c>
      <c r="D57" s="226">
        <v>33</v>
      </c>
      <c r="E57" s="306" t="e">
        <f t="shared" ref="E57:E70" si="2">(C57-D57)/B57</f>
        <v>#DIV/0!</v>
      </c>
      <c r="F57" s="212" t="s">
        <v>1578</v>
      </c>
      <c r="G57" s="307">
        <v>1.59</v>
      </c>
      <c r="H57" s="307">
        <v>1.5</v>
      </c>
      <c r="I57" s="307">
        <v>1.46</v>
      </c>
      <c r="J57" s="307">
        <v>1.49</v>
      </c>
      <c r="K57" s="308">
        <v>1.49</v>
      </c>
      <c r="L57" s="331">
        <v>1.5</v>
      </c>
      <c r="M57" s="331">
        <v>1.51</v>
      </c>
      <c r="N57" s="331">
        <v>1.5</v>
      </c>
      <c r="O57" s="331">
        <v>1.48</v>
      </c>
      <c r="P57" s="331">
        <v>1.46</v>
      </c>
      <c r="Q57" s="331">
        <v>1.46</v>
      </c>
      <c r="R57" s="331">
        <v>1.47</v>
      </c>
    </row>
    <row r="58" spans="1:18">
      <c r="A58" s="309" t="s">
        <v>297</v>
      </c>
      <c r="B58" s="305">
        <v>339</v>
      </c>
      <c r="C58" s="226">
        <v>564</v>
      </c>
      <c r="D58" s="226">
        <v>0</v>
      </c>
      <c r="E58" s="306">
        <f t="shared" si="2"/>
        <v>1.663716814159292</v>
      </c>
      <c r="F58" s="212" t="s">
        <v>1579</v>
      </c>
      <c r="G58" s="307">
        <v>1.51</v>
      </c>
      <c r="H58" s="307">
        <v>1.34</v>
      </c>
      <c r="I58" s="307">
        <v>1.37</v>
      </c>
      <c r="J58" s="307">
        <v>1.42</v>
      </c>
      <c r="K58" s="308">
        <v>1.45</v>
      </c>
      <c r="L58" s="211">
        <v>1.48</v>
      </c>
      <c r="M58" s="331">
        <v>1.5</v>
      </c>
      <c r="N58" s="331">
        <v>1.49</v>
      </c>
      <c r="O58" s="331">
        <v>1.52</v>
      </c>
      <c r="P58" s="331">
        <v>1.45</v>
      </c>
      <c r="Q58" s="331">
        <v>1.44</v>
      </c>
      <c r="R58" s="331">
        <v>1.39</v>
      </c>
    </row>
    <row r="59" spans="1:18">
      <c r="A59" s="310" t="s">
        <v>315</v>
      </c>
      <c r="B59" s="305">
        <v>275</v>
      </c>
      <c r="C59" s="226">
        <v>445.5</v>
      </c>
      <c r="D59" s="226">
        <v>5</v>
      </c>
      <c r="E59" s="307">
        <f t="shared" si="2"/>
        <v>1.6018181818181818</v>
      </c>
      <c r="F59" s="212"/>
      <c r="G59" s="307">
        <v>1.43</v>
      </c>
      <c r="H59" s="307">
        <v>1.39</v>
      </c>
      <c r="I59" s="307">
        <v>1.41</v>
      </c>
      <c r="J59" s="307">
        <v>1.4</v>
      </c>
      <c r="K59" s="308">
        <v>1.48</v>
      </c>
      <c r="L59" s="211">
        <v>1.51</v>
      </c>
      <c r="M59" s="331">
        <v>1.53</v>
      </c>
      <c r="N59" s="331">
        <v>1.55</v>
      </c>
      <c r="O59" s="331">
        <v>1.55</v>
      </c>
      <c r="P59" s="331">
        <v>1.54</v>
      </c>
      <c r="Q59" s="331">
        <v>1.47</v>
      </c>
      <c r="R59" s="331">
        <v>1.41</v>
      </c>
    </row>
    <row r="60" spans="1:18">
      <c r="A60" s="310" t="s">
        <v>320</v>
      </c>
      <c r="B60" s="305" t="e">
        <f>'Plant loading'!#REF!</f>
        <v>#REF!</v>
      </c>
      <c r="C60" s="226">
        <v>402.6</v>
      </c>
      <c r="D60" s="226">
        <v>0</v>
      </c>
      <c r="E60" s="306" t="e">
        <f t="shared" si="2"/>
        <v>#REF!</v>
      </c>
      <c r="F60" s="212"/>
      <c r="G60" s="307">
        <v>1.3</v>
      </c>
      <c r="H60" s="307">
        <v>1.32</v>
      </c>
      <c r="I60" s="307">
        <v>1.34</v>
      </c>
      <c r="J60" s="307">
        <v>1.39</v>
      </c>
      <c r="K60" s="308">
        <v>1.4</v>
      </c>
      <c r="L60" s="211">
        <v>1.43</v>
      </c>
      <c r="M60" s="331">
        <v>1.43</v>
      </c>
      <c r="N60" s="331">
        <v>1.45</v>
      </c>
      <c r="O60" s="331">
        <v>1.38</v>
      </c>
      <c r="P60" s="331">
        <v>1.38</v>
      </c>
      <c r="Q60" s="331">
        <v>1.42</v>
      </c>
      <c r="R60" s="331">
        <v>1.27</v>
      </c>
    </row>
    <row r="61" spans="1:18">
      <c r="A61" s="327" t="s">
        <v>274</v>
      </c>
      <c r="B61" s="305">
        <f>'Plant loading'!G44</f>
        <v>0</v>
      </c>
      <c r="C61" s="226">
        <v>240</v>
      </c>
      <c r="D61" s="226">
        <v>10</v>
      </c>
      <c r="E61" s="306" t="e">
        <f t="shared" si="2"/>
        <v>#DIV/0!</v>
      </c>
      <c r="F61" s="212" t="s">
        <v>1578</v>
      </c>
      <c r="G61" s="307">
        <v>1.55</v>
      </c>
      <c r="H61" s="307">
        <v>1.52</v>
      </c>
      <c r="I61" s="307">
        <v>1.52</v>
      </c>
      <c r="J61" s="307">
        <v>1.67</v>
      </c>
      <c r="K61" s="308">
        <v>1.68</v>
      </c>
      <c r="L61" s="226">
        <v>1.72</v>
      </c>
      <c r="M61" s="307">
        <v>1.7</v>
      </c>
      <c r="N61" s="307">
        <v>1.68</v>
      </c>
      <c r="O61" s="307">
        <v>1.68</v>
      </c>
      <c r="P61" s="307">
        <v>1.63</v>
      </c>
      <c r="Q61" s="307">
        <v>1.61</v>
      </c>
      <c r="R61" s="307">
        <v>1.69</v>
      </c>
    </row>
    <row r="62" spans="1:18">
      <c r="A62" s="310" t="s">
        <v>287</v>
      </c>
      <c r="B62" s="305">
        <f>'Plant loading'!G57</f>
        <v>0</v>
      </c>
      <c r="C62" s="226">
        <v>199.3</v>
      </c>
      <c r="D62" s="226">
        <v>5</v>
      </c>
      <c r="E62" s="306" t="e">
        <f t="shared" si="2"/>
        <v>#DIV/0!</v>
      </c>
      <c r="F62" s="212" t="s">
        <v>1578</v>
      </c>
      <c r="G62" s="307">
        <v>1.52</v>
      </c>
      <c r="H62" s="307">
        <v>1.46</v>
      </c>
      <c r="I62" s="307">
        <v>1.54</v>
      </c>
      <c r="J62" s="307">
        <v>1.43</v>
      </c>
      <c r="K62" s="308">
        <v>1.42</v>
      </c>
      <c r="L62" s="226">
        <v>1.5</v>
      </c>
      <c r="M62" s="307">
        <v>1.5</v>
      </c>
      <c r="N62" s="307">
        <v>1.5</v>
      </c>
      <c r="O62" s="307">
        <v>1.49</v>
      </c>
      <c r="P62" s="307">
        <v>1.46</v>
      </c>
      <c r="Q62" s="307">
        <v>1.42</v>
      </c>
      <c r="R62" s="307">
        <v>1.63</v>
      </c>
    </row>
    <row r="63" spans="1:18">
      <c r="A63" s="310" t="s">
        <v>305</v>
      </c>
      <c r="B63" s="305">
        <f>'Plant loading'!G75</f>
        <v>0.59832795698924734</v>
      </c>
      <c r="C63" s="226">
        <v>254</v>
      </c>
      <c r="D63" s="226">
        <v>0</v>
      </c>
      <c r="E63" s="307">
        <f t="shared" si="2"/>
        <v>424.5163493247311</v>
      </c>
      <c r="F63" s="212"/>
      <c r="G63" s="307">
        <v>1.54</v>
      </c>
      <c r="H63" s="307">
        <v>1.47</v>
      </c>
      <c r="I63" s="307">
        <v>1.43</v>
      </c>
      <c r="J63" s="307">
        <v>1.45</v>
      </c>
      <c r="K63" s="308">
        <v>1.48</v>
      </c>
      <c r="L63" s="330">
        <v>1.53</v>
      </c>
      <c r="M63" s="336">
        <v>1.57</v>
      </c>
      <c r="N63" s="336">
        <v>1.53</v>
      </c>
      <c r="O63" s="336">
        <v>1.52</v>
      </c>
      <c r="P63" s="336">
        <v>1.52</v>
      </c>
      <c r="Q63" s="336">
        <v>1.51</v>
      </c>
      <c r="R63" s="336">
        <v>1.51</v>
      </c>
    </row>
    <row r="64" spans="1:18">
      <c r="A64" s="310" t="s">
        <v>328</v>
      </c>
      <c r="B64" s="305">
        <f>'Plant loading'!G107</f>
        <v>33.244999999999997</v>
      </c>
      <c r="C64" s="226">
        <v>419.5</v>
      </c>
      <c r="D64" s="311">
        <v>5</v>
      </c>
      <c r="E64" s="306">
        <f t="shared" si="2"/>
        <v>12.468040306813055</v>
      </c>
      <c r="F64" s="212" t="s">
        <v>1579</v>
      </c>
      <c r="G64" s="307">
        <v>1.62</v>
      </c>
      <c r="H64" s="307">
        <v>1.62</v>
      </c>
      <c r="I64" s="307">
        <v>1.61</v>
      </c>
      <c r="J64" s="307">
        <v>1.56</v>
      </c>
      <c r="K64" s="308">
        <v>1.58</v>
      </c>
      <c r="L64" s="211">
        <v>1.58</v>
      </c>
      <c r="M64" s="331">
        <v>1.57</v>
      </c>
      <c r="N64" s="331">
        <v>1.57</v>
      </c>
      <c r="O64" s="331">
        <v>1.51</v>
      </c>
      <c r="P64" s="331">
        <v>1.49</v>
      </c>
      <c r="Q64" s="331">
        <v>1.49</v>
      </c>
      <c r="R64" s="331">
        <v>1.42</v>
      </c>
    </row>
    <row r="65" spans="1:18" ht="13.9" thickBot="1">
      <c r="A65" s="321" t="s">
        <v>333</v>
      </c>
      <c r="B65" s="305">
        <f>'Plant loading'!G111</f>
        <v>0</v>
      </c>
      <c r="C65" s="226">
        <v>309.89999999999998</v>
      </c>
      <c r="D65" s="311">
        <v>10</v>
      </c>
      <c r="E65" s="306" t="e">
        <f t="shared" si="2"/>
        <v>#DIV/0!</v>
      </c>
      <c r="F65" s="212"/>
      <c r="G65" s="307">
        <v>1.6</v>
      </c>
      <c r="H65" s="307">
        <v>1.46</v>
      </c>
      <c r="I65" s="307">
        <v>1.38</v>
      </c>
      <c r="J65" s="307">
        <v>1.42</v>
      </c>
      <c r="K65" s="308">
        <v>1.43</v>
      </c>
      <c r="L65" s="211">
        <v>1.47</v>
      </c>
      <c r="M65" s="331">
        <v>1.51</v>
      </c>
      <c r="N65" s="331">
        <v>1.5</v>
      </c>
      <c r="O65" s="331">
        <v>1.56</v>
      </c>
      <c r="P65" s="331">
        <v>1.59</v>
      </c>
      <c r="Q65" s="331">
        <v>1.54</v>
      </c>
      <c r="R65" s="331">
        <v>1.48</v>
      </c>
    </row>
    <row r="66" spans="1:18">
      <c r="A66" s="788" t="s">
        <v>290</v>
      </c>
      <c r="B66" s="230">
        <f>'Plant loading'!G64</f>
        <v>389.18450000000001</v>
      </c>
      <c r="C66" s="226">
        <v>317.5</v>
      </c>
      <c r="D66" s="311">
        <v>15</v>
      </c>
      <c r="E66" s="306">
        <f t="shared" si="2"/>
        <v>0.77726630942393649</v>
      </c>
      <c r="F66" s="212" t="s">
        <v>1582</v>
      </c>
      <c r="G66" s="307">
        <v>1.92</v>
      </c>
      <c r="H66" s="307">
        <v>1.91</v>
      </c>
      <c r="I66" s="307">
        <v>1.9</v>
      </c>
      <c r="J66" s="307">
        <v>1.92</v>
      </c>
      <c r="K66" s="308">
        <v>1.89</v>
      </c>
      <c r="L66" s="211">
        <v>1.84</v>
      </c>
      <c r="M66" s="331">
        <v>1.52</v>
      </c>
      <c r="N66" s="331">
        <v>1.57</v>
      </c>
      <c r="O66" s="331">
        <v>1.58</v>
      </c>
      <c r="P66" s="331">
        <v>1.58</v>
      </c>
      <c r="Q66" s="331">
        <v>1.58</v>
      </c>
      <c r="R66" s="331">
        <v>1.38</v>
      </c>
    </row>
    <row r="67" spans="1:18">
      <c r="A67" s="329" t="s">
        <v>293</v>
      </c>
      <c r="B67" s="230">
        <f>'Plant loading'!G69</f>
        <v>0</v>
      </c>
      <c r="C67" s="226">
        <v>224.5</v>
      </c>
      <c r="D67" s="226">
        <v>10</v>
      </c>
      <c r="E67" s="306" t="e">
        <f t="shared" si="2"/>
        <v>#DIV/0!</v>
      </c>
      <c r="F67" s="212" t="s">
        <v>1579</v>
      </c>
      <c r="G67" s="307">
        <v>1.6</v>
      </c>
      <c r="H67" s="307">
        <v>1.59</v>
      </c>
      <c r="I67" s="307">
        <v>1.67</v>
      </c>
      <c r="J67" s="307">
        <v>2</v>
      </c>
      <c r="K67" s="308">
        <v>1.92</v>
      </c>
      <c r="L67" s="331">
        <v>2</v>
      </c>
      <c r="M67" s="331">
        <v>2.0099999999999998</v>
      </c>
      <c r="N67" s="331">
        <v>2.09</v>
      </c>
      <c r="O67" s="331">
        <v>1.95</v>
      </c>
      <c r="P67" s="331">
        <v>1.95</v>
      </c>
      <c r="Q67" s="331">
        <v>2.0699999999999998</v>
      </c>
      <c r="R67" s="331">
        <v>2.0699999999999998</v>
      </c>
    </row>
    <row r="68" spans="1:18">
      <c r="A68" s="788" t="s">
        <v>312</v>
      </c>
      <c r="B68" s="230">
        <f>'Plant loading'!G88</f>
        <v>0</v>
      </c>
      <c r="C68" s="226">
        <v>399</v>
      </c>
      <c r="D68" s="226">
        <v>0</v>
      </c>
      <c r="E68" s="306" t="e">
        <f t="shared" si="2"/>
        <v>#DIV/0!</v>
      </c>
      <c r="F68" s="212"/>
      <c r="G68" s="307">
        <v>1.9</v>
      </c>
      <c r="H68" s="307">
        <v>1.9</v>
      </c>
      <c r="I68" s="307">
        <v>1.91</v>
      </c>
      <c r="J68" s="307">
        <v>1.93</v>
      </c>
      <c r="K68" s="308">
        <v>1.94</v>
      </c>
      <c r="L68" s="211">
        <v>1.99</v>
      </c>
      <c r="M68" s="331">
        <v>2.06</v>
      </c>
      <c r="N68" s="331">
        <v>2.0699999999999998</v>
      </c>
      <c r="O68" s="331">
        <v>2.0699999999999998</v>
      </c>
      <c r="P68" s="331">
        <v>2.0699999999999998</v>
      </c>
      <c r="Q68" s="331">
        <v>1.94</v>
      </c>
      <c r="R68" s="331">
        <v>1.97</v>
      </c>
    </row>
    <row r="69" spans="1:18">
      <c r="A69" s="788" t="s">
        <v>336</v>
      </c>
      <c r="B69" s="230">
        <f>'Plant loading'!G116</f>
        <v>39.567</v>
      </c>
      <c r="C69" s="226">
        <v>224.2</v>
      </c>
      <c r="D69" s="226">
        <v>5</v>
      </c>
      <c r="E69" s="306">
        <f t="shared" si="2"/>
        <v>5.5399701771678416</v>
      </c>
      <c r="F69" s="212" t="s">
        <v>1583</v>
      </c>
      <c r="G69" s="307">
        <v>1.82</v>
      </c>
      <c r="H69" s="307">
        <v>1.82</v>
      </c>
      <c r="I69" s="307">
        <v>1.75</v>
      </c>
      <c r="J69" s="307">
        <v>1.66</v>
      </c>
      <c r="K69" s="308">
        <v>1.7</v>
      </c>
      <c r="L69" s="226">
        <v>1.72</v>
      </c>
      <c r="M69" s="307">
        <v>1.75</v>
      </c>
      <c r="N69" s="307">
        <v>1.75</v>
      </c>
      <c r="O69" s="307">
        <v>1.72</v>
      </c>
      <c r="P69" s="307">
        <v>1.72</v>
      </c>
      <c r="Q69" s="307">
        <v>1.73</v>
      </c>
      <c r="R69" s="307">
        <v>1.74</v>
      </c>
    </row>
    <row r="70" spans="1:18">
      <c r="A70" s="328" t="s">
        <v>339</v>
      </c>
      <c r="B70" s="230">
        <f>'Plant loading'!G119</f>
        <v>0</v>
      </c>
      <c r="C70" s="226">
        <v>225.9</v>
      </c>
      <c r="D70" s="226">
        <v>5</v>
      </c>
      <c r="E70" s="306" t="e">
        <f t="shared" si="2"/>
        <v>#DIV/0!</v>
      </c>
      <c r="F70" s="212" t="s">
        <v>1583</v>
      </c>
      <c r="G70" s="307">
        <v>1.61</v>
      </c>
      <c r="H70" s="307">
        <v>1.58</v>
      </c>
      <c r="I70" s="307">
        <v>1.6</v>
      </c>
      <c r="J70" s="307">
        <v>1.69</v>
      </c>
      <c r="K70" s="308">
        <v>1.68</v>
      </c>
      <c r="L70" s="266">
        <v>1.52</v>
      </c>
      <c r="M70" s="337">
        <v>1.49</v>
      </c>
      <c r="N70" s="337">
        <v>1.5</v>
      </c>
      <c r="O70" s="337">
        <v>1.49</v>
      </c>
      <c r="P70" s="337">
        <v>1.49</v>
      </c>
      <c r="Q70" s="337">
        <v>1.47</v>
      </c>
      <c r="R70" s="337">
        <v>1.48</v>
      </c>
    </row>
    <row r="71" spans="1:18">
      <c r="G71" s="1285">
        <v>2014</v>
      </c>
      <c r="H71" s="1285"/>
      <c r="I71" s="1285"/>
      <c r="J71" s="1285"/>
      <c r="K71" s="1285"/>
      <c r="L71" s="1285"/>
      <c r="M71" s="1285"/>
      <c r="N71" s="1285"/>
      <c r="O71" s="1285"/>
      <c r="P71" s="1285"/>
      <c r="Q71" s="1285"/>
      <c r="R71" s="1285"/>
    </row>
    <row r="72" spans="1:18" ht="13.9" thickBot="1">
      <c r="A72" s="301" t="s">
        <v>512</v>
      </c>
      <c r="B72" s="302" t="s">
        <v>679</v>
      </c>
      <c r="C72" s="302" t="s">
        <v>1566</v>
      </c>
      <c r="D72" s="302" t="s">
        <v>1567</v>
      </c>
      <c r="E72" s="303" t="s">
        <v>1568</v>
      </c>
      <c r="F72" s="212"/>
      <c r="G72" s="788" t="s">
        <v>1569</v>
      </c>
      <c r="H72" s="788" t="s">
        <v>1570</v>
      </c>
      <c r="I72" s="788" t="s">
        <v>1601</v>
      </c>
      <c r="J72" s="788" t="s">
        <v>1602</v>
      </c>
      <c r="K72" s="788" t="s">
        <v>1573</v>
      </c>
      <c r="L72" s="788" t="s">
        <v>1574</v>
      </c>
      <c r="M72" s="788" t="s">
        <v>1575</v>
      </c>
      <c r="N72" s="304" t="s">
        <v>1576</v>
      </c>
      <c r="O72" s="788" t="s">
        <v>1577</v>
      </c>
      <c r="P72" s="788" t="s">
        <v>1597</v>
      </c>
      <c r="Q72" s="788" t="s">
        <v>1598</v>
      </c>
      <c r="R72" s="788" t="s">
        <v>1599</v>
      </c>
    </row>
    <row r="73" spans="1:18">
      <c r="A73" s="322" t="s">
        <v>280</v>
      </c>
      <c r="B73" s="305">
        <f>'Plant loading'!G49</f>
        <v>0</v>
      </c>
      <c r="C73" s="226">
        <v>583.79999999999995</v>
      </c>
      <c r="D73" s="226">
        <v>33</v>
      </c>
      <c r="E73" s="306" t="e">
        <f t="shared" ref="E73:E86" si="3">(C73-D73)/B73</f>
        <v>#DIV/0!</v>
      </c>
      <c r="F73" s="212" t="s">
        <v>1578</v>
      </c>
      <c r="G73" s="226">
        <v>1.61</v>
      </c>
      <c r="H73" s="226">
        <v>1.55</v>
      </c>
      <c r="I73" s="307">
        <v>1.63</v>
      </c>
      <c r="J73" s="307">
        <v>1.64</v>
      </c>
      <c r="K73" s="226">
        <v>1.66</v>
      </c>
      <c r="L73" s="226">
        <v>1.66</v>
      </c>
      <c r="M73" s="226">
        <v>1.69</v>
      </c>
      <c r="N73" s="307">
        <v>1.69</v>
      </c>
      <c r="O73" s="308">
        <v>1.66</v>
      </c>
      <c r="P73" s="307">
        <v>1.61</v>
      </c>
      <c r="Q73" s="307">
        <v>1.59</v>
      </c>
      <c r="R73" s="307">
        <v>1.59</v>
      </c>
    </row>
    <row r="74" spans="1:18">
      <c r="A74" s="309" t="s">
        <v>297</v>
      </c>
      <c r="B74" s="305">
        <v>339</v>
      </c>
      <c r="C74" s="226">
        <v>564</v>
      </c>
      <c r="D74" s="226">
        <v>0</v>
      </c>
      <c r="E74" s="306">
        <f t="shared" si="3"/>
        <v>1.663716814159292</v>
      </c>
      <c r="F74" s="212" t="s">
        <v>1579</v>
      </c>
      <c r="G74" s="226">
        <v>1.62</v>
      </c>
      <c r="H74" s="226">
        <v>1.65</v>
      </c>
      <c r="I74" s="307">
        <v>1.76</v>
      </c>
      <c r="J74" s="307">
        <v>1.77</v>
      </c>
      <c r="K74" s="226">
        <v>1.66</v>
      </c>
      <c r="L74" s="226">
        <v>1.65</v>
      </c>
      <c r="M74" s="226">
        <v>1.68</v>
      </c>
      <c r="N74" s="307">
        <v>1.65</v>
      </c>
      <c r="O74" s="307">
        <v>1.66</v>
      </c>
      <c r="P74" s="307">
        <v>1.65</v>
      </c>
      <c r="Q74" s="307">
        <v>1.65</v>
      </c>
      <c r="R74" s="307">
        <v>1.63</v>
      </c>
    </row>
    <row r="75" spans="1:18">
      <c r="A75" s="310" t="s">
        <v>315</v>
      </c>
      <c r="B75" s="305">
        <v>275</v>
      </c>
      <c r="C75" s="226">
        <v>445.5</v>
      </c>
      <c r="D75" s="226">
        <v>5</v>
      </c>
      <c r="E75" s="307">
        <f t="shared" si="3"/>
        <v>1.6018181818181818</v>
      </c>
      <c r="F75" s="212"/>
      <c r="G75" s="226">
        <v>1.61</v>
      </c>
      <c r="H75" s="226">
        <v>1.57</v>
      </c>
      <c r="I75" s="307">
        <v>1.74</v>
      </c>
      <c r="J75" s="307">
        <v>1.73</v>
      </c>
      <c r="K75" s="226">
        <v>1.65</v>
      </c>
      <c r="L75" s="226">
        <v>1.72</v>
      </c>
      <c r="M75" s="226">
        <v>1.77</v>
      </c>
      <c r="N75" s="307">
        <v>1.79</v>
      </c>
      <c r="O75" s="307">
        <v>1.8</v>
      </c>
      <c r="P75" s="307">
        <v>1.78</v>
      </c>
      <c r="Q75" s="307">
        <v>1.66</v>
      </c>
      <c r="R75" s="307">
        <v>1.45</v>
      </c>
    </row>
    <row r="76" spans="1:18">
      <c r="A76" s="310" t="s">
        <v>320</v>
      </c>
      <c r="B76" s="305" t="e">
        <f>'Plant loading'!#REF!</f>
        <v>#REF!</v>
      </c>
      <c r="C76" s="226">
        <v>402.6</v>
      </c>
      <c r="D76" s="226">
        <v>0</v>
      </c>
      <c r="E76" s="306" t="e">
        <f t="shared" si="3"/>
        <v>#REF!</v>
      </c>
      <c r="F76" s="212"/>
      <c r="G76" s="226">
        <v>1.54</v>
      </c>
      <c r="H76" s="226">
        <v>1.62</v>
      </c>
      <c r="I76" s="307">
        <v>1.78</v>
      </c>
      <c r="J76" s="307">
        <v>1.81</v>
      </c>
      <c r="K76" s="226">
        <v>1.76</v>
      </c>
      <c r="L76" s="226">
        <v>1.77</v>
      </c>
      <c r="M76" s="226">
        <v>1.83</v>
      </c>
      <c r="N76" s="307">
        <v>1.83</v>
      </c>
      <c r="O76" s="307">
        <v>1.57</v>
      </c>
      <c r="P76" s="307">
        <v>1.54</v>
      </c>
      <c r="Q76" s="307">
        <v>1.53</v>
      </c>
      <c r="R76" s="307">
        <v>1.35</v>
      </c>
    </row>
    <row r="77" spans="1:18">
      <c r="A77" s="327" t="s">
        <v>274</v>
      </c>
      <c r="B77" s="305">
        <f>'Plant loading'!G44</f>
        <v>0</v>
      </c>
      <c r="C77" s="226">
        <v>240</v>
      </c>
      <c r="D77" s="226">
        <v>10</v>
      </c>
      <c r="E77" s="306" t="e">
        <f t="shared" si="3"/>
        <v>#DIV/0!</v>
      </c>
      <c r="F77" s="212" t="s">
        <v>1578</v>
      </c>
      <c r="G77" s="226">
        <v>1.73</v>
      </c>
      <c r="H77" s="226">
        <v>1.71</v>
      </c>
      <c r="I77" s="307">
        <v>1.71</v>
      </c>
      <c r="J77" s="307">
        <v>1.76</v>
      </c>
      <c r="K77" s="226">
        <v>1.76</v>
      </c>
      <c r="L77" s="226">
        <v>1.74</v>
      </c>
      <c r="M77" s="226">
        <v>1.72</v>
      </c>
      <c r="N77" s="307">
        <v>1.72</v>
      </c>
      <c r="O77" s="308">
        <v>1.74</v>
      </c>
      <c r="P77" s="307">
        <v>1.73</v>
      </c>
      <c r="Q77" s="307">
        <v>1.64</v>
      </c>
      <c r="R77" s="307">
        <v>1.59</v>
      </c>
    </row>
    <row r="78" spans="1:18">
      <c r="A78" s="310" t="s">
        <v>287</v>
      </c>
      <c r="B78" s="305">
        <f>'Plant loading'!G57</f>
        <v>0</v>
      </c>
      <c r="C78" s="226">
        <v>199.3</v>
      </c>
      <c r="D78" s="226">
        <v>5</v>
      </c>
      <c r="E78" s="306" t="e">
        <f t="shared" si="3"/>
        <v>#DIV/0!</v>
      </c>
      <c r="F78" s="212" t="s">
        <v>1578</v>
      </c>
      <c r="G78" s="226">
        <v>1.69</v>
      </c>
      <c r="H78" s="226">
        <v>1.77</v>
      </c>
      <c r="I78" s="307">
        <v>1.79</v>
      </c>
      <c r="J78" s="307">
        <v>1.78</v>
      </c>
      <c r="K78" s="226">
        <v>1.77</v>
      </c>
      <c r="L78" s="226">
        <v>1.77</v>
      </c>
      <c r="M78" s="307">
        <v>1.8</v>
      </c>
      <c r="N78" s="307">
        <v>1.8</v>
      </c>
      <c r="O78" s="308">
        <v>1.53</v>
      </c>
      <c r="P78" s="307">
        <v>1.48</v>
      </c>
      <c r="Q78" s="307">
        <v>1.5</v>
      </c>
      <c r="R78" s="307">
        <v>1.52</v>
      </c>
    </row>
    <row r="79" spans="1:18">
      <c r="A79" s="310" t="s">
        <v>305</v>
      </c>
      <c r="B79" s="305">
        <f>'Plant loading'!G75</f>
        <v>0.59832795698924734</v>
      </c>
      <c r="C79" s="226">
        <v>254</v>
      </c>
      <c r="D79" s="226">
        <v>0</v>
      </c>
      <c r="E79" s="307">
        <f t="shared" si="3"/>
        <v>424.5163493247311</v>
      </c>
      <c r="F79" s="212"/>
      <c r="G79" s="226">
        <v>1.67</v>
      </c>
      <c r="H79" s="226">
        <v>1.69</v>
      </c>
      <c r="I79" s="307">
        <v>1.71</v>
      </c>
      <c r="J79" s="307">
        <v>1.55</v>
      </c>
      <c r="K79" s="226">
        <v>1.52</v>
      </c>
      <c r="L79" s="226">
        <v>1.53</v>
      </c>
      <c r="M79" s="226">
        <v>1.55</v>
      </c>
      <c r="N79" s="307">
        <v>1.55</v>
      </c>
      <c r="O79" s="308">
        <v>1.56</v>
      </c>
      <c r="P79" s="307">
        <v>1.52</v>
      </c>
      <c r="Q79" s="307">
        <v>1.57</v>
      </c>
      <c r="R79" s="307">
        <v>1.56</v>
      </c>
    </row>
    <row r="80" spans="1:18">
      <c r="A80" s="310" t="s">
        <v>328</v>
      </c>
      <c r="B80" s="305">
        <f>'Plant loading'!G107</f>
        <v>33.244999999999997</v>
      </c>
      <c r="C80" s="226">
        <v>419.5</v>
      </c>
      <c r="D80" s="311">
        <v>5</v>
      </c>
      <c r="E80" s="306">
        <f t="shared" si="3"/>
        <v>12.468040306813055</v>
      </c>
      <c r="F80" s="212" t="s">
        <v>1579</v>
      </c>
      <c r="G80" s="226">
        <v>1.74</v>
      </c>
      <c r="H80" s="226">
        <v>1.69</v>
      </c>
      <c r="I80" s="307">
        <v>1.75</v>
      </c>
      <c r="J80" s="307">
        <v>1.77</v>
      </c>
      <c r="K80" s="226">
        <v>1.66</v>
      </c>
      <c r="L80" s="226">
        <v>1.69</v>
      </c>
      <c r="M80" s="226">
        <v>1.75</v>
      </c>
      <c r="N80" s="307">
        <v>1.81</v>
      </c>
      <c r="O80" s="307">
        <v>1.81</v>
      </c>
      <c r="P80" s="307">
        <v>1.8</v>
      </c>
      <c r="Q80" s="307">
        <v>1.77</v>
      </c>
      <c r="R80" s="307">
        <v>1.61</v>
      </c>
    </row>
    <row r="81" spans="1:18" ht="13.9" thickBot="1">
      <c r="A81" s="321" t="s">
        <v>333</v>
      </c>
      <c r="B81" s="305">
        <f>'Plant loading'!G111</f>
        <v>0</v>
      </c>
      <c r="C81" s="226">
        <v>309.89999999999998</v>
      </c>
      <c r="D81" s="311">
        <v>10</v>
      </c>
      <c r="E81" s="306" t="e">
        <f t="shared" si="3"/>
        <v>#DIV/0!</v>
      </c>
      <c r="F81" s="212"/>
      <c r="G81" s="226">
        <v>1.8</v>
      </c>
      <c r="H81" s="226">
        <v>1.75</v>
      </c>
      <c r="I81" s="307">
        <v>1.77</v>
      </c>
      <c r="J81" s="307">
        <v>1.86</v>
      </c>
      <c r="K81" s="226">
        <v>1.75</v>
      </c>
      <c r="L81" s="307">
        <v>1.7</v>
      </c>
      <c r="M81" s="226">
        <v>1.76</v>
      </c>
      <c r="N81" s="307">
        <v>1.79</v>
      </c>
      <c r="O81" s="307">
        <v>1.8</v>
      </c>
      <c r="P81" s="307">
        <v>1.8</v>
      </c>
      <c r="Q81" s="307">
        <v>1.8</v>
      </c>
      <c r="R81" s="307">
        <v>1.71</v>
      </c>
    </row>
    <row r="82" spans="1:18">
      <c r="A82" s="788" t="s">
        <v>290</v>
      </c>
      <c r="B82" s="230">
        <f>'Plant loading'!G64</f>
        <v>389.18450000000001</v>
      </c>
      <c r="C82" s="226">
        <v>317.5</v>
      </c>
      <c r="D82" s="311">
        <v>15</v>
      </c>
      <c r="E82" s="306">
        <f t="shared" si="3"/>
        <v>0.77726630942393649</v>
      </c>
      <c r="F82" s="212" t="s">
        <v>1582</v>
      </c>
      <c r="G82" s="226">
        <v>2.04</v>
      </c>
      <c r="H82" s="226">
        <v>2.0499999999999998</v>
      </c>
      <c r="I82" s="307">
        <v>2.0099999999999998</v>
      </c>
      <c r="J82" s="307">
        <v>1.97</v>
      </c>
      <c r="K82" s="226">
        <v>1.99</v>
      </c>
      <c r="L82" s="226">
        <v>2.0499999999999998</v>
      </c>
      <c r="M82" s="226">
        <v>2.0299999999999998</v>
      </c>
      <c r="N82" s="307">
        <v>2</v>
      </c>
      <c r="O82" s="308">
        <v>2</v>
      </c>
      <c r="P82" s="307">
        <v>1.99</v>
      </c>
      <c r="Q82" s="307">
        <v>2.0099999999999998</v>
      </c>
      <c r="R82" s="307">
        <v>1.93</v>
      </c>
    </row>
    <row r="83" spans="1:18">
      <c r="A83" s="329" t="s">
        <v>293</v>
      </c>
      <c r="B83" s="230">
        <f>'Plant loading'!G69</f>
        <v>0</v>
      </c>
      <c r="C83" s="226">
        <v>224.5</v>
      </c>
      <c r="D83" s="226">
        <v>10</v>
      </c>
      <c r="E83" s="306" t="e">
        <f t="shared" si="3"/>
        <v>#DIV/0!</v>
      </c>
      <c r="F83" s="212" t="s">
        <v>1579</v>
      </c>
      <c r="G83" s="226">
        <v>1.84</v>
      </c>
      <c r="H83" s="226">
        <v>1.74</v>
      </c>
      <c r="I83" s="307">
        <v>1.83</v>
      </c>
      <c r="J83" s="307">
        <v>1.84</v>
      </c>
      <c r="K83" s="226">
        <v>1.95</v>
      </c>
      <c r="L83" s="226">
        <v>2.2200000000000002</v>
      </c>
      <c r="M83" s="226">
        <v>2.29</v>
      </c>
      <c r="N83" s="307">
        <v>2.29</v>
      </c>
      <c r="O83" s="308">
        <v>1.79</v>
      </c>
      <c r="P83" s="307">
        <v>1.76</v>
      </c>
      <c r="Q83" s="307">
        <v>1.88</v>
      </c>
      <c r="R83" s="307">
        <v>1.78</v>
      </c>
    </row>
    <row r="84" spans="1:18">
      <c r="A84" s="788" t="s">
        <v>312</v>
      </c>
      <c r="B84" s="230">
        <f>'Plant loading'!G88</f>
        <v>0</v>
      </c>
      <c r="C84" s="226">
        <v>399</v>
      </c>
      <c r="D84" s="226">
        <v>0</v>
      </c>
      <c r="E84" s="306" t="e">
        <f t="shared" si="3"/>
        <v>#DIV/0!</v>
      </c>
      <c r="F84" s="212"/>
      <c r="G84" s="226">
        <v>2.0699999999999998</v>
      </c>
      <c r="H84" s="226">
        <v>1.97</v>
      </c>
      <c r="I84" s="307">
        <v>1.93</v>
      </c>
      <c r="J84" s="307">
        <v>1.91</v>
      </c>
      <c r="K84" s="226">
        <v>1.93</v>
      </c>
      <c r="L84" s="226">
        <v>1.92</v>
      </c>
      <c r="M84" s="226">
        <v>1.92</v>
      </c>
      <c r="N84" s="307">
        <v>1.92</v>
      </c>
      <c r="O84" s="307">
        <v>1.93</v>
      </c>
      <c r="P84" s="307">
        <v>1.91</v>
      </c>
      <c r="Q84" s="307">
        <v>1.91</v>
      </c>
      <c r="R84" s="307">
        <v>1.9</v>
      </c>
    </row>
    <row r="85" spans="1:18">
      <c r="A85" s="788" t="s">
        <v>336</v>
      </c>
      <c r="B85" s="230">
        <f>'Plant loading'!G116</f>
        <v>39.567</v>
      </c>
      <c r="C85" s="226">
        <v>224.2</v>
      </c>
      <c r="D85" s="226">
        <v>5</v>
      </c>
      <c r="E85" s="306">
        <f t="shared" si="3"/>
        <v>5.5399701771678416</v>
      </c>
      <c r="F85" s="212" t="s">
        <v>1583</v>
      </c>
      <c r="G85" s="226">
        <v>1.62</v>
      </c>
      <c r="H85" s="226">
        <v>1.61</v>
      </c>
      <c r="I85" s="307">
        <v>1.58</v>
      </c>
      <c r="J85" s="307">
        <v>1.64</v>
      </c>
      <c r="K85" s="307">
        <v>1.7</v>
      </c>
      <c r="L85" s="226">
        <v>1.78</v>
      </c>
      <c r="M85" s="226">
        <v>1.76</v>
      </c>
      <c r="N85" s="307">
        <v>1.76</v>
      </c>
      <c r="O85" s="307">
        <v>1.79</v>
      </c>
      <c r="P85" s="307">
        <v>1.8</v>
      </c>
      <c r="Q85" s="307">
        <v>1.82</v>
      </c>
      <c r="R85" s="307">
        <v>1.82</v>
      </c>
    </row>
    <row r="86" spans="1:18">
      <c r="A86" s="328" t="s">
        <v>339</v>
      </c>
      <c r="B86" s="230">
        <f>'Plant loading'!G119</f>
        <v>0</v>
      </c>
      <c r="C86" s="226">
        <v>225.9</v>
      </c>
      <c r="D86" s="226">
        <v>5</v>
      </c>
      <c r="E86" s="306" t="e">
        <f t="shared" si="3"/>
        <v>#DIV/0!</v>
      </c>
      <c r="F86" s="212" t="s">
        <v>1583</v>
      </c>
      <c r="G86" s="226">
        <v>1.72</v>
      </c>
      <c r="H86" s="226">
        <v>1.69</v>
      </c>
      <c r="I86" s="307">
        <v>1.61</v>
      </c>
      <c r="J86" s="307">
        <v>1.61</v>
      </c>
      <c r="K86" s="226">
        <v>1.61</v>
      </c>
      <c r="L86" s="226">
        <v>1.59</v>
      </c>
      <c r="M86" s="226">
        <v>1.58</v>
      </c>
      <c r="N86" s="307">
        <v>1.58</v>
      </c>
      <c r="O86" s="307">
        <v>1.66</v>
      </c>
      <c r="P86" s="307">
        <v>1.6</v>
      </c>
      <c r="Q86" s="307">
        <v>1.6</v>
      </c>
      <c r="R86" s="307">
        <v>1.6</v>
      </c>
    </row>
    <row r="87" spans="1:18">
      <c r="B87" s="299"/>
      <c r="C87" s="299"/>
      <c r="D87" s="299"/>
      <c r="E87" s="299"/>
      <c r="F87" s="299"/>
      <c r="G87" s="299"/>
    </row>
    <row r="96" spans="1:18">
      <c r="A96" s="302" t="s">
        <v>512</v>
      </c>
      <c r="B96" s="302" t="s">
        <v>679</v>
      </c>
      <c r="C96" s="302" t="s">
        <v>1566</v>
      </c>
      <c r="D96" s="302" t="s">
        <v>1603</v>
      </c>
      <c r="E96" s="788" t="s">
        <v>1568</v>
      </c>
    </row>
    <row r="97" spans="1:5">
      <c r="A97" s="788" t="s">
        <v>348</v>
      </c>
      <c r="B97" s="230">
        <f>'Plant loading'!G94</f>
        <v>40.548000000000002</v>
      </c>
      <c r="C97" s="212">
        <v>94</v>
      </c>
      <c r="D97" s="226">
        <v>0</v>
      </c>
      <c r="E97" s="226">
        <f>(C97-D97)/B97</f>
        <v>2.3182401104863373</v>
      </c>
    </row>
    <row r="98" spans="1:5">
      <c r="A98" s="788" t="s">
        <v>353</v>
      </c>
      <c r="B98" s="230">
        <f>'Plant loading'!G103</f>
        <v>9.5374999999999996</v>
      </c>
      <c r="C98" s="212">
        <v>124</v>
      </c>
      <c r="D98" s="226">
        <v>0</v>
      </c>
      <c r="E98" s="226">
        <f t="shared" ref="E98:E108" si="4">(C98-D98)/B98</f>
        <v>13.001310615989516</v>
      </c>
    </row>
    <row r="99" spans="1:5">
      <c r="A99" s="788" t="s">
        <v>350</v>
      </c>
      <c r="B99" s="230">
        <f>'Plant loading'!G96</f>
        <v>39.185499999999998</v>
      </c>
      <c r="C99" s="212">
        <v>79</v>
      </c>
      <c r="D99" s="226">
        <v>0</v>
      </c>
      <c r="E99" s="226">
        <f t="shared" si="4"/>
        <v>2.0160518559160914</v>
      </c>
    </row>
    <row r="100" spans="1:5">
      <c r="A100" s="788" t="s">
        <v>355</v>
      </c>
      <c r="B100" s="230" t="e">
        <f>'Plant loading'!#REF!</f>
        <v>#REF!</v>
      </c>
      <c r="C100" s="212"/>
      <c r="D100" s="226">
        <v>0</v>
      </c>
      <c r="E100" s="226" t="e">
        <f t="shared" si="4"/>
        <v>#REF!</v>
      </c>
    </row>
    <row r="101" spans="1:5">
      <c r="A101" s="788" t="s">
        <v>357</v>
      </c>
      <c r="B101" s="230">
        <f>'Plant loading'!G103</f>
        <v>9.5374999999999996</v>
      </c>
      <c r="C101" s="212">
        <v>32</v>
      </c>
      <c r="D101" s="226">
        <v>0</v>
      </c>
      <c r="E101" s="226">
        <f t="shared" si="4"/>
        <v>3.3551769331585848</v>
      </c>
    </row>
    <row r="102" spans="1:5">
      <c r="A102" s="788" t="s">
        <v>1470</v>
      </c>
      <c r="B102" s="230" t="e">
        <f>'Plant loading'!#REF!</f>
        <v>#REF!</v>
      </c>
      <c r="C102" s="212"/>
      <c r="D102" s="226">
        <v>0</v>
      </c>
      <c r="E102" s="226" t="e">
        <f t="shared" si="4"/>
        <v>#REF!</v>
      </c>
    </row>
    <row r="103" spans="1:5">
      <c r="A103" s="315" t="s">
        <v>359</v>
      </c>
      <c r="B103" s="230" t="e">
        <f>'Plant loading'!#REF!</f>
        <v>#REF!</v>
      </c>
      <c r="C103" s="212"/>
      <c r="D103" s="226">
        <v>0</v>
      </c>
      <c r="E103" s="226" t="e">
        <f t="shared" si="4"/>
        <v>#REF!</v>
      </c>
    </row>
    <row r="104" spans="1:5">
      <c r="A104" s="788" t="s">
        <v>361</v>
      </c>
      <c r="B104" s="230" t="e">
        <f>'Plant loading'!#REF!</f>
        <v>#REF!</v>
      </c>
      <c r="C104" s="212">
        <v>149</v>
      </c>
      <c r="D104" s="226">
        <v>0</v>
      </c>
      <c r="E104" s="226" t="e">
        <f t="shared" si="4"/>
        <v>#REF!</v>
      </c>
    </row>
    <row r="105" spans="1:5">
      <c r="A105" s="788" t="s">
        <v>363</v>
      </c>
      <c r="B105" s="230" t="e">
        <f>'Plant loading'!#REF!</f>
        <v>#REF!</v>
      </c>
      <c r="C105" s="212"/>
      <c r="D105" s="226">
        <v>0</v>
      </c>
      <c r="E105" s="226" t="e">
        <f t="shared" si="4"/>
        <v>#REF!</v>
      </c>
    </row>
    <row r="106" spans="1:5">
      <c r="A106" s="788" t="s">
        <v>367</v>
      </c>
      <c r="B106" s="230" t="e">
        <f>'Plant loading'!#REF!</f>
        <v>#REF!</v>
      </c>
      <c r="C106" s="212">
        <v>78</v>
      </c>
      <c r="D106" s="226">
        <v>0</v>
      </c>
      <c r="E106" s="226" t="e">
        <f t="shared" si="4"/>
        <v>#REF!</v>
      </c>
    </row>
    <row r="107" spans="1:5">
      <c r="A107" s="788" t="s">
        <v>369</v>
      </c>
      <c r="B107" s="230" t="e">
        <f>'Plant loading'!#REF!</f>
        <v>#REF!</v>
      </c>
      <c r="C107" s="212">
        <v>174</v>
      </c>
      <c r="D107" s="226">
        <v>0</v>
      </c>
      <c r="E107" s="226" t="e">
        <f t="shared" si="4"/>
        <v>#REF!</v>
      </c>
    </row>
    <row r="108" spans="1:5">
      <c r="A108" s="788" t="s">
        <v>371</v>
      </c>
      <c r="B108" s="230">
        <f>'Plant loading'!G116</f>
        <v>39.567</v>
      </c>
      <c r="C108" s="212"/>
      <c r="D108" s="226">
        <v>0</v>
      </c>
      <c r="E108" s="226">
        <f t="shared" si="4"/>
        <v>0</v>
      </c>
    </row>
  </sheetData>
  <mergeCells count="5">
    <mergeCell ref="G1:K1"/>
    <mergeCell ref="G39:R39"/>
    <mergeCell ref="G55:R55"/>
    <mergeCell ref="G71:R71"/>
    <mergeCell ref="K24:V32"/>
  </mergeCells>
  <phoneticPr fontId="0" type="noConversion"/>
  <pageMargins left="0.7" right="0.7" top="0.75" bottom="0.75" header="0.3" footer="0.3"/>
  <pageSetup paperSize="9" orientation="portrait" r:id="rId1"/>
  <headerFooter>
    <oddFooter>&amp;L&amp;1#&amp;"Calibri"&amp;7&amp;K000000C2 General</oddFooter>
  </headerFooter>
  <ignoredErrors>
    <ignoredError sqref="I9:J9 I11 I15 H4" numberStoredAsText="1"/>
  </ignoredErrors>
  <legacy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BB45-F333-46EA-AC88-CB6416A95FC0}">
  <sheetPr codeName="Sheet29"/>
  <dimension ref="A1:D11"/>
  <sheetViews>
    <sheetView workbookViewId="0">
      <selection activeCell="D11" sqref="D11"/>
    </sheetView>
  </sheetViews>
  <sheetFormatPr defaultRowHeight="10.15"/>
  <cols>
    <col min="1" max="1" width="10.5" style="22" bestFit="1" customWidth="1"/>
    <col min="2" max="2" width="13.6640625" style="22" bestFit="1" customWidth="1"/>
    <col min="3" max="3" width="23.33203125" style="22" customWidth="1"/>
    <col min="4" max="4" width="208.6640625" bestFit="1" customWidth="1"/>
  </cols>
  <sheetData>
    <row r="1" spans="1:4">
      <c r="A1" s="913" t="s">
        <v>1604</v>
      </c>
      <c r="B1" s="913" t="s">
        <v>1605</v>
      </c>
      <c r="C1" s="913" t="s">
        <v>1606</v>
      </c>
      <c r="D1" s="914" t="s">
        <v>786</v>
      </c>
    </row>
    <row r="2" spans="1:4">
      <c r="A2" s="912">
        <v>44754</v>
      </c>
      <c r="B2" s="910" t="s">
        <v>1607</v>
      </c>
      <c r="C2" s="910">
        <v>22010</v>
      </c>
      <c r="D2" s="911" t="s">
        <v>1608</v>
      </c>
    </row>
    <row r="3" spans="1:4">
      <c r="A3" s="912">
        <v>44782</v>
      </c>
      <c r="B3" s="910" t="s">
        <v>1609</v>
      </c>
      <c r="C3" s="910">
        <v>22013</v>
      </c>
      <c r="D3" s="911" t="s">
        <v>1610</v>
      </c>
    </row>
    <row r="4" spans="1:4">
      <c r="A4" s="912">
        <v>44897</v>
      </c>
      <c r="B4" s="910" t="s">
        <v>1611</v>
      </c>
      <c r="C4" s="910">
        <v>22027</v>
      </c>
      <c r="D4" s="911" t="s">
        <v>1612</v>
      </c>
    </row>
    <row r="5" spans="1:4">
      <c r="A5" s="912">
        <v>44901</v>
      </c>
      <c r="B5" s="910" t="s">
        <v>305</v>
      </c>
      <c r="C5" s="910">
        <v>22028</v>
      </c>
      <c r="D5" s="911" t="s">
        <v>1613</v>
      </c>
    </row>
    <row r="6" spans="1:4">
      <c r="A6" s="912">
        <v>44910</v>
      </c>
      <c r="B6" s="910" t="s">
        <v>320</v>
      </c>
      <c r="C6" s="910" t="s">
        <v>1614</v>
      </c>
      <c r="D6" s="911" t="s">
        <v>1615</v>
      </c>
    </row>
    <row r="7" spans="1:4">
      <c r="A7" s="912">
        <v>44910</v>
      </c>
      <c r="B7" s="910" t="s">
        <v>280</v>
      </c>
      <c r="C7" s="910">
        <v>22007</v>
      </c>
      <c r="D7" s="911" t="s">
        <v>1616</v>
      </c>
    </row>
    <row r="8" spans="1:4">
      <c r="A8" s="912">
        <v>45181</v>
      </c>
      <c r="B8" s="910" t="s">
        <v>305</v>
      </c>
      <c r="C8" s="910">
        <v>23024</v>
      </c>
      <c r="D8" s="911" t="s">
        <v>1617</v>
      </c>
    </row>
    <row r="9" spans="1:4">
      <c r="A9" s="912">
        <v>45197</v>
      </c>
      <c r="B9" s="910" t="s">
        <v>1618</v>
      </c>
      <c r="C9" s="910">
        <v>23018</v>
      </c>
      <c r="D9" s="911" t="s">
        <v>1619</v>
      </c>
    </row>
    <row r="10" spans="1:4">
      <c r="A10" s="912">
        <v>45209</v>
      </c>
      <c r="B10" s="910" t="s">
        <v>1620</v>
      </c>
      <c r="C10" s="910">
        <v>23026</v>
      </c>
      <c r="D10" s="911" t="s">
        <v>1621</v>
      </c>
    </row>
    <row r="11" spans="1:4">
      <c r="A11" s="912">
        <v>45211</v>
      </c>
      <c r="B11" s="910" t="s">
        <v>290</v>
      </c>
      <c r="C11" s="910" t="s">
        <v>1622</v>
      </c>
      <c r="D11" s="911" t="s">
        <v>1623</v>
      </c>
    </row>
  </sheetData>
  <pageMargins left="0.7" right="0.7" top="0.75" bottom="0.75" header="0.3" footer="0.3"/>
  <pageSetup paperSize="9" orientation="portrait" r:id="rId1"/>
  <headerFooter>
    <oddFooter>&amp;L&amp;1#&amp;"Calibri"&amp;7&amp;K000000C2 General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B41F-F9B2-49D1-985C-3DC687C61E01}">
  <sheetPr codeName="Sheet30"/>
  <dimension ref="A1:C845"/>
  <sheetViews>
    <sheetView workbookViewId="0">
      <selection activeCell="D9" sqref="D9"/>
    </sheetView>
  </sheetViews>
  <sheetFormatPr defaultRowHeight="10.15"/>
  <cols>
    <col min="1" max="1" width="16.83203125" customWidth="1"/>
    <col min="2" max="2" width="19.33203125" customWidth="1"/>
    <col min="3" max="3" width="17" customWidth="1"/>
  </cols>
  <sheetData>
    <row r="1" spans="1:3">
      <c r="A1" s="338" t="s">
        <v>1624</v>
      </c>
      <c r="B1" s="338" t="s">
        <v>1625</v>
      </c>
      <c r="C1" t="s">
        <v>1626</v>
      </c>
    </row>
    <row r="2" spans="1:3">
      <c r="A2" t="s">
        <v>275</v>
      </c>
      <c r="B2" t="s">
        <v>1627</v>
      </c>
    </row>
    <row r="3" spans="1:3">
      <c r="A3" t="s">
        <v>275</v>
      </c>
      <c r="B3" t="s">
        <v>1628</v>
      </c>
    </row>
    <row r="4" spans="1:3">
      <c r="A4" t="s">
        <v>275</v>
      </c>
      <c r="B4" t="s">
        <v>1629</v>
      </c>
    </row>
    <row r="5" spans="1:3">
      <c r="A5" t="s">
        <v>275</v>
      </c>
      <c r="B5" t="s">
        <v>1630</v>
      </c>
    </row>
    <row r="6" spans="1:3">
      <c r="A6" t="s">
        <v>275</v>
      </c>
      <c r="B6" t="s">
        <v>1631</v>
      </c>
    </row>
    <row r="7" spans="1:3">
      <c r="A7" t="s">
        <v>275</v>
      </c>
      <c r="B7" t="s">
        <v>1632</v>
      </c>
    </row>
    <row r="8" spans="1:3">
      <c r="A8" t="s">
        <v>275</v>
      </c>
      <c r="B8" t="s">
        <v>1633</v>
      </c>
    </row>
    <row r="9" spans="1:3">
      <c r="A9" t="s">
        <v>275</v>
      </c>
      <c r="B9" t="s">
        <v>1634</v>
      </c>
    </row>
    <row r="10" spans="1:3">
      <c r="A10" t="s">
        <v>275</v>
      </c>
      <c r="B10" t="s">
        <v>1635</v>
      </c>
    </row>
    <row r="11" spans="1:3">
      <c r="A11" t="s">
        <v>275</v>
      </c>
      <c r="B11" t="s">
        <v>1636</v>
      </c>
    </row>
    <row r="12" spans="1:3">
      <c r="A12" t="s">
        <v>275</v>
      </c>
      <c r="B12" t="s">
        <v>1637</v>
      </c>
    </row>
    <row r="13" spans="1:3">
      <c r="A13" t="s">
        <v>275</v>
      </c>
      <c r="B13" t="s">
        <v>1638</v>
      </c>
    </row>
    <row r="14" spans="1:3">
      <c r="A14" t="s">
        <v>275</v>
      </c>
      <c r="B14" t="s">
        <v>1639</v>
      </c>
    </row>
    <row r="15" spans="1:3">
      <c r="A15" t="s">
        <v>275</v>
      </c>
      <c r="B15" t="s">
        <v>1640</v>
      </c>
    </row>
    <row r="16" spans="1:3">
      <c r="A16" t="s">
        <v>275</v>
      </c>
      <c r="B16" t="s">
        <v>1641</v>
      </c>
    </row>
    <row r="17" spans="1:2">
      <c r="A17" t="s">
        <v>275</v>
      </c>
      <c r="B17" t="s">
        <v>1642</v>
      </c>
    </row>
    <row r="18" spans="1:2">
      <c r="A18" t="s">
        <v>275</v>
      </c>
      <c r="B18" t="s">
        <v>1643</v>
      </c>
    </row>
    <row r="19" spans="1:2">
      <c r="A19" t="s">
        <v>275</v>
      </c>
      <c r="B19" t="s">
        <v>1644</v>
      </c>
    </row>
    <row r="20" spans="1:2">
      <c r="A20" t="s">
        <v>275</v>
      </c>
      <c r="B20" t="s">
        <v>1645</v>
      </c>
    </row>
    <row r="21" spans="1:2">
      <c r="A21" t="s">
        <v>279</v>
      </c>
      <c r="B21" t="s">
        <v>1627</v>
      </c>
    </row>
    <row r="22" spans="1:2">
      <c r="A22" t="s">
        <v>279</v>
      </c>
      <c r="B22" t="s">
        <v>1628</v>
      </c>
    </row>
    <row r="23" spans="1:2">
      <c r="A23" t="s">
        <v>279</v>
      </c>
      <c r="B23" t="s">
        <v>1629</v>
      </c>
    </row>
    <row r="24" spans="1:2">
      <c r="A24" t="s">
        <v>279</v>
      </c>
      <c r="B24" t="s">
        <v>1630</v>
      </c>
    </row>
    <row r="25" spans="1:2">
      <c r="A25" t="s">
        <v>279</v>
      </c>
      <c r="B25" t="s">
        <v>1631</v>
      </c>
    </row>
    <row r="26" spans="1:2">
      <c r="A26" t="s">
        <v>279</v>
      </c>
      <c r="B26" t="s">
        <v>1646</v>
      </c>
    </row>
    <row r="27" spans="1:2">
      <c r="A27" t="s">
        <v>279</v>
      </c>
      <c r="B27" t="s">
        <v>1647</v>
      </c>
    </row>
    <row r="28" spans="1:2">
      <c r="A28" t="s">
        <v>279</v>
      </c>
      <c r="B28" t="s">
        <v>1648</v>
      </c>
    </row>
    <row r="29" spans="1:2">
      <c r="A29" t="s">
        <v>279</v>
      </c>
      <c r="B29" t="s">
        <v>1649</v>
      </c>
    </row>
    <row r="30" spans="1:2">
      <c r="A30" t="s">
        <v>279</v>
      </c>
      <c r="B30" t="s">
        <v>1650</v>
      </c>
    </row>
    <row r="31" spans="1:2">
      <c r="A31" t="s">
        <v>279</v>
      </c>
      <c r="B31" t="s">
        <v>1637</v>
      </c>
    </row>
    <row r="32" spans="1:2">
      <c r="A32" t="s">
        <v>279</v>
      </c>
      <c r="B32" t="s">
        <v>1638</v>
      </c>
    </row>
    <row r="33" spans="1:3">
      <c r="A33" t="s">
        <v>279</v>
      </c>
      <c r="B33" t="s">
        <v>1639</v>
      </c>
    </row>
    <row r="34" spans="1:3">
      <c r="A34" t="s">
        <v>279</v>
      </c>
      <c r="B34" t="s">
        <v>1640</v>
      </c>
    </row>
    <row r="35" spans="1:3">
      <c r="A35" t="s">
        <v>279</v>
      </c>
      <c r="B35" t="s">
        <v>1641</v>
      </c>
    </row>
    <row r="36" spans="1:3">
      <c r="A36" t="s">
        <v>279</v>
      </c>
      <c r="B36" t="s">
        <v>1642</v>
      </c>
    </row>
    <row r="37" spans="1:3">
      <c r="A37" t="s">
        <v>279</v>
      </c>
      <c r="B37" t="s">
        <v>1643</v>
      </c>
    </row>
    <row r="38" spans="1:3">
      <c r="A38" t="s">
        <v>279</v>
      </c>
      <c r="B38" t="s">
        <v>1644</v>
      </c>
    </row>
    <row r="39" spans="1:3">
      <c r="A39" t="s">
        <v>279</v>
      </c>
      <c r="B39" t="s">
        <v>1645</v>
      </c>
    </row>
    <row r="40" spans="1:3">
      <c r="A40" t="s">
        <v>281</v>
      </c>
      <c r="B40" t="s">
        <v>1627</v>
      </c>
    </row>
    <row r="41" spans="1:3">
      <c r="A41" t="s">
        <v>281</v>
      </c>
      <c r="B41" t="s">
        <v>1628</v>
      </c>
    </row>
    <row r="42" spans="1:3">
      <c r="A42" t="s">
        <v>281</v>
      </c>
      <c r="B42" t="s">
        <v>1629</v>
      </c>
    </row>
    <row r="43" spans="1:3">
      <c r="A43" t="s">
        <v>281</v>
      </c>
      <c r="B43" t="s">
        <v>1630</v>
      </c>
    </row>
    <row r="44" spans="1:3">
      <c r="A44" t="s">
        <v>281</v>
      </c>
      <c r="B44" t="s">
        <v>1631</v>
      </c>
    </row>
    <row r="45" spans="1:3">
      <c r="A45" t="s">
        <v>281</v>
      </c>
      <c r="B45" t="s">
        <v>1646</v>
      </c>
    </row>
    <row r="46" spans="1:3">
      <c r="A46" t="s">
        <v>281</v>
      </c>
      <c r="B46" t="s">
        <v>1647</v>
      </c>
    </row>
    <row r="47" spans="1:3">
      <c r="A47" t="s">
        <v>281</v>
      </c>
      <c r="B47" t="s">
        <v>1648</v>
      </c>
    </row>
    <row r="48" spans="1:3">
      <c r="A48" t="s">
        <v>281</v>
      </c>
      <c r="B48" t="s">
        <v>1649</v>
      </c>
      <c r="C48" t="s">
        <v>1651</v>
      </c>
    </row>
    <row r="49" spans="1:3">
      <c r="A49" t="s">
        <v>281</v>
      </c>
      <c r="B49" t="s">
        <v>1632</v>
      </c>
      <c r="C49" t="s">
        <v>1651</v>
      </c>
    </row>
    <row r="50" spans="1:3">
      <c r="A50" t="s">
        <v>281</v>
      </c>
      <c r="B50" t="s">
        <v>1633</v>
      </c>
    </row>
    <row r="51" spans="1:3">
      <c r="A51" t="s">
        <v>281</v>
      </c>
      <c r="B51" t="s">
        <v>1634</v>
      </c>
    </row>
    <row r="52" spans="1:3">
      <c r="A52" t="s">
        <v>281</v>
      </c>
      <c r="B52" t="s">
        <v>1635</v>
      </c>
    </row>
    <row r="53" spans="1:3">
      <c r="A53" t="s">
        <v>281</v>
      </c>
      <c r="B53" t="s">
        <v>1636</v>
      </c>
    </row>
    <row r="54" spans="1:3">
      <c r="A54" t="s">
        <v>281</v>
      </c>
      <c r="B54" t="s">
        <v>1652</v>
      </c>
    </row>
    <row r="55" spans="1:3">
      <c r="A55" t="s">
        <v>281</v>
      </c>
      <c r="B55" t="s">
        <v>1653</v>
      </c>
    </row>
    <row r="56" spans="1:3">
      <c r="A56" t="s">
        <v>281</v>
      </c>
      <c r="B56" t="s">
        <v>1650</v>
      </c>
    </row>
    <row r="57" spans="1:3">
      <c r="A57" t="s">
        <v>281</v>
      </c>
      <c r="B57" t="s">
        <v>1637</v>
      </c>
    </row>
    <row r="58" spans="1:3">
      <c r="A58" t="s">
        <v>281</v>
      </c>
      <c r="B58" t="s">
        <v>1638</v>
      </c>
      <c r="C58" t="s">
        <v>1651</v>
      </c>
    </row>
    <row r="59" spans="1:3">
      <c r="A59" t="s">
        <v>281</v>
      </c>
      <c r="B59" t="s">
        <v>1639</v>
      </c>
      <c r="C59" t="s">
        <v>1651</v>
      </c>
    </row>
    <row r="60" spans="1:3">
      <c r="A60" t="s">
        <v>281</v>
      </c>
      <c r="B60" t="s">
        <v>1640</v>
      </c>
    </row>
    <row r="61" spans="1:3">
      <c r="A61" t="s">
        <v>281</v>
      </c>
      <c r="B61" t="s">
        <v>1641</v>
      </c>
    </row>
    <row r="62" spans="1:3">
      <c r="A62" t="s">
        <v>281</v>
      </c>
      <c r="B62" t="s">
        <v>1642</v>
      </c>
    </row>
    <row r="63" spans="1:3">
      <c r="A63" t="s">
        <v>281</v>
      </c>
      <c r="B63" t="s">
        <v>1643</v>
      </c>
    </row>
    <row r="64" spans="1:3">
      <c r="A64" t="s">
        <v>281</v>
      </c>
      <c r="B64" t="s">
        <v>1644</v>
      </c>
    </row>
    <row r="65" spans="1:2">
      <c r="A65" t="s">
        <v>281</v>
      </c>
      <c r="B65" t="s">
        <v>1645</v>
      </c>
    </row>
    <row r="66" spans="1:2">
      <c r="A66" t="s">
        <v>281</v>
      </c>
      <c r="B66" t="s">
        <v>1654</v>
      </c>
    </row>
    <row r="67" spans="1:2">
      <c r="A67" t="s">
        <v>281</v>
      </c>
      <c r="B67" t="s">
        <v>1655</v>
      </c>
    </row>
    <row r="68" spans="1:2">
      <c r="A68" t="s">
        <v>281</v>
      </c>
      <c r="B68" t="s">
        <v>1656</v>
      </c>
    </row>
    <row r="69" spans="1:2">
      <c r="A69" t="s">
        <v>281</v>
      </c>
      <c r="B69" t="s">
        <v>1657</v>
      </c>
    </row>
    <row r="70" spans="1:2">
      <c r="A70" t="s">
        <v>282</v>
      </c>
      <c r="B70" t="s">
        <v>1627</v>
      </c>
    </row>
    <row r="71" spans="1:2">
      <c r="A71" t="s">
        <v>282</v>
      </c>
      <c r="B71" t="s">
        <v>1628</v>
      </c>
    </row>
    <row r="72" spans="1:2">
      <c r="A72" t="s">
        <v>282</v>
      </c>
      <c r="B72" t="s">
        <v>1629</v>
      </c>
    </row>
    <row r="73" spans="1:2">
      <c r="A73" t="s">
        <v>282</v>
      </c>
      <c r="B73" t="s">
        <v>1630</v>
      </c>
    </row>
    <row r="74" spans="1:2">
      <c r="A74" t="s">
        <v>282</v>
      </c>
      <c r="B74" t="s">
        <v>1631</v>
      </c>
    </row>
    <row r="75" spans="1:2">
      <c r="A75" t="s">
        <v>282</v>
      </c>
      <c r="B75" t="s">
        <v>1646</v>
      </c>
    </row>
    <row r="76" spans="1:2">
      <c r="A76" t="s">
        <v>282</v>
      </c>
      <c r="B76" t="s">
        <v>1647</v>
      </c>
    </row>
    <row r="77" spans="1:2">
      <c r="A77" t="s">
        <v>282</v>
      </c>
      <c r="B77" t="s">
        <v>1648</v>
      </c>
    </row>
    <row r="78" spans="1:2">
      <c r="A78" t="s">
        <v>282</v>
      </c>
      <c r="B78" t="s">
        <v>1649</v>
      </c>
    </row>
    <row r="79" spans="1:2">
      <c r="A79" t="s">
        <v>282</v>
      </c>
      <c r="B79" t="s">
        <v>1632</v>
      </c>
    </row>
    <row r="80" spans="1:2">
      <c r="A80" t="s">
        <v>282</v>
      </c>
      <c r="B80" t="s">
        <v>1633</v>
      </c>
    </row>
    <row r="81" spans="1:3">
      <c r="A81" t="s">
        <v>282</v>
      </c>
      <c r="B81" t="s">
        <v>1634</v>
      </c>
    </row>
    <row r="82" spans="1:3">
      <c r="A82" t="s">
        <v>282</v>
      </c>
      <c r="B82" t="s">
        <v>1635</v>
      </c>
    </row>
    <row r="83" spans="1:3">
      <c r="A83" t="s">
        <v>282</v>
      </c>
      <c r="B83" t="s">
        <v>1636</v>
      </c>
    </row>
    <row r="84" spans="1:3">
      <c r="A84" t="s">
        <v>282</v>
      </c>
      <c r="B84" t="s">
        <v>1652</v>
      </c>
    </row>
    <row r="85" spans="1:3">
      <c r="A85" t="s">
        <v>282</v>
      </c>
      <c r="B85" t="s">
        <v>1653</v>
      </c>
    </row>
    <row r="86" spans="1:3">
      <c r="A86" t="s">
        <v>282</v>
      </c>
      <c r="B86" t="s">
        <v>1650</v>
      </c>
    </row>
    <row r="87" spans="1:3">
      <c r="A87" t="s">
        <v>282</v>
      </c>
      <c r="B87" t="s">
        <v>1637</v>
      </c>
    </row>
    <row r="88" spans="1:3">
      <c r="A88" t="s">
        <v>282</v>
      </c>
      <c r="B88" t="s">
        <v>1638</v>
      </c>
    </row>
    <row r="89" spans="1:3">
      <c r="A89" t="s">
        <v>282</v>
      </c>
      <c r="B89" t="s">
        <v>1639</v>
      </c>
    </row>
    <row r="90" spans="1:3">
      <c r="A90" t="s">
        <v>282</v>
      </c>
      <c r="B90" t="s">
        <v>1640</v>
      </c>
    </row>
    <row r="91" spans="1:3">
      <c r="A91" t="s">
        <v>282</v>
      </c>
      <c r="B91" t="s">
        <v>1641</v>
      </c>
    </row>
    <row r="92" spans="1:3">
      <c r="A92" t="s">
        <v>282</v>
      </c>
      <c r="B92" t="s">
        <v>1642</v>
      </c>
    </row>
    <row r="93" spans="1:3">
      <c r="A93" t="s">
        <v>282</v>
      </c>
      <c r="B93" t="s">
        <v>1643</v>
      </c>
    </row>
    <row r="94" spans="1:3">
      <c r="A94" t="s">
        <v>282</v>
      </c>
      <c r="B94" t="s">
        <v>1644</v>
      </c>
    </row>
    <row r="95" spans="1:3">
      <c r="A95" t="s">
        <v>282</v>
      </c>
      <c r="B95" t="s">
        <v>1645</v>
      </c>
    </row>
    <row r="96" spans="1:3">
      <c r="A96" t="s">
        <v>282</v>
      </c>
      <c r="B96" t="s">
        <v>1654</v>
      </c>
      <c r="C96" t="s">
        <v>1651</v>
      </c>
    </row>
    <row r="97" spans="1:3">
      <c r="A97" t="s">
        <v>282</v>
      </c>
      <c r="B97" t="s">
        <v>1655</v>
      </c>
      <c r="C97" t="s">
        <v>1651</v>
      </c>
    </row>
    <row r="98" spans="1:3">
      <c r="A98" t="s">
        <v>282</v>
      </c>
      <c r="B98" t="s">
        <v>1656</v>
      </c>
      <c r="C98" t="s">
        <v>1651</v>
      </c>
    </row>
    <row r="99" spans="1:3">
      <c r="A99" t="s">
        <v>282</v>
      </c>
      <c r="B99" t="s">
        <v>1657</v>
      </c>
      <c r="C99" t="s">
        <v>1651</v>
      </c>
    </row>
    <row r="100" spans="1:3">
      <c r="A100" t="s">
        <v>283</v>
      </c>
      <c r="B100" t="s">
        <v>1627</v>
      </c>
    </row>
    <row r="101" spans="1:3">
      <c r="A101" t="s">
        <v>283</v>
      </c>
      <c r="B101" t="s">
        <v>1628</v>
      </c>
    </row>
    <row r="102" spans="1:3">
      <c r="A102" t="s">
        <v>283</v>
      </c>
      <c r="B102" t="s">
        <v>1629</v>
      </c>
    </row>
    <row r="103" spans="1:3">
      <c r="A103" t="s">
        <v>283</v>
      </c>
      <c r="B103" t="s">
        <v>1630</v>
      </c>
    </row>
    <row r="104" spans="1:3">
      <c r="A104" t="s">
        <v>283</v>
      </c>
      <c r="B104" t="s">
        <v>1631</v>
      </c>
    </row>
    <row r="105" spans="1:3">
      <c r="A105" t="s">
        <v>283</v>
      </c>
      <c r="B105" t="s">
        <v>1646</v>
      </c>
    </row>
    <row r="106" spans="1:3">
      <c r="A106" t="s">
        <v>283</v>
      </c>
      <c r="B106" t="s">
        <v>1647</v>
      </c>
    </row>
    <row r="107" spans="1:3">
      <c r="A107" t="s">
        <v>283</v>
      </c>
      <c r="B107" t="s">
        <v>1648</v>
      </c>
    </row>
    <row r="108" spans="1:3">
      <c r="A108" t="s">
        <v>283</v>
      </c>
      <c r="B108" t="s">
        <v>1649</v>
      </c>
      <c r="C108" t="s">
        <v>1658</v>
      </c>
    </row>
    <row r="109" spans="1:3">
      <c r="A109" t="s">
        <v>283</v>
      </c>
      <c r="B109" t="s">
        <v>1632</v>
      </c>
      <c r="C109" t="s">
        <v>1658</v>
      </c>
    </row>
    <row r="110" spans="1:3">
      <c r="A110" t="s">
        <v>283</v>
      </c>
      <c r="B110" t="s">
        <v>1633</v>
      </c>
    </row>
    <row r="111" spans="1:3">
      <c r="A111" t="s">
        <v>283</v>
      </c>
      <c r="B111" t="s">
        <v>1634</v>
      </c>
    </row>
    <row r="112" spans="1:3">
      <c r="A112" t="s">
        <v>283</v>
      </c>
      <c r="B112" t="s">
        <v>1635</v>
      </c>
    </row>
    <row r="113" spans="1:3">
      <c r="A113" t="s">
        <v>283</v>
      </c>
      <c r="B113" t="s">
        <v>1636</v>
      </c>
    </row>
    <row r="114" spans="1:3">
      <c r="A114" t="s">
        <v>283</v>
      </c>
      <c r="B114" t="s">
        <v>1652</v>
      </c>
    </row>
    <row r="115" spans="1:3">
      <c r="A115" t="s">
        <v>283</v>
      </c>
      <c r="B115" t="s">
        <v>1653</v>
      </c>
    </row>
    <row r="116" spans="1:3">
      <c r="A116" t="s">
        <v>283</v>
      </c>
      <c r="B116" t="s">
        <v>1650</v>
      </c>
    </row>
    <row r="117" spans="1:3">
      <c r="A117" t="s">
        <v>283</v>
      </c>
      <c r="B117" t="s">
        <v>1637</v>
      </c>
    </row>
    <row r="118" spans="1:3">
      <c r="A118" t="s">
        <v>283</v>
      </c>
      <c r="B118" t="s">
        <v>1638</v>
      </c>
    </row>
    <row r="119" spans="1:3">
      <c r="A119" t="s">
        <v>283</v>
      </c>
      <c r="B119" t="s">
        <v>1639</v>
      </c>
    </row>
    <row r="120" spans="1:3">
      <c r="A120" t="s">
        <v>283</v>
      </c>
      <c r="B120" t="s">
        <v>1640</v>
      </c>
    </row>
    <row r="121" spans="1:3">
      <c r="A121" t="s">
        <v>283</v>
      </c>
      <c r="B121" t="s">
        <v>1641</v>
      </c>
    </row>
    <row r="122" spans="1:3">
      <c r="A122" t="s">
        <v>283</v>
      </c>
      <c r="B122" t="s">
        <v>1642</v>
      </c>
    </row>
    <row r="123" spans="1:3">
      <c r="A123" t="s">
        <v>283</v>
      </c>
      <c r="B123" t="s">
        <v>1643</v>
      </c>
    </row>
    <row r="124" spans="1:3">
      <c r="A124" t="s">
        <v>283</v>
      </c>
      <c r="B124" t="s">
        <v>1644</v>
      </c>
    </row>
    <row r="125" spans="1:3">
      <c r="A125" t="s">
        <v>283</v>
      </c>
      <c r="B125" t="s">
        <v>1645</v>
      </c>
    </row>
    <row r="126" spans="1:3">
      <c r="A126" t="s">
        <v>283</v>
      </c>
      <c r="B126" t="s">
        <v>1654</v>
      </c>
    </row>
    <row r="127" spans="1:3">
      <c r="A127" t="s">
        <v>283</v>
      </c>
      <c r="B127" t="s">
        <v>1655</v>
      </c>
    </row>
    <row r="128" spans="1:3">
      <c r="A128" t="s">
        <v>283</v>
      </c>
      <c r="B128" t="s">
        <v>1656</v>
      </c>
      <c r="C128" t="s">
        <v>1658</v>
      </c>
    </row>
    <row r="129" spans="1:3">
      <c r="A129" t="s">
        <v>283</v>
      </c>
      <c r="B129" t="s">
        <v>1657</v>
      </c>
      <c r="C129" t="s">
        <v>1658</v>
      </c>
    </row>
    <row r="130" spans="1:3">
      <c r="A130" t="s">
        <v>284</v>
      </c>
      <c r="B130" t="s">
        <v>1627</v>
      </c>
    </row>
    <row r="131" spans="1:3">
      <c r="A131" t="s">
        <v>284</v>
      </c>
      <c r="B131" t="s">
        <v>1628</v>
      </c>
    </row>
    <row r="132" spans="1:3">
      <c r="A132" t="s">
        <v>284</v>
      </c>
      <c r="B132" t="s">
        <v>1629</v>
      </c>
    </row>
    <row r="133" spans="1:3">
      <c r="A133" t="s">
        <v>284</v>
      </c>
      <c r="B133" t="s">
        <v>1630</v>
      </c>
    </row>
    <row r="134" spans="1:3">
      <c r="A134" t="s">
        <v>284</v>
      </c>
      <c r="B134" t="s">
        <v>1631</v>
      </c>
    </row>
    <row r="135" spans="1:3">
      <c r="A135" t="s">
        <v>284</v>
      </c>
      <c r="B135" t="s">
        <v>1646</v>
      </c>
    </row>
    <row r="136" spans="1:3">
      <c r="A136" t="s">
        <v>284</v>
      </c>
      <c r="B136" t="s">
        <v>1647</v>
      </c>
    </row>
    <row r="137" spans="1:3">
      <c r="A137" t="s">
        <v>284</v>
      </c>
      <c r="B137" t="s">
        <v>1648</v>
      </c>
    </row>
    <row r="138" spans="1:3">
      <c r="A138" t="s">
        <v>284</v>
      </c>
      <c r="B138" t="s">
        <v>1649</v>
      </c>
    </row>
    <row r="139" spans="1:3">
      <c r="A139" t="s">
        <v>284</v>
      </c>
      <c r="B139" t="s">
        <v>1632</v>
      </c>
    </row>
    <row r="140" spans="1:3">
      <c r="A140" t="s">
        <v>284</v>
      </c>
      <c r="B140" t="s">
        <v>1633</v>
      </c>
    </row>
    <row r="141" spans="1:3">
      <c r="A141" t="s">
        <v>284</v>
      </c>
      <c r="B141" t="s">
        <v>1634</v>
      </c>
    </row>
    <row r="142" spans="1:3">
      <c r="A142" t="s">
        <v>284</v>
      </c>
      <c r="B142" t="s">
        <v>1635</v>
      </c>
    </row>
    <row r="143" spans="1:3">
      <c r="A143" t="s">
        <v>284</v>
      </c>
      <c r="B143" t="s">
        <v>1636</v>
      </c>
    </row>
    <row r="144" spans="1:3">
      <c r="A144" t="s">
        <v>284</v>
      </c>
      <c r="B144" t="s">
        <v>1652</v>
      </c>
    </row>
    <row r="145" spans="1:3">
      <c r="A145" t="s">
        <v>284</v>
      </c>
      <c r="B145" t="s">
        <v>1653</v>
      </c>
    </row>
    <row r="146" spans="1:3">
      <c r="A146" t="s">
        <v>284</v>
      </c>
      <c r="B146" t="s">
        <v>1650</v>
      </c>
    </row>
    <row r="147" spans="1:3">
      <c r="A147" t="s">
        <v>284</v>
      </c>
      <c r="B147" t="s">
        <v>1637</v>
      </c>
    </row>
    <row r="148" spans="1:3">
      <c r="A148" t="s">
        <v>284</v>
      </c>
      <c r="B148" t="s">
        <v>1638</v>
      </c>
    </row>
    <row r="149" spans="1:3">
      <c r="A149" t="s">
        <v>284</v>
      </c>
      <c r="B149" t="s">
        <v>1639</v>
      </c>
    </row>
    <row r="150" spans="1:3">
      <c r="A150" t="s">
        <v>284</v>
      </c>
      <c r="B150" t="s">
        <v>1640</v>
      </c>
    </row>
    <row r="151" spans="1:3">
      <c r="A151" t="s">
        <v>284</v>
      </c>
      <c r="B151" t="s">
        <v>1641</v>
      </c>
    </row>
    <row r="152" spans="1:3">
      <c r="A152" t="s">
        <v>284</v>
      </c>
      <c r="B152" t="s">
        <v>1642</v>
      </c>
    </row>
    <row r="153" spans="1:3">
      <c r="A153" t="s">
        <v>284</v>
      </c>
      <c r="B153" t="s">
        <v>1643</v>
      </c>
    </row>
    <row r="154" spans="1:3">
      <c r="A154" t="s">
        <v>284</v>
      </c>
      <c r="B154" t="s">
        <v>1644</v>
      </c>
    </row>
    <row r="155" spans="1:3">
      <c r="A155" t="s">
        <v>284</v>
      </c>
      <c r="B155" t="s">
        <v>1645</v>
      </c>
    </row>
    <row r="156" spans="1:3">
      <c r="A156" t="s">
        <v>284</v>
      </c>
      <c r="B156" t="s">
        <v>1654</v>
      </c>
      <c r="C156" t="s">
        <v>1658</v>
      </c>
    </row>
    <row r="157" spans="1:3">
      <c r="A157" t="s">
        <v>284</v>
      </c>
      <c r="B157" t="s">
        <v>1655</v>
      </c>
      <c r="C157" t="s">
        <v>1658</v>
      </c>
    </row>
    <row r="158" spans="1:3">
      <c r="A158" t="s">
        <v>284</v>
      </c>
      <c r="B158" t="s">
        <v>1656</v>
      </c>
      <c r="C158" t="s">
        <v>1658</v>
      </c>
    </row>
    <row r="159" spans="1:3">
      <c r="A159" t="s">
        <v>284</v>
      </c>
      <c r="B159" t="s">
        <v>1657</v>
      </c>
      <c r="C159" t="s">
        <v>1658</v>
      </c>
    </row>
    <row r="160" spans="1:3">
      <c r="A160" t="s">
        <v>285</v>
      </c>
      <c r="B160" t="s">
        <v>1627</v>
      </c>
    </row>
    <row r="161" spans="1:2">
      <c r="A161" t="s">
        <v>285</v>
      </c>
      <c r="B161" t="s">
        <v>1628</v>
      </c>
    </row>
    <row r="162" spans="1:2">
      <c r="A162" t="s">
        <v>285</v>
      </c>
      <c r="B162" t="s">
        <v>1629</v>
      </c>
    </row>
    <row r="163" spans="1:2">
      <c r="A163" t="s">
        <v>285</v>
      </c>
      <c r="B163" t="s">
        <v>1630</v>
      </c>
    </row>
    <row r="164" spans="1:2">
      <c r="A164" t="s">
        <v>285</v>
      </c>
      <c r="B164" t="s">
        <v>1632</v>
      </c>
    </row>
    <row r="165" spans="1:2">
      <c r="A165" t="s">
        <v>285</v>
      </c>
      <c r="B165" t="s">
        <v>1633</v>
      </c>
    </row>
    <row r="166" spans="1:2">
      <c r="A166" t="s">
        <v>285</v>
      </c>
      <c r="B166" t="s">
        <v>1634</v>
      </c>
    </row>
    <row r="167" spans="1:2">
      <c r="A167" t="s">
        <v>285</v>
      </c>
      <c r="B167" t="s">
        <v>1635</v>
      </c>
    </row>
    <row r="168" spans="1:2">
      <c r="A168" t="s">
        <v>285</v>
      </c>
      <c r="B168" t="s">
        <v>1636</v>
      </c>
    </row>
    <row r="169" spans="1:2">
      <c r="A169" t="s">
        <v>285</v>
      </c>
      <c r="B169" t="s">
        <v>1643</v>
      </c>
    </row>
    <row r="170" spans="1:2">
      <c r="A170" t="s">
        <v>285</v>
      </c>
      <c r="B170" t="s">
        <v>1644</v>
      </c>
    </row>
    <row r="171" spans="1:2">
      <c r="A171" t="s">
        <v>285</v>
      </c>
      <c r="B171" t="s">
        <v>1645</v>
      </c>
    </row>
    <row r="172" spans="1:2">
      <c r="A172" t="s">
        <v>286</v>
      </c>
      <c r="B172" t="s">
        <v>1627</v>
      </c>
    </row>
    <row r="173" spans="1:2">
      <c r="A173" t="s">
        <v>286</v>
      </c>
      <c r="B173" t="s">
        <v>1628</v>
      </c>
    </row>
    <row r="174" spans="1:2">
      <c r="A174" t="s">
        <v>286</v>
      </c>
      <c r="B174" t="s">
        <v>1629</v>
      </c>
    </row>
    <row r="175" spans="1:2">
      <c r="A175" t="s">
        <v>286</v>
      </c>
      <c r="B175" t="s">
        <v>1630</v>
      </c>
    </row>
    <row r="176" spans="1:2">
      <c r="A176" t="s">
        <v>286</v>
      </c>
      <c r="B176" t="s">
        <v>1632</v>
      </c>
    </row>
    <row r="177" spans="1:2">
      <c r="A177" t="s">
        <v>286</v>
      </c>
      <c r="B177" t="s">
        <v>1633</v>
      </c>
    </row>
    <row r="178" spans="1:2">
      <c r="A178" t="s">
        <v>286</v>
      </c>
      <c r="B178" t="s">
        <v>1634</v>
      </c>
    </row>
    <row r="179" spans="1:2">
      <c r="A179" t="s">
        <v>286</v>
      </c>
      <c r="B179" t="s">
        <v>1635</v>
      </c>
    </row>
    <row r="180" spans="1:2">
      <c r="A180" t="s">
        <v>286</v>
      </c>
      <c r="B180" t="s">
        <v>1642</v>
      </c>
    </row>
    <row r="181" spans="1:2">
      <c r="A181" t="s">
        <v>286</v>
      </c>
      <c r="B181" t="s">
        <v>1643</v>
      </c>
    </row>
    <row r="182" spans="1:2">
      <c r="A182" t="s">
        <v>286</v>
      </c>
      <c r="B182" t="s">
        <v>1644</v>
      </c>
    </row>
    <row r="183" spans="1:2">
      <c r="A183" t="s">
        <v>286</v>
      </c>
      <c r="B183" t="s">
        <v>1645</v>
      </c>
    </row>
    <row r="184" spans="1:2">
      <c r="A184" t="s">
        <v>349</v>
      </c>
      <c r="B184" t="s">
        <v>1627</v>
      </c>
    </row>
    <row r="185" spans="1:2">
      <c r="A185" t="s">
        <v>349</v>
      </c>
      <c r="B185" t="s">
        <v>1628</v>
      </c>
    </row>
    <row r="186" spans="1:2">
      <c r="A186" t="s">
        <v>349</v>
      </c>
      <c r="B186" t="s">
        <v>1629</v>
      </c>
    </row>
    <row r="187" spans="1:2">
      <c r="A187" t="s">
        <v>349</v>
      </c>
      <c r="B187" t="s">
        <v>1630</v>
      </c>
    </row>
    <row r="188" spans="1:2">
      <c r="A188" t="s">
        <v>349</v>
      </c>
      <c r="B188" t="s">
        <v>1631</v>
      </c>
    </row>
    <row r="189" spans="1:2">
      <c r="A189" t="s">
        <v>349</v>
      </c>
      <c r="B189" t="s">
        <v>1646</v>
      </c>
    </row>
    <row r="190" spans="1:2">
      <c r="A190" t="s">
        <v>354</v>
      </c>
      <c r="B190" t="s">
        <v>1627</v>
      </c>
    </row>
    <row r="191" spans="1:2">
      <c r="A191" t="s">
        <v>354</v>
      </c>
      <c r="B191" t="s">
        <v>1628</v>
      </c>
    </row>
    <row r="192" spans="1:2">
      <c r="A192" t="s">
        <v>354</v>
      </c>
      <c r="B192" t="s">
        <v>1629</v>
      </c>
    </row>
    <row r="193" spans="1:2">
      <c r="A193" t="s">
        <v>354</v>
      </c>
      <c r="B193" t="s">
        <v>1630</v>
      </c>
    </row>
    <row r="194" spans="1:2">
      <c r="A194" t="s">
        <v>354</v>
      </c>
      <c r="B194" t="s">
        <v>1631</v>
      </c>
    </row>
    <row r="195" spans="1:2">
      <c r="A195" t="s">
        <v>354</v>
      </c>
      <c r="B195" t="s">
        <v>1646</v>
      </c>
    </row>
    <row r="196" spans="1:2">
      <c r="A196" t="s">
        <v>351</v>
      </c>
      <c r="B196" t="s">
        <v>1627</v>
      </c>
    </row>
    <row r="197" spans="1:2">
      <c r="A197" t="s">
        <v>351</v>
      </c>
      <c r="B197" t="s">
        <v>1628</v>
      </c>
    </row>
    <row r="198" spans="1:2">
      <c r="A198" t="s">
        <v>351</v>
      </c>
      <c r="B198" t="s">
        <v>1629</v>
      </c>
    </row>
    <row r="199" spans="1:2">
      <c r="A199" t="s">
        <v>351</v>
      </c>
      <c r="B199" t="s">
        <v>1630</v>
      </c>
    </row>
    <row r="200" spans="1:2">
      <c r="A200" t="s">
        <v>351</v>
      </c>
      <c r="B200" t="s">
        <v>1631</v>
      </c>
    </row>
    <row r="201" spans="1:2">
      <c r="A201" t="s">
        <v>351</v>
      </c>
      <c r="B201" t="s">
        <v>1646</v>
      </c>
    </row>
    <row r="202" spans="1:2">
      <c r="A202" t="s">
        <v>356</v>
      </c>
      <c r="B202" t="s">
        <v>1627</v>
      </c>
    </row>
    <row r="203" spans="1:2">
      <c r="A203" t="s">
        <v>356</v>
      </c>
      <c r="B203" t="s">
        <v>1628</v>
      </c>
    </row>
    <row r="204" spans="1:2">
      <c r="A204" t="s">
        <v>356</v>
      </c>
      <c r="B204" t="s">
        <v>1629</v>
      </c>
    </row>
    <row r="205" spans="1:2">
      <c r="A205" t="s">
        <v>356</v>
      </c>
      <c r="B205" t="s">
        <v>1630</v>
      </c>
    </row>
    <row r="206" spans="1:2">
      <c r="A206" t="s">
        <v>356</v>
      </c>
      <c r="B206" t="s">
        <v>1631</v>
      </c>
    </row>
    <row r="207" spans="1:2">
      <c r="A207" t="s">
        <v>356</v>
      </c>
      <c r="B207" t="s">
        <v>1646</v>
      </c>
    </row>
    <row r="208" spans="1:2">
      <c r="A208" t="s">
        <v>288</v>
      </c>
      <c r="B208" t="s">
        <v>1627</v>
      </c>
    </row>
    <row r="209" spans="1:2">
      <c r="A209" t="s">
        <v>288</v>
      </c>
      <c r="B209" t="s">
        <v>1628</v>
      </c>
    </row>
    <row r="210" spans="1:2">
      <c r="A210" t="s">
        <v>288</v>
      </c>
      <c r="B210" t="s">
        <v>1629</v>
      </c>
    </row>
    <row r="211" spans="1:2">
      <c r="A211" t="s">
        <v>288</v>
      </c>
      <c r="B211" t="s">
        <v>1630</v>
      </c>
    </row>
    <row r="212" spans="1:2">
      <c r="A212" t="s">
        <v>288</v>
      </c>
      <c r="B212" t="s">
        <v>1631</v>
      </c>
    </row>
    <row r="213" spans="1:2">
      <c r="A213" t="s">
        <v>288</v>
      </c>
      <c r="B213" t="s">
        <v>1646</v>
      </c>
    </row>
    <row r="214" spans="1:2">
      <c r="A214" t="s">
        <v>288</v>
      </c>
      <c r="B214" t="s">
        <v>1648</v>
      </c>
    </row>
    <row r="215" spans="1:2">
      <c r="A215" t="s">
        <v>288</v>
      </c>
      <c r="B215" t="s">
        <v>1649</v>
      </c>
    </row>
    <row r="216" spans="1:2">
      <c r="A216" t="s">
        <v>288</v>
      </c>
      <c r="B216" t="s">
        <v>1632</v>
      </c>
    </row>
    <row r="217" spans="1:2">
      <c r="A217" t="s">
        <v>288</v>
      </c>
      <c r="B217" t="s">
        <v>1633</v>
      </c>
    </row>
    <row r="218" spans="1:2">
      <c r="A218" t="s">
        <v>288</v>
      </c>
      <c r="B218" t="s">
        <v>1634</v>
      </c>
    </row>
    <row r="219" spans="1:2">
      <c r="A219" t="s">
        <v>288</v>
      </c>
      <c r="B219" t="s">
        <v>1635</v>
      </c>
    </row>
    <row r="220" spans="1:2">
      <c r="A220" t="s">
        <v>289</v>
      </c>
      <c r="B220" t="s">
        <v>1627</v>
      </c>
    </row>
    <row r="221" spans="1:2">
      <c r="A221" t="s">
        <v>289</v>
      </c>
      <c r="B221" t="s">
        <v>1628</v>
      </c>
    </row>
    <row r="222" spans="1:2">
      <c r="A222" t="s">
        <v>289</v>
      </c>
      <c r="B222" t="s">
        <v>1629</v>
      </c>
    </row>
    <row r="223" spans="1:2">
      <c r="A223" t="s">
        <v>289</v>
      </c>
      <c r="B223" t="s">
        <v>1630</v>
      </c>
    </row>
    <row r="224" spans="1:2">
      <c r="A224" t="s">
        <v>289</v>
      </c>
      <c r="B224" t="s">
        <v>1631</v>
      </c>
    </row>
    <row r="225" spans="1:2">
      <c r="A225" t="s">
        <v>289</v>
      </c>
      <c r="B225" t="s">
        <v>1646</v>
      </c>
    </row>
    <row r="226" spans="1:2">
      <c r="A226" t="s">
        <v>289</v>
      </c>
      <c r="B226" t="s">
        <v>1648</v>
      </c>
    </row>
    <row r="227" spans="1:2">
      <c r="A227" t="s">
        <v>289</v>
      </c>
      <c r="B227" t="s">
        <v>1649</v>
      </c>
    </row>
    <row r="228" spans="1:2">
      <c r="A228" t="s">
        <v>289</v>
      </c>
      <c r="B228" t="s">
        <v>1632</v>
      </c>
    </row>
    <row r="229" spans="1:2">
      <c r="A229" t="s">
        <v>289</v>
      </c>
      <c r="B229" t="s">
        <v>1633</v>
      </c>
    </row>
    <row r="230" spans="1:2">
      <c r="A230" t="s">
        <v>289</v>
      </c>
      <c r="B230" t="s">
        <v>1634</v>
      </c>
    </row>
    <row r="231" spans="1:2">
      <c r="A231" t="s">
        <v>289</v>
      </c>
      <c r="B231" t="s">
        <v>1635</v>
      </c>
    </row>
    <row r="232" spans="1:2">
      <c r="A232" t="s">
        <v>291</v>
      </c>
      <c r="B232" t="s">
        <v>1627</v>
      </c>
    </row>
    <row r="233" spans="1:2">
      <c r="A233" t="s">
        <v>291</v>
      </c>
      <c r="B233" t="s">
        <v>1628</v>
      </c>
    </row>
    <row r="234" spans="1:2">
      <c r="A234" t="s">
        <v>291</v>
      </c>
      <c r="B234" t="s">
        <v>1629</v>
      </c>
    </row>
    <row r="235" spans="1:2">
      <c r="A235" t="s">
        <v>291</v>
      </c>
      <c r="B235" t="s">
        <v>1630</v>
      </c>
    </row>
    <row r="236" spans="1:2">
      <c r="A236" t="s">
        <v>291</v>
      </c>
      <c r="B236" t="s">
        <v>1631</v>
      </c>
    </row>
    <row r="237" spans="1:2">
      <c r="A237" t="s">
        <v>291</v>
      </c>
      <c r="B237" t="s">
        <v>1646</v>
      </c>
    </row>
    <row r="238" spans="1:2">
      <c r="A238" t="s">
        <v>291</v>
      </c>
      <c r="B238" t="s">
        <v>1647</v>
      </c>
    </row>
    <row r="239" spans="1:2">
      <c r="A239" t="s">
        <v>291</v>
      </c>
      <c r="B239" t="s">
        <v>1632</v>
      </c>
    </row>
    <row r="240" spans="1:2">
      <c r="A240" t="s">
        <v>291</v>
      </c>
      <c r="B240" t="s">
        <v>1633</v>
      </c>
    </row>
    <row r="241" spans="1:2">
      <c r="A241" t="s">
        <v>291</v>
      </c>
      <c r="B241" t="s">
        <v>1634</v>
      </c>
    </row>
    <row r="242" spans="1:2">
      <c r="A242" t="s">
        <v>291</v>
      </c>
      <c r="B242" t="s">
        <v>1635</v>
      </c>
    </row>
    <row r="243" spans="1:2">
      <c r="A243" t="s">
        <v>291</v>
      </c>
      <c r="B243" t="s">
        <v>1636</v>
      </c>
    </row>
    <row r="244" spans="1:2">
      <c r="A244" t="s">
        <v>291</v>
      </c>
      <c r="B244" t="s">
        <v>1652</v>
      </c>
    </row>
    <row r="245" spans="1:2">
      <c r="A245" t="s">
        <v>291</v>
      </c>
      <c r="B245" t="s">
        <v>1653</v>
      </c>
    </row>
    <row r="246" spans="1:2">
      <c r="A246" t="s">
        <v>291</v>
      </c>
      <c r="B246" t="s">
        <v>1650</v>
      </c>
    </row>
    <row r="247" spans="1:2">
      <c r="A247" t="s">
        <v>291</v>
      </c>
      <c r="B247" t="s">
        <v>1638</v>
      </c>
    </row>
    <row r="248" spans="1:2">
      <c r="A248" t="s">
        <v>291</v>
      </c>
      <c r="B248" t="s">
        <v>1639</v>
      </c>
    </row>
    <row r="249" spans="1:2">
      <c r="A249" t="s">
        <v>291</v>
      </c>
      <c r="B249" t="s">
        <v>1640</v>
      </c>
    </row>
    <row r="250" spans="1:2">
      <c r="A250" t="s">
        <v>291</v>
      </c>
      <c r="B250" t="s">
        <v>1641</v>
      </c>
    </row>
    <row r="251" spans="1:2">
      <c r="A251" t="s">
        <v>291</v>
      </c>
      <c r="B251" t="s">
        <v>1642</v>
      </c>
    </row>
    <row r="252" spans="1:2">
      <c r="A252" t="s">
        <v>291</v>
      </c>
      <c r="B252" t="s">
        <v>1643</v>
      </c>
    </row>
    <row r="253" spans="1:2">
      <c r="A253" t="s">
        <v>291</v>
      </c>
      <c r="B253" t="s">
        <v>1644</v>
      </c>
    </row>
    <row r="254" spans="1:2">
      <c r="A254" t="s">
        <v>292</v>
      </c>
      <c r="B254" t="s">
        <v>1627</v>
      </c>
    </row>
    <row r="255" spans="1:2">
      <c r="A255" t="s">
        <v>292</v>
      </c>
      <c r="B255" t="s">
        <v>1628</v>
      </c>
    </row>
    <row r="256" spans="1:2">
      <c r="A256" t="s">
        <v>292</v>
      </c>
      <c r="B256" t="s">
        <v>1629</v>
      </c>
    </row>
    <row r="257" spans="1:2">
      <c r="A257" t="s">
        <v>292</v>
      </c>
      <c r="B257" t="s">
        <v>1630</v>
      </c>
    </row>
    <row r="258" spans="1:2">
      <c r="A258" t="s">
        <v>292</v>
      </c>
      <c r="B258" t="s">
        <v>1631</v>
      </c>
    </row>
    <row r="259" spans="1:2">
      <c r="A259" t="s">
        <v>292</v>
      </c>
      <c r="B259" t="s">
        <v>1646</v>
      </c>
    </row>
    <row r="260" spans="1:2">
      <c r="A260" t="s">
        <v>292</v>
      </c>
      <c r="B260" t="s">
        <v>1647</v>
      </c>
    </row>
    <row r="261" spans="1:2">
      <c r="A261" t="s">
        <v>292</v>
      </c>
      <c r="B261" t="s">
        <v>1648</v>
      </c>
    </row>
    <row r="262" spans="1:2">
      <c r="A262" t="s">
        <v>292</v>
      </c>
      <c r="B262" t="s">
        <v>1632</v>
      </c>
    </row>
    <row r="263" spans="1:2">
      <c r="A263" t="s">
        <v>292</v>
      </c>
      <c r="B263" t="s">
        <v>1633</v>
      </c>
    </row>
    <row r="264" spans="1:2">
      <c r="A264" t="s">
        <v>292</v>
      </c>
      <c r="B264" t="s">
        <v>1634</v>
      </c>
    </row>
    <row r="265" spans="1:2">
      <c r="A265" t="s">
        <v>292</v>
      </c>
      <c r="B265" t="s">
        <v>1635</v>
      </c>
    </row>
    <row r="266" spans="1:2">
      <c r="A266" t="s">
        <v>292</v>
      </c>
      <c r="B266" t="s">
        <v>1636</v>
      </c>
    </row>
    <row r="267" spans="1:2">
      <c r="A267" t="s">
        <v>292</v>
      </c>
      <c r="B267" t="s">
        <v>1652</v>
      </c>
    </row>
    <row r="268" spans="1:2">
      <c r="A268" t="s">
        <v>292</v>
      </c>
      <c r="B268" t="s">
        <v>1653</v>
      </c>
    </row>
    <row r="269" spans="1:2">
      <c r="A269" t="s">
        <v>292</v>
      </c>
      <c r="B269" t="s">
        <v>1638</v>
      </c>
    </row>
    <row r="270" spans="1:2">
      <c r="A270" t="s">
        <v>292</v>
      </c>
      <c r="B270" t="s">
        <v>1639</v>
      </c>
    </row>
    <row r="271" spans="1:2">
      <c r="A271" t="s">
        <v>292</v>
      </c>
      <c r="B271" t="s">
        <v>1640</v>
      </c>
    </row>
    <row r="272" spans="1:2">
      <c r="A272" t="s">
        <v>292</v>
      </c>
      <c r="B272" t="s">
        <v>1641</v>
      </c>
    </row>
    <row r="273" spans="1:2">
      <c r="A273" t="s">
        <v>292</v>
      </c>
      <c r="B273" t="s">
        <v>1642</v>
      </c>
    </row>
    <row r="274" spans="1:2">
      <c r="A274" t="s">
        <v>292</v>
      </c>
      <c r="B274" t="s">
        <v>1643</v>
      </c>
    </row>
    <row r="275" spans="1:2">
      <c r="A275" t="s">
        <v>292</v>
      </c>
      <c r="B275" t="s">
        <v>1644</v>
      </c>
    </row>
    <row r="276" spans="1:2">
      <c r="A276" t="s">
        <v>294</v>
      </c>
      <c r="B276" t="s">
        <v>1627</v>
      </c>
    </row>
    <row r="277" spans="1:2">
      <c r="A277" t="s">
        <v>294</v>
      </c>
      <c r="B277" t="s">
        <v>1628</v>
      </c>
    </row>
    <row r="278" spans="1:2">
      <c r="A278" t="s">
        <v>294</v>
      </c>
      <c r="B278" t="s">
        <v>1629</v>
      </c>
    </row>
    <row r="279" spans="1:2">
      <c r="A279" t="s">
        <v>294</v>
      </c>
      <c r="B279" t="s">
        <v>1630</v>
      </c>
    </row>
    <row r="280" spans="1:2">
      <c r="A280" t="s">
        <v>294</v>
      </c>
      <c r="B280" t="s">
        <v>1631</v>
      </c>
    </row>
    <row r="281" spans="1:2">
      <c r="A281" t="s">
        <v>294</v>
      </c>
      <c r="B281" t="s">
        <v>1646</v>
      </c>
    </row>
    <row r="282" spans="1:2">
      <c r="A282" t="s">
        <v>294</v>
      </c>
      <c r="B282" t="s">
        <v>1648</v>
      </c>
    </row>
    <row r="283" spans="1:2">
      <c r="A283" t="s">
        <v>294</v>
      </c>
      <c r="B283" t="s">
        <v>1649</v>
      </c>
    </row>
    <row r="284" spans="1:2">
      <c r="A284" t="s">
        <v>294</v>
      </c>
      <c r="B284" t="s">
        <v>1632</v>
      </c>
    </row>
    <row r="285" spans="1:2">
      <c r="A285" t="s">
        <v>294</v>
      </c>
      <c r="B285" t="s">
        <v>1633</v>
      </c>
    </row>
    <row r="286" spans="1:2">
      <c r="A286" t="s">
        <v>294</v>
      </c>
      <c r="B286" t="s">
        <v>1634</v>
      </c>
    </row>
    <row r="287" spans="1:2">
      <c r="A287" t="s">
        <v>294</v>
      </c>
      <c r="B287" t="s">
        <v>1635</v>
      </c>
    </row>
    <row r="288" spans="1:2">
      <c r="A288" t="s">
        <v>296</v>
      </c>
      <c r="B288" t="s">
        <v>1627</v>
      </c>
    </row>
    <row r="289" spans="1:2">
      <c r="A289" t="s">
        <v>296</v>
      </c>
      <c r="B289" t="s">
        <v>1628</v>
      </c>
    </row>
    <row r="290" spans="1:2">
      <c r="A290" t="s">
        <v>296</v>
      </c>
      <c r="B290" t="s">
        <v>1629</v>
      </c>
    </row>
    <row r="291" spans="1:2">
      <c r="A291" t="s">
        <v>296</v>
      </c>
      <c r="B291" t="s">
        <v>1630</v>
      </c>
    </row>
    <row r="292" spans="1:2">
      <c r="A292" t="s">
        <v>296</v>
      </c>
      <c r="B292" t="s">
        <v>1631</v>
      </c>
    </row>
    <row r="293" spans="1:2">
      <c r="A293" t="s">
        <v>296</v>
      </c>
      <c r="B293" t="s">
        <v>1646</v>
      </c>
    </row>
    <row r="294" spans="1:2">
      <c r="A294" t="s">
        <v>296</v>
      </c>
      <c r="B294" t="s">
        <v>1648</v>
      </c>
    </row>
    <row r="295" spans="1:2">
      <c r="A295" t="s">
        <v>296</v>
      </c>
      <c r="B295" t="s">
        <v>1649</v>
      </c>
    </row>
    <row r="296" spans="1:2">
      <c r="A296" t="s">
        <v>296</v>
      </c>
      <c r="B296" t="s">
        <v>1632</v>
      </c>
    </row>
    <row r="297" spans="1:2">
      <c r="A297" t="s">
        <v>296</v>
      </c>
      <c r="B297" t="s">
        <v>1633</v>
      </c>
    </row>
    <row r="298" spans="1:2">
      <c r="A298" t="s">
        <v>296</v>
      </c>
      <c r="B298" t="s">
        <v>1634</v>
      </c>
    </row>
    <row r="299" spans="1:2">
      <c r="A299" t="s">
        <v>296</v>
      </c>
      <c r="B299" t="s">
        <v>1635</v>
      </c>
    </row>
    <row r="300" spans="1:2">
      <c r="A300" t="s">
        <v>298</v>
      </c>
      <c r="B300" t="s">
        <v>1627</v>
      </c>
    </row>
    <row r="301" spans="1:2">
      <c r="A301" t="s">
        <v>298</v>
      </c>
      <c r="B301" t="s">
        <v>1628</v>
      </c>
    </row>
    <row r="302" spans="1:2">
      <c r="A302" t="s">
        <v>298</v>
      </c>
      <c r="B302" t="s">
        <v>1629</v>
      </c>
    </row>
    <row r="303" spans="1:2">
      <c r="A303" t="s">
        <v>298</v>
      </c>
      <c r="B303" t="s">
        <v>1630</v>
      </c>
    </row>
    <row r="304" spans="1:2">
      <c r="A304" t="s">
        <v>298</v>
      </c>
      <c r="B304" t="s">
        <v>1631</v>
      </c>
    </row>
    <row r="305" spans="1:2">
      <c r="A305" t="s">
        <v>298</v>
      </c>
      <c r="B305" t="s">
        <v>1646</v>
      </c>
    </row>
    <row r="306" spans="1:2">
      <c r="A306" t="s">
        <v>298</v>
      </c>
      <c r="B306" t="s">
        <v>1647</v>
      </c>
    </row>
    <row r="307" spans="1:2">
      <c r="A307" t="s">
        <v>298</v>
      </c>
      <c r="B307" t="s">
        <v>1633</v>
      </c>
    </row>
    <row r="308" spans="1:2">
      <c r="A308" t="s">
        <v>298</v>
      </c>
      <c r="B308" t="s">
        <v>1634</v>
      </c>
    </row>
    <row r="309" spans="1:2">
      <c r="A309" t="s">
        <v>298</v>
      </c>
      <c r="B309" t="s">
        <v>1635</v>
      </c>
    </row>
    <row r="310" spans="1:2">
      <c r="A310" t="s">
        <v>298</v>
      </c>
      <c r="B310" t="s">
        <v>1636</v>
      </c>
    </row>
    <row r="311" spans="1:2">
      <c r="A311" t="s">
        <v>298</v>
      </c>
      <c r="B311" t="s">
        <v>1652</v>
      </c>
    </row>
    <row r="312" spans="1:2">
      <c r="A312" t="s">
        <v>298</v>
      </c>
      <c r="B312" t="s">
        <v>1653</v>
      </c>
    </row>
    <row r="313" spans="1:2">
      <c r="A313" t="s">
        <v>298</v>
      </c>
      <c r="B313" t="s">
        <v>1650</v>
      </c>
    </row>
    <row r="314" spans="1:2">
      <c r="A314" t="s">
        <v>298</v>
      </c>
      <c r="B314" t="s">
        <v>1640</v>
      </c>
    </row>
    <row r="315" spans="1:2">
      <c r="A315" t="s">
        <v>298</v>
      </c>
      <c r="B315" t="s">
        <v>1641</v>
      </c>
    </row>
    <row r="316" spans="1:2">
      <c r="A316" t="s">
        <v>298</v>
      </c>
      <c r="B316" t="s">
        <v>1642</v>
      </c>
    </row>
    <row r="317" spans="1:2">
      <c r="A317" t="s">
        <v>298</v>
      </c>
      <c r="B317" t="s">
        <v>1643</v>
      </c>
    </row>
    <row r="318" spans="1:2">
      <c r="A318" t="s">
        <v>298</v>
      </c>
      <c r="B318" t="s">
        <v>1644</v>
      </c>
    </row>
    <row r="319" spans="1:2">
      <c r="A319" t="s">
        <v>298</v>
      </c>
      <c r="B319" t="s">
        <v>1645</v>
      </c>
    </row>
    <row r="320" spans="1:2">
      <c r="A320" t="s">
        <v>298</v>
      </c>
      <c r="B320" t="s">
        <v>1654</v>
      </c>
    </row>
    <row r="321" spans="1:2">
      <c r="A321" t="s">
        <v>301</v>
      </c>
      <c r="B321" t="s">
        <v>1627</v>
      </c>
    </row>
    <row r="322" spans="1:2">
      <c r="A322" t="s">
        <v>301</v>
      </c>
      <c r="B322" t="s">
        <v>1628</v>
      </c>
    </row>
    <row r="323" spans="1:2">
      <c r="A323" t="s">
        <v>301</v>
      </c>
      <c r="B323" t="s">
        <v>1629</v>
      </c>
    </row>
    <row r="324" spans="1:2">
      <c r="A324" t="s">
        <v>301</v>
      </c>
      <c r="B324" t="s">
        <v>1630</v>
      </c>
    </row>
    <row r="325" spans="1:2">
      <c r="A325" t="s">
        <v>301</v>
      </c>
      <c r="B325" t="s">
        <v>1631</v>
      </c>
    </row>
    <row r="326" spans="1:2">
      <c r="A326" t="s">
        <v>301</v>
      </c>
      <c r="B326" t="s">
        <v>1646</v>
      </c>
    </row>
    <row r="327" spans="1:2">
      <c r="A327" t="s">
        <v>301</v>
      </c>
      <c r="B327" t="s">
        <v>1647</v>
      </c>
    </row>
    <row r="328" spans="1:2">
      <c r="A328" t="s">
        <v>301</v>
      </c>
      <c r="B328" t="s">
        <v>1648</v>
      </c>
    </row>
    <row r="329" spans="1:2">
      <c r="A329" t="s">
        <v>301</v>
      </c>
      <c r="B329" t="s">
        <v>1649</v>
      </c>
    </row>
    <row r="330" spans="1:2">
      <c r="A330" t="s">
        <v>301</v>
      </c>
      <c r="B330" t="s">
        <v>1632</v>
      </c>
    </row>
    <row r="331" spans="1:2">
      <c r="A331" t="s">
        <v>301</v>
      </c>
      <c r="B331" t="s">
        <v>1633</v>
      </c>
    </row>
    <row r="332" spans="1:2">
      <c r="A332" t="s">
        <v>301</v>
      </c>
      <c r="B332" t="s">
        <v>1634</v>
      </c>
    </row>
    <row r="333" spans="1:2">
      <c r="A333" t="s">
        <v>301</v>
      </c>
      <c r="B333" t="s">
        <v>1640</v>
      </c>
    </row>
    <row r="334" spans="1:2">
      <c r="A334" t="s">
        <v>301</v>
      </c>
      <c r="B334" t="s">
        <v>1641</v>
      </c>
    </row>
    <row r="335" spans="1:2">
      <c r="A335" t="s">
        <v>301</v>
      </c>
      <c r="B335" t="s">
        <v>1642</v>
      </c>
    </row>
    <row r="336" spans="1:2">
      <c r="A336" t="s">
        <v>301</v>
      </c>
      <c r="B336" t="s">
        <v>1643</v>
      </c>
    </row>
    <row r="337" spans="1:2">
      <c r="A337" t="s">
        <v>301</v>
      </c>
      <c r="B337" t="s">
        <v>1644</v>
      </c>
    </row>
    <row r="338" spans="1:2">
      <c r="A338" t="s">
        <v>301</v>
      </c>
      <c r="B338" t="s">
        <v>1645</v>
      </c>
    </row>
    <row r="339" spans="1:2">
      <c r="A339" t="s">
        <v>301</v>
      </c>
      <c r="B339" t="s">
        <v>1654</v>
      </c>
    </row>
    <row r="340" spans="1:2">
      <c r="A340" t="s">
        <v>301</v>
      </c>
      <c r="B340" t="s">
        <v>1655</v>
      </c>
    </row>
    <row r="341" spans="1:2">
      <c r="A341" t="s">
        <v>301</v>
      </c>
      <c r="B341" t="s">
        <v>1656</v>
      </c>
    </row>
    <row r="342" spans="1:2">
      <c r="A342" t="s">
        <v>302</v>
      </c>
      <c r="B342" t="s">
        <v>1627</v>
      </c>
    </row>
    <row r="343" spans="1:2">
      <c r="A343" t="s">
        <v>302</v>
      </c>
      <c r="B343" t="s">
        <v>1628</v>
      </c>
    </row>
    <row r="344" spans="1:2">
      <c r="A344" t="s">
        <v>302</v>
      </c>
      <c r="B344" t="s">
        <v>1629</v>
      </c>
    </row>
    <row r="345" spans="1:2">
      <c r="A345" t="s">
        <v>302</v>
      </c>
      <c r="B345" t="s">
        <v>1630</v>
      </c>
    </row>
    <row r="346" spans="1:2">
      <c r="A346" t="s">
        <v>302</v>
      </c>
      <c r="B346" t="s">
        <v>1631</v>
      </c>
    </row>
    <row r="347" spans="1:2">
      <c r="A347" t="s">
        <v>302</v>
      </c>
      <c r="B347" t="s">
        <v>1646</v>
      </c>
    </row>
    <row r="348" spans="1:2">
      <c r="A348" t="s">
        <v>302</v>
      </c>
      <c r="B348" t="s">
        <v>1647</v>
      </c>
    </row>
    <row r="349" spans="1:2">
      <c r="A349" t="s">
        <v>302</v>
      </c>
      <c r="B349" t="s">
        <v>1633</v>
      </c>
    </row>
    <row r="350" spans="1:2">
      <c r="A350" t="s">
        <v>302</v>
      </c>
      <c r="B350" t="s">
        <v>1634</v>
      </c>
    </row>
    <row r="351" spans="1:2">
      <c r="A351" t="s">
        <v>302</v>
      </c>
      <c r="B351" t="s">
        <v>1635</v>
      </c>
    </row>
    <row r="352" spans="1:2">
      <c r="A352" t="s">
        <v>302</v>
      </c>
      <c r="B352" t="s">
        <v>1636</v>
      </c>
    </row>
    <row r="353" spans="1:2">
      <c r="A353" t="s">
        <v>302</v>
      </c>
      <c r="B353" t="s">
        <v>1652</v>
      </c>
    </row>
    <row r="354" spans="1:2">
      <c r="A354" t="s">
        <v>302</v>
      </c>
      <c r="B354" t="s">
        <v>1653</v>
      </c>
    </row>
    <row r="355" spans="1:2">
      <c r="A355" t="s">
        <v>302</v>
      </c>
      <c r="B355" t="s">
        <v>1650</v>
      </c>
    </row>
    <row r="356" spans="1:2">
      <c r="A356" t="s">
        <v>302</v>
      </c>
      <c r="B356" t="s">
        <v>1640</v>
      </c>
    </row>
    <row r="357" spans="1:2">
      <c r="A357" t="s">
        <v>302</v>
      </c>
      <c r="B357" t="s">
        <v>1641</v>
      </c>
    </row>
    <row r="358" spans="1:2">
      <c r="A358" t="s">
        <v>302</v>
      </c>
      <c r="B358" t="s">
        <v>1642</v>
      </c>
    </row>
    <row r="359" spans="1:2">
      <c r="A359" t="s">
        <v>302</v>
      </c>
      <c r="B359" t="s">
        <v>1643</v>
      </c>
    </row>
    <row r="360" spans="1:2">
      <c r="A360" t="s">
        <v>302</v>
      </c>
      <c r="B360" t="s">
        <v>1644</v>
      </c>
    </row>
    <row r="361" spans="1:2">
      <c r="A361" t="s">
        <v>302</v>
      </c>
      <c r="B361" t="s">
        <v>1645</v>
      </c>
    </row>
    <row r="362" spans="1:2">
      <c r="A362" t="s">
        <v>302</v>
      </c>
      <c r="B362" t="s">
        <v>1654</v>
      </c>
    </row>
    <row r="363" spans="1:2">
      <c r="A363" t="s">
        <v>304</v>
      </c>
      <c r="B363" t="s">
        <v>1627</v>
      </c>
    </row>
    <row r="364" spans="1:2">
      <c r="A364" t="s">
        <v>304</v>
      </c>
      <c r="B364" t="s">
        <v>1628</v>
      </c>
    </row>
    <row r="365" spans="1:2">
      <c r="A365" t="s">
        <v>304</v>
      </c>
      <c r="B365" t="s">
        <v>1629</v>
      </c>
    </row>
    <row r="366" spans="1:2">
      <c r="A366" t="s">
        <v>304</v>
      </c>
      <c r="B366" t="s">
        <v>1630</v>
      </c>
    </row>
    <row r="367" spans="1:2">
      <c r="A367" t="s">
        <v>304</v>
      </c>
      <c r="B367" t="s">
        <v>1631</v>
      </c>
    </row>
    <row r="368" spans="1:2">
      <c r="A368" t="s">
        <v>304</v>
      </c>
      <c r="B368" t="s">
        <v>1646</v>
      </c>
    </row>
    <row r="369" spans="1:2">
      <c r="A369" t="s">
        <v>304</v>
      </c>
      <c r="B369" t="s">
        <v>1647</v>
      </c>
    </row>
    <row r="370" spans="1:2">
      <c r="A370" t="s">
        <v>304</v>
      </c>
      <c r="B370" t="s">
        <v>1648</v>
      </c>
    </row>
    <row r="371" spans="1:2">
      <c r="A371" t="s">
        <v>304</v>
      </c>
      <c r="B371" t="s">
        <v>1649</v>
      </c>
    </row>
    <row r="372" spans="1:2">
      <c r="A372" t="s">
        <v>304</v>
      </c>
      <c r="B372" t="s">
        <v>1632</v>
      </c>
    </row>
    <row r="373" spans="1:2">
      <c r="A373" t="s">
        <v>304</v>
      </c>
      <c r="B373" t="s">
        <v>1633</v>
      </c>
    </row>
    <row r="374" spans="1:2">
      <c r="A374" t="s">
        <v>304</v>
      </c>
      <c r="B374" t="s">
        <v>1634</v>
      </c>
    </row>
    <row r="375" spans="1:2">
      <c r="A375" t="s">
        <v>304</v>
      </c>
      <c r="B375" t="s">
        <v>1635</v>
      </c>
    </row>
    <row r="376" spans="1:2">
      <c r="A376" t="s">
        <v>304</v>
      </c>
      <c r="B376" t="s">
        <v>1636</v>
      </c>
    </row>
    <row r="377" spans="1:2">
      <c r="A377" t="s">
        <v>304</v>
      </c>
      <c r="B377" t="s">
        <v>1652</v>
      </c>
    </row>
    <row r="378" spans="1:2">
      <c r="A378" t="s">
        <v>304</v>
      </c>
      <c r="B378" t="s">
        <v>1640</v>
      </c>
    </row>
    <row r="379" spans="1:2">
      <c r="A379" t="s">
        <v>304</v>
      </c>
      <c r="B379" t="s">
        <v>1641</v>
      </c>
    </row>
    <row r="380" spans="1:2">
      <c r="A380" t="s">
        <v>304</v>
      </c>
      <c r="B380" t="s">
        <v>1642</v>
      </c>
    </row>
    <row r="381" spans="1:2">
      <c r="A381" t="s">
        <v>304</v>
      </c>
      <c r="B381" t="s">
        <v>1643</v>
      </c>
    </row>
    <row r="382" spans="1:2">
      <c r="A382" t="s">
        <v>304</v>
      </c>
      <c r="B382" t="s">
        <v>1644</v>
      </c>
    </row>
    <row r="383" spans="1:2">
      <c r="A383" t="s">
        <v>304</v>
      </c>
      <c r="B383" t="s">
        <v>1645</v>
      </c>
    </row>
    <row r="384" spans="1:2">
      <c r="A384" t="s">
        <v>306</v>
      </c>
      <c r="B384" t="s">
        <v>1627</v>
      </c>
    </row>
    <row r="385" spans="1:2">
      <c r="A385" t="s">
        <v>306</v>
      </c>
      <c r="B385" t="s">
        <v>1628</v>
      </c>
    </row>
    <row r="386" spans="1:2">
      <c r="A386" t="s">
        <v>306</v>
      </c>
      <c r="B386" t="s">
        <v>1629</v>
      </c>
    </row>
    <row r="387" spans="1:2">
      <c r="A387" t="s">
        <v>306</v>
      </c>
      <c r="B387" t="s">
        <v>1630</v>
      </c>
    </row>
    <row r="388" spans="1:2">
      <c r="A388" t="s">
        <v>306</v>
      </c>
      <c r="B388" t="s">
        <v>1631</v>
      </c>
    </row>
    <row r="389" spans="1:2">
      <c r="A389" t="s">
        <v>306</v>
      </c>
      <c r="B389" t="s">
        <v>1646</v>
      </c>
    </row>
    <row r="390" spans="1:2">
      <c r="A390" t="s">
        <v>306</v>
      </c>
      <c r="B390" t="s">
        <v>1647</v>
      </c>
    </row>
    <row r="391" spans="1:2">
      <c r="A391" t="s">
        <v>306</v>
      </c>
      <c r="B391" t="s">
        <v>1648</v>
      </c>
    </row>
    <row r="392" spans="1:2">
      <c r="A392" t="s">
        <v>306</v>
      </c>
      <c r="B392" t="s">
        <v>1649</v>
      </c>
    </row>
    <row r="393" spans="1:2">
      <c r="A393" t="s">
        <v>306</v>
      </c>
      <c r="B393" t="s">
        <v>1632</v>
      </c>
    </row>
    <row r="394" spans="1:2">
      <c r="A394" t="s">
        <v>306</v>
      </c>
      <c r="B394" t="s">
        <v>1633</v>
      </c>
    </row>
    <row r="395" spans="1:2">
      <c r="A395" t="s">
        <v>306</v>
      </c>
      <c r="B395" t="s">
        <v>1634</v>
      </c>
    </row>
    <row r="396" spans="1:2">
      <c r="A396" t="s">
        <v>306</v>
      </c>
      <c r="B396" t="s">
        <v>1635</v>
      </c>
    </row>
    <row r="397" spans="1:2">
      <c r="A397" t="s">
        <v>306</v>
      </c>
      <c r="B397" t="s">
        <v>1636</v>
      </c>
    </row>
    <row r="398" spans="1:2">
      <c r="A398" t="s">
        <v>309</v>
      </c>
      <c r="B398" t="s">
        <v>1627</v>
      </c>
    </row>
    <row r="399" spans="1:2">
      <c r="A399" t="s">
        <v>309</v>
      </c>
      <c r="B399" t="s">
        <v>1628</v>
      </c>
    </row>
    <row r="400" spans="1:2">
      <c r="A400" t="s">
        <v>309</v>
      </c>
      <c r="B400" t="s">
        <v>1629</v>
      </c>
    </row>
    <row r="401" spans="1:2">
      <c r="A401" t="s">
        <v>309</v>
      </c>
      <c r="B401" t="s">
        <v>1630</v>
      </c>
    </row>
    <row r="402" spans="1:2">
      <c r="A402" t="s">
        <v>309</v>
      </c>
      <c r="B402" t="s">
        <v>1631</v>
      </c>
    </row>
    <row r="403" spans="1:2">
      <c r="A403" t="s">
        <v>309</v>
      </c>
      <c r="B403" t="s">
        <v>1646</v>
      </c>
    </row>
    <row r="404" spans="1:2">
      <c r="A404" t="s">
        <v>309</v>
      </c>
      <c r="B404" t="s">
        <v>1647</v>
      </c>
    </row>
    <row r="405" spans="1:2">
      <c r="A405" t="s">
        <v>309</v>
      </c>
      <c r="B405" t="s">
        <v>1648</v>
      </c>
    </row>
    <row r="406" spans="1:2">
      <c r="A406" t="s">
        <v>309</v>
      </c>
      <c r="B406" t="s">
        <v>1649</v>
      </c>
    </row>
    <row r="407" spans="1:2">
      <c r="A407" t="s">
        <v>309</v>
      </c>
      <c r="B407" t="s">
        <v>1632</v>
      </c>
    </row>
    <row r="408" spans="1:2">
      <c r="A408" t="s">
        <v>309</v>
      </c>
      <c r="B408" t="s">
        <v>1633</v>
      </c>
    </row>
    <row r="409" spans="1:2">
      <c r="A409" t="s">
        <v>309</v>
      </c>
      <c r="B409" t="s">
        <v>1634</v>
      </c>
    </row>
    <row r="410" spans="1:2">
      <c r="A410" t="s">
        <v>309</v>
      </c>
      <c r="B410" t="s">
        <v>1635</v>
      </c>
    </row>
    <row r="411" spans="1:2">
      <c r="A411" t="s">
        <v>309</v>
      </c>
      <c r="B411" t="s">
        <v>1636</v>
      </c>
    </row>
    <row r="412" spans="1:2">
      <c r="A412" t="s">
        <v>313</v>
      </c>
      <c r="B412" t="s">
        <v>1627</v>
      </c>
    </row>
    <row r="413" spans="1:2">
      <c r="A413" t="s">
        <v>313</v>
      </c>
      <c r="B413" t="s">
        <v>1628</v>
      </c>
    </row>
    <row r="414" spans="1:2">
      <c r="A414" t="s">
        <v>313</v>
      </c>
      <c r="B414" t="s">
        <v>1629</v>
      </c>
    </row>
    <row r="415" spans="1:2">
      <c r="A415" t="s">
        <v>313</v>
      </c>
      <c r="B415" t="s">
        <v>1630</v>
      </c>
    </row>
    <row r="416" spans="1:2">
      <c r="A416" t="s">
        <v>313</v>
      </c>
      <c r="B416" t="s">
        <v>1631</v>
      </c>
    </row>
    <row r="417" spans="1:2">
      <c r="A417" t="s">
        <v>313</v>
      </c>
      <c r="B417" t="s">
        <v>1646</v>
      </c>
    </row>
    <row r="418" spans="1:2">
      <c r="A418" t="s">
        <v>313</v>
      </c>
      <c r="B418" t="s">
        <v>1647</v>
      </c>
    </row>
    <row r="419" spans="1:2">
      <c r="A419" t="s">
        <v>313</v>
      </c>
      <c r="B419" t="s">
        <v>1648</v>
      </c>
    </row>
    <row r="420" spans="1:2">
      <c r="A420" t="s">
        <v>313</v>
      </c>
      <c r="B420" t="s">
        <v>1649</v>
      </c>
    </row>
    <row r="421" spans="1:2">
      <c r="A421" t="s">
        <v>313</v>
      </c>
      <c r="B421" t="s">
        <v>1632</v>
      </c>
    </row>
    <row r="422" spans="1:2">
      <c r="A422" t="s">
        <v>313</v>
      </c>
      <c r="B422" t="s">
        <v>1633</v>
      </c>
    </row>
    <row r="423" spans="1:2">
      <c r="A423" t="s">
        <v>313</v>
      </c>
      <c r="B423" t="s">
        <v>1634</v>
      </c>
    </row>
    <row r="424" spans="1:2">
      <c r="A424" t="s">
        <v>313</v>
      </c>
      <c r="B424" t="s">
        <v>1635</v>
      </c>
    </row>
    <row r="425" spans="1:2">
      <c r="A425" t="s">
        <v>313</v>
      </c>
      <c r="B425" t="s">
        <v>1636</v>
      </c>
    </row>
    <row r="426" spans="1:2">
      <c r="A426" t="s">
        <v>313</v>
      </c>
      <c r="B426" t="s">
        <v>1652</v>
      </c>
    </row>
    <row r="427" spans="1:2">
      <c r="A427" t="s">
        <v>313</v>
      </c>
      <c r="B427" t="s">
        <v>1653</v>
      </c>
    </row>
    <row r="428" spans="1:2">
      <c r="A428" t="s">
        <v>313</v>
      </c>
      <c r="B428" t="s">
        <v>1650</v>
      </c>
    </row>
    <row r="429" spans="1:2">
      <c r="A429" t="s">
        <v>313</v>
      </c>
      <c r="B429" t="s">
        <v>1637</v>
      </c>
    </row>
    <row r="430" spans="1:2">
      <c r="A430" t="s">
        <v>313</v>
      </c>
      <c r="B430" t="s">
        <v>1638</v>
      </c>
    </row>
    <row r="431" spans="1:2">
      <c r="A431" t="s">
        <v>313</v>
      </c>
      <c r="B431" t="s">
        <v>1639</v>
      </c>
    </row>
    <row r="432" spans="1:2">
      <c r="A432" t="s">
        <v>313</v>
      </c>
      <c r="B432" t="s">
        <v>1640</v>
      </c>
    </row>
    <row r="433" spans="1:2">
      <c r="A433" t="s">
        <v>313</v>
      </c>
      <c r="B433" t="s">
        <v>1641</v>
      </c>
    </row>
    <row r="434" spans="1:2">
      <c r="A434" t="s">
        <v>313</v>
      </c>
      <c r="B434" t="s">
        <v>1642</v>
      </c>
    </row>
    <row r="435" spans="1:2">
      <c r="A435" t="s">
        <v>313</v>
      </c>
      <c r="B435" t="s">
        <v>1643</v>
      </c>
    </row>
    <row r="436" spans="1:2">
      <c r="A436" t="s">
        <v>314</v>
      </c>
      <c r="B436" t="s">
        <v>1627</v>
      </c>
    </row>
    <row r="437" spans="1:2">
      <c r="A437" t="s">
        <v>314</v>
      </c>
      <c r="B437" t="s">
        <v>1628</v>
      </c>
    </row>
    <row r="438" spans="1:2">
      <c r="A438" t="s">
        <v>314</v>
      </c>
      <c r="B438" t="s">
        <v>1629</v>
      </c>
    </row>
    <row r="439" spans="1:2">
      <c r="A439" t="s">
        <v>314</v>
      </c>
      <c r="B439" t="s">
        <v>1630</v>
      </c>
    </row>
    <row r="440" spans="1:2">
      <c r="A440" t="s">
        <v>314</v>
      </c>
      <c r="B440" t="s">
        <v>1631</v>
      </c>
    </row>
    <row r="441" spans="1:2">
      <c r="A441" t="s">
        <v>314</v>
      </c>
      <c r="B441" t="s">
        <v>1646</v>
      </c>
    </row>
    <row r="442" spans="1:2">
      <c r="A442" t="s">
        <v>314</v>
      </c>
      <c r="B442" t="s">
        <v>1647</v>
      </c>
    </row>
    <row r="443" spans="1:2">
      <c r="A443" t="s">
        <v>314</v>
      </c>
      <c r="B443" t="s">
        <v>1648</v>
      </c>
    </row>
    <row r="444" spans="1:2">
      <c r="A444" t="s">
        <v>314</v>
      </c>
      <c r="B444" t="s">
        <v>1649</v>
      </c>
    </row>
    <row r="445" spans="1:2">
      <c r="A445" t="s">
        <v>314</v>
      </c>
      <c r="B445" t="s">
        <v>1632</v>
      </c>
    </row>
    <row r="446" spans="1:2">
      <c r="A446" t="s">
        <v>314</v>
      </c>
      <c r="B446" t="s">
        <v>1633</v>
      </c>
    </row>
    <row r="447" spans="1:2">
      <c r="A447" t="s">
        <v>314</v>
      </c>
      <c r="B447" t="s">
        <v>1634</v>
      </c>
    </row>
    <row r="448" spans="1:2">
      <c r="A448" t="s">
        <v>314</v>
      </c>
      <c r="B448" t="s">
        <v>1635</v>
      </c>
    </row>
    <row r="449" spans="1:2">
      <c r="A449" t="s">
        <v>314</v>
      </c>
      <c r="B449" t="s">
        <v>1636</v>
      </c>
    </row>
    <row r="450" spans="1:2">
      <c r="A450" t="s">
        <v>314</v>
      </c>
      <c r="B450" t="s">
        <v>1652</v>
      </c>
    </row>
    <row r="451" spans="1:2">
      <c r="A451" t="s">
        <v>314</v>
      </c>
      <c r="B451" t="s">
        <v>1653</v>
      </c>
    </row>
    <row r="452" spans="1:2">
      <c r="A452" t="s">
        <v>314</v>
      </c>
      <c r="B452" t="s">
        <v>1650</v>
      </c>
    </row>
    <row r="453" spans="1:2">
      <c r="A453" t="s">
        <v>314</v>
      </c>
      <c r="B453" t="s">
        <v>1637</v>
      </c>
    </row>
    <row r="454" spans="1:2">
      <c r="A454" t="s">
        <v>314</v>
      </c>
      <c r="B454" t="s">
        <v>1638</v>
      </c>
    </row>
    <row r="455" spans="1:2">
      <c r="A455" t="s">
        <v>314</v>
      </c>
      <c r="B455" t="s">
        <v>1639</v>
      </c>
    </row>
    <row r="456" spans="1:2">
      <c r="A456" t="s">
        <v>314</v>
      </c>
      <c r="B456" t="s">
        <v>1640</v>
      </c>
    </row>
    <row r="457" spans="1:2">
      <c r="A457" t="s">
        <v>314</v>
      </c>
      <c r="B457" t="s">
        <v>1641</v>
      </c>
    </row>
    <row r="458" spans="1:2">
      <c r="A458" t="s">
        <v>314</v>
      </c>
      <c r="B458" t="s">
        <v>1642</v>
      </c>
    </row>
    <row r="459" spans="1:2">
      <c r="A459" t="s">
        <v>314</v>
      </c>
      <c r="B459" t="s">
        <v>1643</v>
      </c>
    </row>
    <row r="460" spans="1:2">
      <c r="A460" t="s">
        <v>316</v>
      </c>
      <c r="B460" t="s">
        <v>1627</v>
      </c>
    </row>
    <row r="461" spans="1:2">
      <c r="A461" t="s">
        <v>316</v>
      </c>
      <c r="B461" t="s">
        <v>1628</v>
      </c>
    </row>
    <row r="462" spans="1:2">
      <c r="A462" t="s">
        <v>316</v>
      </c>
      <c r="B462" t="s">
        <v>1629</v>
      </c>
    </row>
    <row r="463" spans="1:2">
      <c r="A463" t="s">
        <v>316</v>
      </c>
      <c r="B463" t="s">
        <v>1630</v>
      </c>
    </row>
    <row r="464" spans="1:2">
      <c r="A464" t="s">
        <v>316</v>
      </c>
      <c r="B464" t="s">
        <v>1631</v>
      </c>
    </row>
    <row r="465" spans="1:2">
      <c r="A465" t="s">
        <v>316</v>
      </c>
      <c r="B465" t="s">
        <v>1646</v>
      </c>
    </row>
    <row r="466" spans="1:2">
      <c r="A466" t="s">
        <v>316</v>
      </c>
      <c r="B466" t="s">
        <v>1647</v>
      </c>
    </row>
    <row r="467" spans="1:2">
      <c r="A467" t="s">
        <v>316</v>
      </c>
      <c r="B467" t="s">
        <v>1648</v>
      </c>
    </row>
    <row r="468" spans="1:2">
      <c r="A468" t="s">
        <v>316</v>
      </c>
      <c r="B468" t="s">
        <v>1649</v>
      </c>
    </row>
    <row r="469" spans="1:2">
      <c r="A469" t="s">
        <v>316</v>
      </c>
      <c r="B469" t="s">
        <v>1633</v>
      </c>
    </row>
    <row r="470" spans="1:2">
      <c r="A470" t="s">
        <v>316</v>
      </c>
      <c r="B470" t="s">
        <v>1634</v>
      </c>
    </row>
    <row r="471" spans="1:2">
      <c r="A471" t="s">
        <v>316</v>
      </c>
      <c r="B471" t="s">
        <v>1635</v>
      </c>
    </row>
    <row r="472" spans="1:2">
      <c r="A472" t="s">
        <v>316</v>
      </c>
      <c r="B472" t="s">
        <v>1636</v>
      </c>
    </row>
    <row r="473" spans="1:2">
      <c r="A473" t="s">
        <v>316</v>
      </c>
      <c r="B473" t="s">
        <v>1652</v>
      </c>
    </row>
    <row r="474" spans="1:2">
      <c r="A474" t="s">
        <v>316</v>
      </c>
      <c r="B474" t="s">
        <v>1653</v>
      </c>
    </row>
    <row r="475" spans="1:2">
      <c r="A475" t="s">
        <v>316</v>
      </c>
      <c r="B475" t="s">
        <v>1650</v>
      </c>
    </row>
    <row r="476" spans="1:2">
      <c r="A476" t="s">
        <v>316</v>
      </c>
      <c r="B476" t="s">
        <v>1637</v>
      </c>
    </row>
    <row r="477" spans="1:2">
      <c r="A477" t="s">
        <v>316</v>
      </c>
      <c r="B477" t="s">
        <v>1638</v>
      </c>
    </row>
    <row r="478" spans="1:2">
      <c r="A478" t="s">
        <v>316</v>
      </c>
      <c r="B478" t="s">
        <v>1640</v>
      </c>
    </row>
    <row r="479" spans="1:2">
      <c r="A479" t="s">
        <v>316</v>
      </c>
      <c r="B479" t="s">
        <v>1641</v>
      </c>
    </row>
    <row r="480" spans="1:2">
      <c r="A480" t="s">
        <v>316</v>
      </c>
      <c r="B480" t="s">
        <v>1642</v>
      </c>
    </row>
    <row r="481" spans="1:2">
      <c r="A481" t="s">
        <v>316</v>
      </c>
      <c r="B481" t="s">
        <v>1643</v>
      </c>
    </row>
    <row r="482" spans="1:2">
      <c r="A482" t="s">
        <v>316</v>
      </c>
      <c r="B482" t="s">
        <v>1644</v>
      </c>
    </row>
    <row r="483" spans="1:2">
      <c r="A483" t="s">
        <v>316</v>
      </c>
      <c r="B483" t="s">
        <v>1645</v>
      </c>
    </row>
    <row r="484" spans="1:2">
      <c r="A484" t="s">
        <v>316</v>
      </c>
      <c r="B484" t="s">
        <v>1654</v>
      </c>
    </row>
    <row r="485" spans="1:2">
      <c r="A485" t="s">
        <v>316</v>
      </c>
      <c r="B485" t="s">
        <v>1655</v>
      </c>
    </row>
    <row r="486" spans="1:2">
      <c r="A486" t="s">
        <v>319</v>
      </c>
      <c r="B486" t="s">
        <v>1627</v>
      </c>
    </row>
    <row r="487" spans="1:2">
      <c r="A487" t="s">
        <v>319</v>
      </c>
      <c r="B487" t="s">
        <v>1628</v>
      </c>
    </row>
    <row r="488" spans="1:2">
      <c r="A488" t="s">
        <v>319</v>
      </c>
      <c r="B488" t="s">
        <v>1629</v>
      </c>
    </row>
    <row r="489" spans="1:2">
      <c r="A489" t="s">
        <v>319</v>
      </c>
      <c r="B489" t="s">
        <v>1630</v>
      </c>
    </row>
    <row r="490" spans="1:2">
      <c r="A490" t="s">
        <v>319</v>
      </c>
      <c r="B490" t="s">
        <v>1631</v>
      </c>
    </row>
    <row r="491" spans="1:2">
      <c r="A491" t="s">
        <v>319</v>
      </c>
      <c r="B491" t="s">
        <v>1646</v>
      </c>
    </row>
    <row r="492" spans="1:2">
      <c r="A492" t="s">
        <v>319</v>
      </c>
      <c r="B492" t="s">
        <v>1647</v>
      </c>
    </row>
    <row r="493" spans="1:2">
      <c r="A493" t="s">
        <v>319</v>
      </c>
      <c r="B493" t="s">
        <v>1648</v>
      </c>
    </row>
    <row r="494" spans="1:2">
      <c r="A494" t="s">
        <v>319</v>
      </c>
      <c r="B494" t="s">
        <v>1649</v>
      </c>
    </row>
    <row r="495" spans="1:2">
      <c r="A495" t="s">
        <v>319</v>
      </c>
      <c r="B495" t="s">
        <v>1633</v>
      </c>
    </row>
    <row r="496" spans="1:2">
      <c r="A496" t="s">
        <v>319</v>
      </c>
      <c r="B496" t="s">
        <v>1634</v>
      </c>
    </row>
    <row r="497" spans="1:2">
      <c r="A497" t="s">
        <v>319</v>
      </c>
      <c r="B497" t="s">
        <v>1635</v>
      </c>
    </row>
    <row r="498" spans="1:2">
      <c r="A498" t="s">
        <v>319</v>
      </c>
      <c r="B498" t="s">
        <v>1636</v>
      </c>
    </row>
    <row r="499" spans="1:2">
      <c r="A499" t="s">
        <v>319</v>
      </c>
      <c r="B499" t="s">
        <v>1652</v>
      </c>
    </row>
    <row r="500" spans="1:2">
      <c r="A500" t="s">
        <v>319</v>
      </c>
      <c r="B500" t="s">
        <v>1653</v>
      </c>
    </row>
    <row r="501" spans="1:2">
      <c r="A501" t="s">
        <v>319</v>
      </c>
      <c r="B501" t="s">
        <v>1650</v>
      </c>
    </row>
    <row r="502" spans="1:2">
      <c r="A502" t="s">
        <v>319</v>
      </c>
      <c r="B502" t="s">
        <v>1637</v>
      </c>
    </row>
    <row r="503" spans="1:2">
      <c r="A503" t="s">
        <v>319</v>
      </c>
      <c r="B503" t="s">
        <v>1640</v>
      </c>
    </row>
    <row r="504" spans="1:2">
      <c r="A504" t="s">
        <v>319</v>
      </c>
      <c r="B504" t="s">
        <v>1641</v>
      </c>
    </row>
    <row r="505" spans="1:2">
      <c r="A505" t="s">
        <v>319</v>
      </c>
      <c r="B505" t="s">
        <v>1642</v>
      </c>
    </row>
    <row r="506" spans="1:2">
      <c r="A506" t="s">
        <v>319</v>
      </c>
      <c r="B506" t="s">
        <v>1643</v>
      </c>
    </row>
    <row r="507" spans="1:2">
      <c r="A507" t="s">
        <v>319</v>
      </c>
      <c r="B507" t="s">
        <v>1644</v>
      </c>
    </row>
    <row r="508" spans="1:2">
      <c r="A508" t="s">
        <v>319</v>
      </c>
      <c r="B508" t="s">
        <v>1645</v>
      </c>
    </row>
    <row r="509" spans="1:2">
      <c r="A509" t="s">
        <v>319</v>
      </c>
      <c r="B509" t="s">
        <v>1654</v>
      </c>
    </row>
    <row r="510" spans="1:2">
      <c r="A510" t="s">
        <v>319</v>
      </c>
      <c r="B510" t="s">
        <v>1655</v>
      </c>
    </row>
    <row r="511" spans="1:2">
      <c r="A511" t="s">
        <v>319</v>
      </c>
      <c r="B511" t="s">
        <v>1656</v>
      </c>
    </row>
    <row r="512" spans="1:2">
      <c r="A512" t="s">
        <v>360</v>
      </c>
      <c r="B512" t="s">
        <v>1627</v>
      </c>
    </row>
    <row r="513" spans="1:2">
      <c r="A513" t="s">
        <v>360</v>
      </c>
      <c r="B513" t="s">
        <v>1628</v>
      </c>
    </row>
    <row r="514" spans="1:2">
      <c r="A514" t="s">
        <v>360</v>
      </c>
      <c r="B514" t="s">
        <v>1629</v>
      </c>
    </row>
    <row r="515" spans="1:2">
      <c r="A515" t="s">
        <v>360</v>
      </c>
      <c r="B515" t="s">
        <v>1630</v>
      </c>
    </row>
    <row r="516" spans="1:2">
      <c r="A516" t="s">
        <v>360</v>
      </c>
      <c r="B516" t="s">
        <v>1631</v>
      </c>
    </row>
    <row r="517" spans="1:2">
      <c r="A517" t="s">
        <v>360</v>
      </c>
      <c r="B517" t="s">
        <v>1646</v>
      </c>
    </row>
    <row r="518" spans="1:2">
      <c r="A518" t="s">
        <v>321</v>
      </c>
      <c r="B518" t="s">
        <v>1627</v>
      </c>
    </row>
    <row r="519" spans="1:2">
      <c r="A519" t="s">
        <v>321</v>
      </c>
      <c r="B519" t="s">
        <v>1628</v>
      </c>
    </row>
    <row r="520" spans="1:2">
      <c r="A520" t="s">
        <v>321</v>
      </c>
      <c r="B520" t="s">
        <v>1629</v>
      </c>
    </row>
    <row r="521" spans="1:2">
      <c r="A521" t="s">
        <v>321</v>
      </c>
      <c r="B521" t="s">
        <v>1630</v>
      </c>
    </row>
    <row r="522" spans="1:2">
      <c r="A522" t="s">
        <v>321</v>
      </c>
      <c r="B522" t="s">
        <v>1631</v>
      </c>
    </row>
    <row r="523" spans="1:2">
      <c r="A523" t="s">
        <v>321</v>
      </c>
      <c r="B523" t="s">
        <v>1646</v>
      </c>
    </row>
    <row r="524" spans="1:2">
      <c r="A524" t="s">
        <v>321</v>
      </c>
      <c r="B524" t="s">
        <v>1647</v>
      </c>
    </row>
    <row r="525" spans="1:2">
      <c r="A525" t="s">
        <v>321</v>
      </c>
      <c r="B525" t="s">
        <v>1633</v>
      </c>
    </row>
    <row r="526" spans="1:2">
      <c r="A526" t="s">
        <v>321</v>
      </c>
      <c r="B526" t="s">
        <v>1634</v>
      </c>
    </row>
    <row r="527" spans="1:2">
      <c r="A527" t="s">
        <v>321</v>
      </c>
      <c r="B527" t="s">
        <v>1635</v>
      </c>
    </row>
    <row r="528" spans="1:2">
      <c r="A528" t="s">
        <v>321</v>
      </c>
      <c r="B528" t="s">
        <v>1636</v>
      </c>
    </row>
    <row r="529" spans="1:2">
      <c r="A529" t="s">
        <v>321</v>
      </c>
      <c r="B529" t="s">
        <v>1652</v>
      </c>
    </row>
    <row r="530" spans="1:2">
      <c r="A530" t="s">
        <v>321</v>
      </c>
      <c r="B530" t="s">
        <v>1653</v>
      </c>
    </row>
    <row r="531" spans="1:2">
      <c r="A531" t="s">
        <v>321</v>
      </c>
      <c r="B531" t="s">
        <v>1650</v>
      </c>
    </row>
    <row r="532" spans="1:2">
      <c r="A532" t="s">
        <v>321</v>
      </c>
      <c r="B532" t="s">
        <v>1640</v>
      </c>
    </row>
    <row r="533" spans="1:2">
      <c r="A533" t="s">
        <v>321</v>
      </c>
      <c r="B533" t="s">
        <v>1641</v>
      </c>
    </row>
    <row r="534" spans="1:2">
      <c r="A534" t="s">
        <v>321</v>
      </c>
      <c r="B534" t="s">
        <v>1642</v>
      </c>
    </row>
    <row r="535" spans="1:2">
      <c r="A535" t="s">
        <v>321</v>
      </c>
      <c r="B535" t="s">
        <v>1643</v>
      </c>
    </row>
    <row r="536" spans="1:2">
      <c r="A536" t="s">
        <v>321</v>
      </c>
      <c r="B536" t="s">
        <v>1644</v>
      </c>
    </row>
    <row r="537" spans="1:2">
      <c r="A537" t="s">
        <v>321</v>
      </c>
      <c r="B537" t="s">
        <v>1645</v>
      </c>
    </row>
    <row r="538" spans="1:2">
      <c r="A538" t="s">
        <v>321</v>
      </c>
      <c r="B538" t="s">
        <v>1654</v>
      </c>
    </row>
    <row r="539" spans="1:2">
      <c r="A539" t="s">
        <v>323</v>
      </c>
      <c r="B539" t="s">
        <v>1627</v>
      </c>
    </row>
    <row r="540" spans="1:2">
      <c r="A540" t="s">
        <v>323</v>
      </c>
      <c r="B540" t="s">
        <v>1628</v>
      </c>
    </row>
    <row r="541" spans="1:2">
      <c r="A541" t="s">
        <v>323</v>
      </c>
      <c r="B541" t="s">
        <v>1629</v>
      </c>
    </row>
    <row r="542" spans="1:2">
      <c r="A542" t="s">
        <v>323</v>
      </c>
      <c r="B542" t="s">
        <v>1630</v>
      </c>
    </row>
    <row r="543" spans="1:2">
      <c r="A543" t="s">
        <v>323</v>
      </c>
      <c r="B543" t="s">
        <v>1631</v>
      </c>
    </row>
    <row r="544" spans="1:2">
      <c r="A544" t="s">
        <v>323</v>
      </c>
      <c r="B544" t="s">
        <v>1646</v>
      </c>
    </row>
    <row r="545" spans="1:2">
      <c r="A545" t="s">
        <v>323</v>
      </c>
      <c r="B545" t="s">
        <v>1647</v>
      </c>
    </row>
    <row r="546" spans="1:2">
      <c r="A546" t="s">
        <v>323</v>
      </c>
      <c r="B546" t="s">
        <v>1633</v>
      </c>
    </row>
    <row r="547" spans="1:2">
      <c r="A547" t="s">
        <v>323</v>
      </c>
      <c r="B547" t="s">
        <v>1634</v>
      </c>
    </row>
    <row r="548" spans="1:2">
      <c r="A548" t="s">
        <v>323</v>
      </c>
      <c r="B548" t="s">
        <v>1635</v>
      </c>
    </row>
    <row r="549" spans="1:2">
      <c r="A549" t="s">
        <v>323</v>
      </c>
      <c r="B549" t="s">
        <v>1636</v>
      </c>
    </row>
    <row r="550" spans="1:2">
      <c r="A550" t="s">
        <v>323</v>
      </c>
      <c r="B550" t="s">
        <v>1652</v>
      </c>
    </row>
    <row r="551" spans="1:2">
      <c r="A551" t="s">
        <v>323</v>
      </c>
      <c r="B551" t="s">
        <v>1653</v>
      </c>
    </row>
    <row r="552" spans="1:2">
      <c r="A552" t="s">
        <v>323</v>
      </c>
      <c r="B552" t="s">
        <v>1650</v>
      </c>
    </row>
    <row r="553" spans="1:2">
      <c r="A553" t="s">
        <v>323</v>
      </c>
      <c r="B553" t="s">
        <v>1640</v>
      </c>
    </row>
    <row r="554" spans="1:2">
      <c r="A554" t="s">
        <v>323</v>
      </c>
      <c r="B554" t="s">
        <v>1641</v>
      </c>
    </row>
    <row r="555" spans="1:2">
      <c r="A555" t="s">
        <v>323</v>
      </c>
      <c r="B555" t="s">
        <v>1642</v>
      </c>
    </row>
    <row r="556" spans="1:2">
      <c r="A556" t="s">
        <v>323</v>
      </c>
      <c r="B556" t="s">
        <v>1643</v>
      </c>
    </row>
    <row r="557" spans="1:2">
      <c r="A557" t="s">
        <v>323</v>
      </c>
      <c r="B557" t="s">
        <v>1644</v>
      </c>
    </row>
    <row r="558" spans="1:2">
      <c r="A558" t="s">
        <v>323</v>
      </c>
      <c r="B558" t="s">
        <v>1645</v>
      </c>
    </row>
    <row r="559" spans="1:2">
      <c r="A559" t="s">
        <v>323</v>
      </c>
      <c r="B559" t="s">
        <v>1654</v>
      </c>
    </row>
    <row r="560" spans="1:2">
      <c r="A560" t="s">
        <v>324</v>
      </c>
      <c r="B560" t="s">
        <v>1627</v>
      </c>
    </row>
    <row r="561" spans="1:3">
      <c r="A561" t="s">
        <v>324</v>
      </c>
      <c r="B561" t="s">
        <v>1628</v>
      </c>
    </row>
    <row r="562" spans="1:3">
      <c r="A562" t="s">
        <v>324</v>
      </c>
      <c r="B562" t="s">
        <v>1629</v>
      </c>
    </row>
    <row r="563" spans="1:3">
      <c r="A563" t="s">
        <v>324</v>
      </c>
      <c r="B563" t="s">
        <v>1630</v>
      </c>
    </row>
    <row r="564" spans="1:3">
      <c r="A564" t="s">
        <v>324</v>
      </c>
      <c r="B564" t="s">
        <v>1631</v>
      </c>
    </row>
    <row r="565" spans="1:3">
      <c r="A565" t="s">
        <v>324</v>
      </c>
      <c r="B565" t="s">
        <v>1646</v>
      </c>
    </row>
    <row r="566" spans="1:3">
      <c r="A566" t="s">
        <v>324</v>
      </c>
      <c r="B566" t="s">
        <v>1647</v>
      </c>
    </row>
    <row r="567" spans="1:3">
      <c r="A567" t="s">
        <v>324</v>
      </c>
      <c r="B567" t="s">
        <v>1633</v>
      </c>
    </row>
    <row r="568" spans="1:3">
      <c r="A568" t="s">
        <v>324</v>
      </c>
      <c r="B568" t="s">
        <v>1634</v>
      </c>
      <c r="C568" t="s">
        <v>1659</v>
      </c>
    </row>
    <row r="569" spans="1:3">
      <c r="A569" t="s">
        <v>324</v>
      </c>
      <c r="B569" t="s">
        <v>1635</v>
      </c>
    </row>
    <row r="570" spans="1:3">
      <c r="A570" t="s">
        <v>324</v>
      </c>
      <c r="B570" t="s">
        <v>1636</v>
      </c>
    </row>
    <row r="571" spans="1:3">
      <c r="A571" t="s">
        <v>324</v>
      </c>
      <c r="B571" t="s">
        <v>1652</v>
      </c>
    </row>
    <row r="572" spans="1:3">
      <c r="A572" t="s">
        <v>324</v>
      </c>
      <c r="B572" t="s">
        <v>1653</v>
      </c>
    </row>
    <row r="573" spans="1:3">
      <c r="A573" t="s">
        <v>324</v>
      </c>
      <c r="B573" t="s">
        <v>1650</v>
      </c>
      <c r="C573" t="s">
        <v>1659</v>
      </c>
    </row>
    <row r="574" spans="1:3">
      <c r="A574" t="s">
        <v>324</v>
      </c>
      <c r="B574" t="s">
        <v>1640</v>
      </c>
    </row>
    <row r="575" spans="1:3">
      <c r="A575" t="s">
        <v>324</v>
      </c>
      <c r="B575" t="s">
        <v>1641</v>
      </c>
    </row>
    <row r="576" spans="1:3">
      <c r="A576" t="s">
        <v>324</v>
      </c>
      <c r="B576" t="s">
        <v>1642</v>
      </c>
    </row>
    <row r="577" spans="1:3">
      <c r="A577" t="s">
        <v>324</v>
      </c>
      <c r="B577" t="s">
        <v>1643</v>
      </c>
    </row>
    <row r="578" spans="1:3">
      <c r="A578" t="s">
        <v>324</v>
      </c>
      <c r="B578" t="s">
        <v>1644</v>
      </c>
    </row>
    <row r="579" spans="1:3">
      <c r="A579" t="s">
        <v>324</v>
      </c>
      <c r="B579" t="s">
        <v>1645</v>
      </c>
    </row>
    <row r="580" spans="1:3">
      <c r="A580" t="s">
        <v>324</v>
      </c>
      <c r="B580" t="s">
        <v>1654</v>
      </c>
    </row>
    <row r="581" spans="1:3">
      <c r="A581" t="s">
        <v>324</v>
      </c>
      <c r="B581" t="s">
        <v>1655</v>
      </c>
      <c r="C581" t="s">
        <v>1659</v>
      </c>
    </row>
    <row r="582" spans="1:3">
      <c r="A582" t="s">
        <v>325</v>
      </c>
      <c r="B582" t="s">
        <v>1627</v>
      </c>
    </row>
    <row r="583" spans="1:3">
      <c r="A583" t="s">
        <v>325</v>
      </c>
      <c r="B583" t="s">
        <v>1628</v>
      </c>
    </row>
    <row r="584" spans="1:3">
      <c r="A584" t="s">
        <v>325</v>
      </c>
      <c r="B584" t="s">
        <v>1629</v>
      </c>
    </row>
    <row r="585" spans="1:3">
      <c r="A585" t="s">
        <v>325</v>
      </c>
      <c r="B585" t="s">
        <v>1630</v>
      </c>
    </row>
    <row r="586" spans="1:3">
      <c r="A586" t="s">
        <v>325</v>
      </c>
      <c r="B586" t="s">
        <v>1631</v>
      </c>
    </row>
    <row r="587" spans="1:3">
      <c r="A587" t="s">
        <v>325</v>
      </c>
      <c r="B587" t="s">
        <v>1646</v>
      </c>
    </row>
    <row r="588" spans="1:3">
      <c r="A588" t="s">
        <v>325</v>
      </c>
      <c r="B588" t="s">
        <v>1647</v>
      </c>
    </row>
    <row r="589" spans="1:3">
      <c r="A589" t="s">
        <v>325</v>
      </c>
      <c r="B589" t="s">
        <v>1633</v>
      </c>
    </row>
    <row r="590" spans="1:3">
      <c r="A590" t="s">
        <v>325</v>
      </c>
      <c r="B590" t="s">
        <v>1634</v>
      </c>
    </row>
    <row r="591" spans="1:3">
      <c r="A591" t="s">
        <v>325</v>
      </c>
      <c r="B591" t="s">
        <v>1635</v>
      </c>
    </row>
    <row r="592" spans="1:3">
      <c r="A592" t="s">
        <v>325</v>
      </c>
      <c r="B592" t="s">
        <v>1636</v>
      </c>
    </row>
    <row r="593" spans="1:3">
      <c r="A593" t="s">
        <v>325</v>
      </c>
      <c r="B593" t="s">
        <v>1652</v>
      </c>
    </row>
    <row r="594" spans="1:3">
      <c r="A594" t="s">
        <v>325</v>
      </c>
      <c r="B594" t="s">
        <v>1653</v>
      </c>
    </row>
    <row r="595" spans="1:3">
      <c r="A595" t="s">
        <v>325</v>
      </c>
      <c r="B595" t="s">
        <v>1650</v>
      </c>
      <c r="C595" t="s">
        <v>1659</v>
      </c>
    </row>
    <row r="596" spans="1:3">
      <c r="A596" t="s">
        <v>325</v>
      </c>
      <c r="B596" t="s">
        <v>1640</v>
      </c>
    </row>
    <row r="597" spans="1:3">
      <c r="A597" t="s">
        <v>325</v>
      </c>
      <c r="B597" t="s">
        <v>1641</v>
      </c>
    </row>
    <row r="598" spans="1:3">
      <c r="A598" t="s">
        <v>325</v>
      </c>
      <c r="B598" t="s">
        <v>1642</v>
      </c>
    </row>
    <row r="599" spans="1:3">
      <c r="A599" t="s">
        <v>325</v>
      </c>
      <c r="B599" t="s">
        <v>1643</v>
      </c>
    </row>
    <row r="600" spans="1:3">
      <c r="A600" t="s">
        <v>325</v>
      </c>
      <c r="B600" t="s">
        <v>1644</v>
      </c>
    </row>
    <row r="601" spans="1:3">
      <c r="A601" t="s">
        <v>325</v>
      </c>
      <c r="B601" t="s">
        <v>1645</v>
      </c>
    </row>
    <row r="602" spans="1:3">
      <c r="A602" t="s">
        <v>325</v>
      </c>
      <c r="B602" t="s">
        <v>1654</v>
      </c>
      <c r="C602" t="s">
        <v>1659</v>
      </c>
    </row>
    <row r="603" spans="1:3">
      <c r="A603" t="s">
        <v>325</v>
      </c>
      <c r="B603" t="s">
        <v>1655</v>
      </c>
      <c r="C603" t="s">
        <v>1659</v>
      </c>
    </row>
    <row r="604" spans="1:3">
      <c r="A604" t="s">
        <v>326</v>
      </c>
      <c r="B604" t="s">
        <v>1627</v>
      </c>
    </row>
    <row r="605" spans="1:3">
      <c r="A605" t="s">
        <v>326</v>
      </c>
      <c r="B605" t="s">
        <v>1628</v>
      </c>
    </row>
    <row r="606" spans="1:3">
      <c r="A606" t="s">
        <v>326</v>
      </c>
      <c r="B606" t="s">
        <v>1629</v>
      </c>
    </row>
    <row r="607" spans="1:3">
      <c r="A607" t="s">
        <v>326</v>
      </c>
      <c r="B607" t="s">
        <v>1630</v>
      </c>
    </row>
    <row r="608" spans="1:3">
      <c r="A608" t="s">
        <v>326</v>
      </c>
      <c r="B608" t="s">
        <v>1631</v>
      </c>
    </row>
    <row r="609" spans="1:2">
      <c r="A609" t="s">
        <v>326</v>
      </c>
      <c r="B609" t="s">
        <v>1646</v>
      </c>
    </row>
    <row r="610" spans="1:2">
      <c r="A610" t="s">
        <v>326</v>
      </c>
      <c r="B610" t="s">
        <v>1647</v>
      </c>
    </row>
    <row r="611" spans="1:2">
      <c r="A611" t="s">
        <v>326</v>
      </c>
      <c r="B611" t="s">
        <v>1648</v>
      </c>
    </row>
    <row r="612" spans="1:2">
      <c r="A612" t="s">
        <v>326</v>
      </c>
      <c r="B612" t="s">
        <v>1633</v>
      </c>
    </row>
    <row r="613" spans="1:2">
      <c r="A613" t="s">
        <v>326</v>
      </c>
      <c r="B613" t="s">
        <v>1634</v>
      </c>
    </row>
    <row r="614" spans="1:2">
      <c r="A614" t="s">
        <v>326</v>
      </c>
      <c r="B614" t="s">
        <v>1635</v>
      </c>
    </row>
    <row r="615" spans="1:2">
      <c r="A615" t="s">
        <v>326</v>
      </c>
      <c r="B615" t="s">
        <v>1636</v>
      </c>
    </row>
    <row r="616" spans="1:2">
      <c r="A616" t="s">
        <v>326</v>
      </c>
      <c r="B616" t="s">
        <v>1652</v>
      </c>
    </row>
    <row r="617" spans="1:2">
      <c r="A617" t="s">
        <v>326</v>
      </c>
      <c r="B617" t="s">
        <v>1653</v>
      </c>
    </row>
    <row r="618" spans="1:2">
      <c r="A618" t="s">
        <v>326</v>
      </c>
      <c r="B618" t="s">
        <v>1650</v>
      </c>
    </row>
    <row r="619" spans="1:2">
      <c r="A619" t="s">
        <v>326</v>
      </c>
      <c r="B619" t="s">
        <v>1637</v>
      </c>
    </row>
    <row r="620" spans="1:2">
      <c r="A620" t="s">
        <v>326</v>
      </c>
      <c r="B620" t="s">
        <v>1640</v>
      </c>
    </row>
    <row r="621" spans="1:2">
      <c r="A621" t="s">
        <v>326</v>
      </c>
      <c r="B621" t="s">
        <v>1641</v>
      </c>
    </row>
    <row r="622" spans="1:2">
      <c r="A622" t="s">
        <v>326</v>
      </c>
      <c r="B622" t="s">
        <v>1642</v>
      </c>
    </row>
    <row r="623" spans="1:2">
      <c r="A623" t="s">
        <v>326</v>
      </c>
      <c r="B623" t="s">
        <v>1643</v>
      </c>
    </row>
    <row r="624" spans="1:2">
      <c r="A624" t="s">
        <v>326</v>
      </c>
      <c r="B624" t="s">
        <v>1644</v>
      </c>
    </row>
    <row r="625" spans="1:2">
      <c r="A625" t="s">
        <v>326</v>
      </c>
      <c r="B625" t="s">
        <v>1645</v>
      </c>
    </row>
    <row r="626" spans="1:2">
      <c r="A626" t="s">
        <v>326</v>
      </c>
      <c r="B626" t="s">
        <v>1654</v>
      </c>
    </row>
    <row r="627" spans="1:2">
      <c r="A627" t="s">
        <v>326</v>
      </c>
      <c r="B627" t="s">
        <v>1655</v>
      </c>
    </row>
    <row r="628" spans="1:2">
      <c r="A628" t="s">
        <v>326</v>
      </c>
      <c r="B628" t="s">
        <v>1656</v>
      </c>
    </row>
    <row r="629" spans="1:2">
      <c r="A629" t="s">
        <v>327</v>
      </c>
      <c r="B629" t="s">
        <v>1627</v>
      </c>
    </row>
    <row r="630" spans="1:2">
      <c r="A630" t="s">
        <v>327</v>
      </c>
      <c r="B630" t="s">
        <v>1628</v>
      </c>
    </row>
    <row r="631" spans="1:2">
      <c r="A631" t="s">
        <v>327</v>
      </c>
      <c r="B631" t="s">
        <v>1629</v>
      </c>
    </row>
    <row r="632" spans="1:2">
      <c r="A632" t="s">
        <v>327</v>
      </c>
      <c r="B632" t="s">
        <v>1630</v>
      </c>
    </row>
    <row r="633" spans="1:2">
      <c r="A633" t="s">
        <v>327</v>
      </c>
      <c r="B633" t="s">
        <v>1631</v>
      </c>
    </row>
    <row r="634" spans="1:2">
      <c r="A634" t="s">
        <v>327</v>
      </c>
      <c r="B634" t="s">
        <v>1646</v>
      </c>
    </row>
    <row r="635" spans="1:2">
      <c r="A635" t="s">
        <v>327</v>
      </c>
      <c r="B635" t="s">
        <v>1647</v>
      </c>
    </row>
    <row r="636" spans="1:2">
      <c r="A636" t="s">
        <v>327</v>
      </c>
      <c r="B636" t="s">
        <v>1648</v>
      </c>
    </row>
    <row r="637" spans="1:2">
      <c r="A637" t="s">
        <v>327</v>
      </c>
      <c r="B637" t="s">
        <v>1649</v>
      </c>
    </row>
    <row r="638" spans="1:2">
      <c r="A638" t="s">
        <v>327</v>
      </c>
      <c r="B638" t="s">
        <v>1632</v>
      </c>
    </row>
    <row r="639" spans="1:2">
      <c r="A639" t="s">
        <v>327</v>
      </c>
      <c r="B639" t="s">
        <v>1633</v>
      </c>
    </row>
    <row r="640" spans="1:2">
      <c r="A640" t="s">
        <v>327</v>
      </c>
      <c r="B640" t="s">
        <v>1634</v>
      </c>
    </row>
    <row r="641" spans="1:2">
      <c r="A641" t="s">
        <v>327</v>
      </c>
      <c r="B641" t="s">
        <v>1635</v>
      </c>
    </row>
    <row r="642" spans="1:2">
      <c r="A642" t="s">
        <v>327</v>
      </c>
      <c r="B642" t="s">
        <v>1636</v>
      </c>
    </row>
    <row r="643" spans="1:2">
      <c r="A643" t="s">
        <v>327</v>
      </c>
      <c r="B643" t="s">
        <v>1652</v>
      </c>
    </row>
    <row r="644" spans="1:2">
      <c r="A644" t="s">
        <v>327</v>
      </c>
      <c r="B644" t="s">
        <v>1653</v>
      </c>
    </row>
    <row r="645" spans="1:2">
      <c r="A645" t="s">
        <v>327</v>
      </c>
      <c r="B645" t="s">
        <v>1650</v>
      </c>
    </row>
    <row r="646" spans="1:2">
      <c r="A646" t="s">
        <v>327</v>
      </c>
      <c r="B646" t="s">
        <v>1637</v>
      </c>
    </row>
    <row r="647" spans="1:2">
      <c r="A647" t="s">
        <v>327</v>
      </c>
      <c r="B647" t="s">
        <v>1640</v>
      </c>
    </row>
    <row r="648" spans="1:2">
      <c r="A648" t="s">
        <v>327</v>
      </c>
      <c r="B648" t="s">
        <v>1641</v>
      </c>
    </row>
    <row r="649" spans="1:2">
      <c r="A649" t="s">
        <v>327</v>
      </c>
      <c r="B649" t="s">
        <v>1642</v>
      </c>
    </row>
    <row r="650" spans="1:2">
      <c r="A650" t="s">
        <v>327</v>
      </c>
      <c r="B650" t="s">
        <v>1643</v>
      </c>
    </row>
    <row r="651" spans="1:2">
      <c r="A651" t="s">
        <v>327</v>
      </c>
      <c r="B651" t="s">
        <v>1644</v>
      </c>
    </row>
    <row r="652" spans="1:2">
      <c r="A652" t="s">
        <v>327</v>
      </c>
      <c r="B652" t="s">
        <v>1645</v>
      </c>
    </row>
    <row r="653" spans="1:2">
      <c r="A653" t="s">
        <v>327</v>
      </c>
      <c r="B653" t="s">
        <v>1654</v>
      </c>
    </row>
    <row r="654" spans="1:2">
      <c r="A654" t="s">
        <v>362</v>
      </c>
      <c r="B654" t="s">
        <v>1627</v>
      </c>
    </row>
    <row r="655" spans="1:2">
      <c r="A655" t="s">
        <v>362</v>
      </c>
      <c r="B655" t="s">
        <v>1628</v>
      </c>
    </row>
    <row r="656" spans="1:2">
      <c r="A656" t="s">
        <v>362</v>
      </c>
      <c r="B656" t="s">
        <v>1629</v>
      </c>
    </row>
    <row r="657" spans="1:3">
      <c r="A657" t="s">
        <v>362</v>
      </c>
      <c r="B657" t="s">
        <v>1630</v>
      </c>
    </row>
    <row r="658" spans="1:3">
      <c r="A658" t="s">
        <v>362</v>
      </c>
      <c r="B658" t="s">
        <v>1631</v>
      </c>
    </row>
    <row r="659" spans="1:3">
      <c r="A659" t="s">
        <v>362</v>
      </c>
      <c r="B659" t="s">
        <v>1646</v>
      </c>
    </row>
    <row r="660" spans="1:3">
      <c r="A660" t="s">
        <v>364</v>
      </c>
      <c r="B660" t="s">
        <v>1627</v>
      </c>
    </row>
    <row r="661" spans="1:3">
      <c r="A661" t="s">
        <v>364</v>
      </c>
      <c r="B661" t="s">
        <v>1628</v>
      </c>
    </row>
    <row r="662" spans="1:3">
      <c r="A662" t="s">
        <v>364</v>
      </c>
      <c r="B662" t="s">
        <v>1629</v>
      </c>
    </row>
    <row r="663" spans="1:3">
      <c r="A663" t="s">
        <v>364</v>
      </c>
      <c r="B663" t="s">
        <v>1630</v>
      </c>
    </row>
    <row r="664" spans="1:3">
      <c r="A664" t="s">
        <v>364</v>
      </c>
      <c r="B664" t="s">
        <v>1631</v>
      </c>
    </row>
    <row r="665" spans="1:3">
      <c r="A665" t="s">
        <v>364</v>
      </c>
      <c r="B665" t="s">
        <v>1646</v>
      </c>
    </row>
    <row r="666" spans="1:3">
      <c r="A666" t="s">
        <v>364</v>
      </c>
      <c r="B666" t="s">
        <v>1647</v>
      </c>
    </row>
    <row r="667" spans="1:3">
      <c r="A667" t="s">
        <v>364</v>
      </c>
      <c r="B667" t="s">
        <v>1648</v>
      </c>
    </row>
    <row r="668" spans="1:3">
      <c r="A668" t="s">
        <v>364</v>
      </c>
      <c r="B668" t="s">
        <v>1648</v>
      </c>
      <c r="C668" t="s">
        <v>1651</v>
      </c>
    </row>
    <row r="669" spans="1:3">
      <c r="A669" t="s">
        <v>364</v>
      </c>
      <c r="B669" t="s">
        <v>1649</v>
      </c>
      <c r="C669" t="s">
        <v>1651</v>
      </c>
    </row>
    <row r="670" spans="1:3">
      <c r="A670" t="s">
        <v>364</v>
      </c>
      <c r="B670" t="s">
        <v>1633</v>
      </c>
      <c r="C670" t="s">
        <v>1651</v>
      </c>
    </row>
    <row r="671" spans="1:3">
      <c r="A671" t="s">
        <v>364</v>
      </c>
      <c r="B671" t="s">
        <v>1634</v>
      </c>
      <c r="C671" t="s">
        <v>1651</v>
      </c>
    </row>
    <row r="672" spans="1:3">
      <c r="A672" t="s">
        <v>368</v>
      </c>
      <c r="B672" t="s">
        <v>1627</v>
      </c>
    </row>
    <row r="673" spans="1:2">
      <c r="A673" t="s">
        <v>368</v>
      </c>
      <c r="B673" t="s">
        <v>1628</v>
      </c>
    </row>
    <row r="674" spans="1:2">
      <c r="A674" t="s">
        <v>368</v>
      </c>
      <c r="B674" t="s">
        <v>1629</v>
      </c>
    </row>
    <row r="675" spans="1:2">
      <c r="A675" t="s">
        <v>368</v>
      </c>
      <c r="B675" t="s">
        <v>1630</v>
      </c>
    </row>
    <row r="676" spans="1:2">
      <c r="A676" t="s">
        <v>368</v>
      </c>
      <c r="B676" t="s">
        <v>1631</v>
      </c>
    </row>
    <row r="677" spans="1:2">
      <c r="A677" t="s">
        <v>368</v>
      </c>
      <c r="B677" t="s">
        <v>1646</v>
      </c>
    </row>
    <row r="678" spans="1:2">
      <c r="A678" t="s">
        <v>329</v>
      </c>
      <c r="B678" t="s">
        <v>1627</v>
      </c>
    </row>
    <row r="679" spans="1:2">
      <c r="A679" t="s">
        <v>329</v>
      </c>
      <c r="B679" t="s">
        <v>1628</v>
      </c>
    </row>
    <row r="680" spans="1:2">
      <c r="A680" t="s">
        <v>329</v>
      </c>
      <c r="B680" t="s">
        <v>1629</v>
      </c>
    </row>
    <row r="681" spans="1:2">
      <c r="A681" t="s">
        <v>329</v>
      </c>
      <c r="B681" t="s">
        <v>1630</v>
      </c>
    </row>
    <row r="682" spans="1:2">
      <c r="A682" t="s">
        <v>329</v>
      </c>
      <c r="B682" t="s">
        <v>1631</v>
      </c>
    </row>
    <row r="683" spans="1:2">
      <c r="A683" t="s">
        <v>329</v>
      </c>
      <c r="B683" t="s">
        <v>1646</v>
      </c>
    </row>
    <row r="684" spans="1:2">
      <c r="A684" t="s">
        <v>329</v>
      </c>
      <c r="B684" t="s">
        <v>1647</v>
      </c>
    </row>
    <row r="685" spans="1:2">
      <c r="A685" t="s">
        <v>329</v>
      </c>
      <c r="B685" t="s">
        <v>1648</v>
      </c>
    </row>
    <row r="686" spans="1:2">
      <c r="A686" t="s">
        <v>329</v>
      </c>
      <c r="B686" t="s">
        <v>1649</v>
      </c>
    </row>
    <row r="687" spans="1:2">
      <c r="A687" t="s">
        <v>329</v>
      </c>
      <c r="B687" t="s">
        <v>1632</v>
      </c>
    </row>
    <row r="688" spans="1:2">
      <c r="A688" t="s">
        <v>329</v>
      </c>
      <c r="B688" t="s">
        <v>1633</v>
      </c>
    </row>
    <row r="689" spans="1:2">
      <c r="A689" t="s">
        <v>329</v>
      </c>
      <c r="B689" t="s">
        <v>1634</v>
      </c>
    </row>
    <row r="690" spans="1:2">
      <c r="A690" t="s">
        <v>329</v>
      </c>
      <c r="B690" t="s">
        <v>1635</v>
      </c>
    </row>
    <row r="691" spans="1:2">
      <c r="A691" t="s">
        <v>329</v>
      </c>
      <c r="B691" t="s">
        <v>1636</v>
      </c>
    </row>
    <row r="692" spans="1:2">
      <c r="A692" t="s">
        <v>329</v>
      </c>
      <c r="B692" t="s">
        <v>1652</v>
      </c>
    </row>
    <row r="693" spans="1:2">
      <c r="A693" t="s">
        <v>329</v>
      </c>
      <c r="B693" t="s">
        <v>1653</v>
      </c>
    </row>
    <row r="694" spans="1:2">
      <c r="A694" t="s">
        <v>329</v>
      </c>
      <c r="B694" t="s">
        <v>1650</v>
      </c>
    </row>
    <row r="695" spans="1:2">
      <c r="A695" t="s">
        <v>329</v>
      </c>
      <c r="B695" t="s">
        <v>1637</v>
      </c>
    </row>
    <row r="696" spans="1:2">
      <c r="A696" t="s">
        <v>329</v>
      </c>
      <c r="B696" t="s">
        <v>1638</v>
      </c>
    </row>
    <row r="697" spans="1:2">
      <c r="A697" t="s">
        <v>329</v>
      </c>
      <c r="B697" t="s">
        <v>1639</v>
      </c>
    </row>
    <row r="698" spans="1:2">
      <c r="A698" t="s">
        <v>329</v>
      </c>
      <c r="B698" t="s">
        <v>1640</v>
      </c>
    </row>
    <row r="699" spans="1:2">
      <c r="A699" t="s">
        <v>329</v>
      </c>
      <c r="B699" t="s">
        <v>1641</v>
      </c>
    </row>
    <row r="700" spans="1:2">
      <c r="A700" t="s">
        <v>329</v>
      </c>
      <c r="B700" t="s">
        <v>1642</v>
      </c>
    </row>
    <row r="701" spans="1:2">
      <c r="A701" t="s">
        <v>329</v>
      </c>
      <c r="B701" t="s">
        <v>1643</v>
      </c>
    </row>
    <row r="702" spans="1:2">
      <c r="A702" t="s">
        <v>329</v>
      </c>
      <c r="B702" t="s">
        <v>1644</v>
      </c>
    </row>
    <row r="703" spans="1:2">
      <c r="A703" t="s">
        <v>329</v>
      </c>
      <c r="B703" t="s">
        <v>1645</v>
      </c>
    </row>
    <row r="704" spans="1:2">
      <c r="A704" t="s">
        <v>332</v>
      </c>
      <c r="B704" t="s">
        <v>1627</v>
      </c>
    </row>
    <row r="705" spans="1:2">
      <c r="A705" t="s">
        <v>332</v>
      </c>
      <c r="B705" t="s">
        <v>1628</v>
      </c>
    </row>
    <row r="706" spans="1:2">
      <c r="A706" t="s">
        <v>332</v>
      </c>
      <c r="B706" t="s">
        <v>1629</v>
      </c>
    </row>
    <row r="707" spans="1:2">
      <c r="A707" t="s">
        <v>332</v>
      </c>
      <c r="B707" t="s">
        <v>1630</v>
      </c>
    </row>
    <row r="708" spans="1:2">
      <c r="A708" t="s">
        <v>332</v>
      </c>
      <c r="B708" t="s">
        <v>1631</v>
      </c>
    </row>
    <row r="709" spans="1:2">
      <c r="A709" t="s">
        <v>332</v>
      </c>
      <c r="B709" t="s">
        <v>1646</v>
      </c>
    </row>
    <row r="710" spans="1:2">
      <c r="A710" t="s">
        <v>332</v>
      </c>
      <c r="B710" t="s">
        <v>1647</v>
      </c>
    </row>
    <row r="711" spans="1:2">
      <c r="A711" t="s">
        <v>332</v>
      </c>
      <c r="B711" t="s">
        <v>1648</v>
      </c>
    </row>
    <row r="712" spans="1:2">
      <c r="A712" t="s">
        <v>332</v>
      </c>
      <c r="B712" t="s">
        <v>1649</v>
      </c>
    </row>
    <row r="713" spans="1:2">
      <c r="A713" t="s">
        <v>332</v>
      </c>
      <c r="B713" t="s">
        <v>1632</v>
      </c>
    </row>
    <row r="714" spans="1:2">
      <c r="A714" t="s">
        <v>332</v>
      </c>
      <c r="B714" t="s">
        <v>1633</v>
      </c>
    </row>
    <row r="715" spans="1:2">
      <c r="A715" t="s">
        <v>332</v>
      </c>
      <c r="B715" t="s">
        <v>1634</v>
      </c>
    </row>
    <row r="716" spans="1:2">
      <c r="A716" t="s">
        <v>332</v>
      </c>
      <c r="B716" t="s">
        <v>1635</v>
      </c>
    </row>
    <row r="717" spans="1:2">
      <c r="A717" t="s">
        <v>332</v>
      </c>
      <c r="B717" t="s">
        <v>1636</v>
      </c>
    </row>
    <row r="718" spans="1:2">
      <c r="A718" t="s">
        <v>332</v>
      </c>
      <c r="B718" t="s">
        <v>1652</v>
      </c>
    </row>
    <row r="719" spans="1:2">
      <c r="A719" t="s">
        <v>332</v>
      </c>
      <c r="B719" t="s">
        <v>1653</v>
      </c>
    </row>
    <row r="720" spans="1:2">
      <c r="A720" t="s">
        <v>332</v>
      </c>
      <c r="B720" t="s">
        <v>1650</v>
      </c>
    </row>
    <row r="721" spans="1:2">
      <c r="A721" t="s">
        <v>332</v>
      </c>
      <c r="B721" t="s">
        <v>1637</v>
      </c>
    </row>
    <row r="722" spans="1:2">
      <c r="A722" t="s">
        <v>332</v>
      </c>
      <c r="B722" t="s">
        <v>1638</v>
      </c>
    </row>
    <row r="723" spans="1:2">
      <c r="A723" t="s">
        <v>332</v>
      </c>
      <c r="B723" t="s">
        <v>1639</v>
      </c>
    </row>
    <row r="724" spans="1:2">
      <c r="A724" t="s">
        <v>332</v>
      </c>
      <c r="B724" t="s">
        <v>1640</v>
      </c>
    </row>
    <row r="725" spans="1:2">
      <c r="A725" t="s">
        <v>332</v>
      </c>
      <c r="B725" t="s">
        <v>1641</v>
      </c>
    </row>
    <row r="726" spans="1:2">
      <c r="A726" t="s">
        <v>332</v>
      </c>
      <c r="B726" t="s">
        <v>1642</v>
      </c>
    </row>
    <row r="727" spans="1:2">
      <c r="A727" t="s">
        <v>332</v>
      </c>
      <c r="B727" t="s">
        <v>1643</v>
      </c>
    </row>
    <row r="728" spans="1:2">
      <c r="A728" t="s">
        <v>332</v>
      </c>
      <c r="B728" t="s">
        <v>1644</v>
      </c>
    </row>
    <row r="729" spans="1:2">
      <c r="A729" t="s">
        <v>332</v>
      </c>
      <c r="B729" t="s">
        <v>1645</v>
      </c>
    </row>
    <row r="730" spans="1:2">
      <c r="A730" t="s">
        <v>334</v>
      </c>
      <c r="B730" t="s">
        <v>1627</v>
      </c>
    </row>
    <row r="731" spans="1:2">
      <c r="A731" t="s">
        <v>334</v>
      </c>
      <c r="B731" t="s">
        <v>1628</v>
      </c>
    </row>
    <row r="732" spans="1:2">
      <c r="A732" t="s">
        <v>334</v>
      </c>
      <c r="B732" t="s">
        <v>1629</v>
      </c>
    </row>
    <row r="733" spans="1:2">
      <c r="A733" t="s">
        <v>334</v>
      </c>
      <c r="B733" t="s">
        <v>1630</v>
      </c>
    </row>
    <row r="734" spans="1:2">
      <c r="A734" t="s">
        <v>334</v>
      </c>
      <c r="B734" t="s">
        <v>1631</v>
      </c>
    </row>
    <row r="735" spans="1:2">
      <c r="A735" t="s">
        <v>334</v>
      </c>
      <c r="B735" t="s">
        <v>1646</v>
      </c>
    </row>
    <row r="736" spans="1:2">
      <c r="A736" t="s">
        <v>334</v>
      </c>
      <c r="B736" t="s">
        <v>1648</v>
      </c>
    </row>
    <row r="737" spans="1:2">
      <c r="A737" t="s">
        <v>334</v>
      </c>
      <c r="B737" t="s">
        <v>1649</v>
      </c>
    </row>
    <row r="738" spans="1:2">
      <c r="A738" t="s">
        <v>334</v>
      </c>
      <c r="B738" t="s">
        <v>1632</v>
      </c>
    </row>
    <row r="739" spans="1:2">
      <c r="A739" t="s">
        <v>334</v>
      </c>
      <c r="B739" t="s">
        <v>1633</v>
      </c>
    </row>
    <row r="740" spans="1:2">
      <c r="A740" t="s">
        <v>334</v>
      </c>
      <c r="B740" t="s">
        <v>1634</v>
      </c>
    </row>
    <row r="741" spans="1:2">
      <c r="A741" t="s">
        <v>334</v>
      </c>
      <c r="B741" t="s">
        <v>1635</v>
      </c>
    </row>
    <row r="742" spans="1:2">
      <c r="A742" t="s">
        <v>335</v>
      </c>
      <c r="B742" t="s">
        <v>1627</v>
      </c>
    </row>
    <row r="743" spans="1:2">
      <c r="A743" t="s">
        <v>335</v>
      </c>
      <c r="B743" t="s">
        <v>1628</v>
      </c>
    </row>
    <row r="744" spans="1:2">
      <c r="A744" t="s">
        <v>335</v>
      </c>
      <c r="B744" t="s">
        <v>1629</v>
      </c>
    </row>
    <row r="745" spans="1:2">
      <c r="A745" t="s">
        <v>335</v>
      </c>
      <c r="B745" t="s">
        <v>1630</v>
      </c>
    </row>
    <row r="746" spans="1:2">
      <c r="A746" t="s">
        <v>335</v>
      </c>
      <c r="B746" t="s">
        <v>1631</v>
      </c>
    </row>
    <row r="747" spans="1:2">
      <c r="A747" t="s">
        <v>335</v>
      </c>
      <c r="B747" t="s">
        <v>1646</v>
      </c>
    </row>
    <row r="748" spans="1:2">
      <c r="A748" t="s">
        <v>335</v>
      </c>
      <c r="B748" t="s">
        <v>1648</v>
      </c>
    </row>
    <row r="749" spans="1:2">
      <c r="A749" t="s">
        <v>335</v>
      </c>
      <c r="B749" t="s">
        <v>1649</v>
      </c>
    </row>
    <row r="750" spans="1:2">
      <c r="A750" t="s">
        <v>335</v>
      </c>
      <c r="B750" t="s">
        <v>1632</v>
      </c>
    </row>
    <row r="751" spans="1:2">
      <c r="A751" t="s">
        <v>335</v>
      </c>
      <c r="B751" t="s">
        <v>1633</v>
      </c>
    </row>
    <row r="752" spans="1:2">
      <c r="A752" t="s">
        <v>335</v>
      </c>
      <c r="B752" t="s">
        <v>1634</v>
      </c>
    </row>
    <row r="753" spans="1:2">
      <c r="A753" t="s">
        <v>335</v>
      </c>
      <c r="B753" t="s">
        <v>1635</v>
      </c>
    </row>
    <row r="754" spans="1:2">
      <c r="A754" t="s">
        <v>370</v>
      </c>
      <c r="B754" t="s">
        <v>1627</v>
      </c>
    </row>
    <row r="755" spans="1:2">
      <c r="A755" t="s">
        <v>370</v>
      </c>
      <c r="B755" t="s">
        <v>1628</v>
      </c>
    </row>
    <row r="756" spans="1:2">
      <c r="A756" t="s">
        <v>370</v>
      </c>
      <c r="B756" t="s">
        <v>1629</v>
      </c>
    </row>
    <row r="757" spans="1:2">
      <c r="A757" t="s">
        <v>370</v>
      </c>
      <c r="B757" t="s">
        <v>1630</v>
      </c>
    </row>
    <row r="758" spans="1:2">
      <c r="A758" t="s">
        <v>370</v>
      </c>
      <c r="B758" t="s">
        <v>1631</v>
      </c>
    </row>
    <row r="759" spans="1:2">
      <c r="A759" t="s">
        <v>370</v>
      </c>
      <c r="B759" t="s">
        <v>1646</v>
      </c>
    </row>
    <row r="760" spans="1:2">
      <c r="A760" t="s">
        <v>337</v>
      </c>
      <c r="B760" t="s">
        <v>1627</v>
      </c>
    </row>
    <row r="761" spans="1:2">
      <c r="A761" t="s">
        <v>337</v>
      </c>
      <c r="B761" t="s">
        <v>1628</v>
      </c>
    </row>
    <row r="762" spans="1:2">
      <c r="A762" t="s">
        <v>337</v>
      </c>
      <c r="B762" t="s">
        <v>1629</v>
      </c>
    </row>
    <row r="763" spans="1:2">
      <c r="A763" t="s">
        <v>337</v>
      </c>
      <c r="B763" t="s">
        <v>1630</v>
      </c>
    </row>
    <row r="764" spans="1:2">
      <c r="A764" t="s">
        <v>337</v>
      </c>
      <c r="B764" t="s">
        <v>1631</v>
      </c>
    </row>
    <row r="765" spans="1:2">
      <c r="A765" t="s">
        <v>337</v>
      </c>
      <c r="B765" t="s">
        <v>1646</v>
      </c>
    </row>
    <row r="766" spans="1:2">
      <c r="A766" t="s">
        <v>337</v>
      </c>
      <c r="B766" t="s">
        <v>1648</v>
      </c>
    </row>
    <row r="767" spans="1:2">
      <c r="A767" t="s">
        <v>337</v>
      </c>
      <c r="B767" t="s">
        <v>1649</v>
      </c>
    </row>
    <row r="768" spans="1:2">
      <c r="A768" t="s">
        <v>337</v>
      </c>
      <c r="B768" t="s">
        <v>1632</v>
      </c>
    </row>
    <row r="769" spans="1:2">
      <c r="A769" t="s">
        <v>337</v>
      </c>
      <c r="B769" t="s">
        <v>1633</v>
      </c>
    </row>
    <row r="770" spans="1:2">
      <c r="A770" t="s">
        <v>337</v>
      </c>
      <c r="B770" t="s">
        <v>1634</v>
      </c>
    </row>
    <row r="771" spans="1:2">
      <c r="A771" t="s">
        <v>337</v>
      </c>
      <c r="B771" t="s">
        <v>1635</v>
      </c>
    </row>
    <row r="772" spans="1:2">
      <c r="A772" t="s">
        <v>338</v>
      </c>
      <c r="B772" t="s">
        <v>1627</v>
      </c>
    </row>
    <row r="773" spans="1:2">
      <c r="A773" t="s">
        <v>338</v>
      </c>
      <c r="B773" t="s">
        <v>1628</v>
      </c>
    </row>
    <row r="774" spans="1:2">
      <c r="A774" t="s">
        <v>338</v>
      </c>
      <c r="B774" t="s">
        <v>1629</v>
      </c>
    </row>
    <row r="775" spans="1:2">
      <c r="A775" t="s">
        <v>338</v>
      </c>
      <c r="B775" t="s">
        <v>1630</v>
      </c>
    </row>
    <row r="776" spans="1:2">
      <c r="A776" t="s">
        <v>338</v>
      </c>
      <c r="B776" t="s">
        <v>1631</v>
      </c>
    </row>
    <row r="777" spans="1:2">
      <c r="A777" t="s">
        <v>338</v>
      </c>
      <c r="B777" t="s">
        <v>1646</v>
      </c>
    </row>
    <row r="778" spans="1:2">
      <c r="A778" t="s">
        <v>338</v>
      </c>
      <c r="B778" t="s">
        <v>1648</v>
      </c>
    </row>
    <row r="779" spans="1:2">
      <c r="A779" t="s">
        <v>338</v>
      </c>
      <c r="B779" t="s">
        <v>1649</v>
      </c>
    </row>
    <row r="780" spans="1:2">
      <c r="A780" t="s">
        <v>338</v>
      </c>
      <c r="B780" t="s">
        <v>1632</v>
      </c>
    </row>
    <row r="781" spans="1:2">
      <c r="A781" t="s">
        <v>338</v>
      </c>
      <c r="B781" t="s">
        <v>1633</v>
      </c>
    </row>
    <row r="782" spans="1:2">
      <c r="A782" t="s">
        <v>338</v>
      </c>
      <c r="B782" t="s">
        <v>1634</v>
      </c>
    </row>
    <row r="783" spans="1:2">
      <c r="A783" t="s">
        <v>338</v>
      </c>
      <c r="B783" t="s">
        <v>1635</v>
      </c>
    </row>
    <row r="784" spans="1:2">
      <c r="A784" t="s">
        <v>340</v>
      </c>
      <c r="B784" t="s">
        <v>1627</v>
      </c>
    </row>
    <row r="785" spans="1:2">
      <c r="A785" t="s">
        <v>340</v>
      </c>
      <c r="B785" t="s">
        <v>1628</v>
      </c>
    </row>
    <row r="786" spans="1:2">
      <c r="A786" t="s">
        <v>340</v>
      </c>
      <c r="B786" t="s">
        <v>1629</v>
      </c>
    </row>
    <row r="787" spans="1:2">
      <c r="A787" t="s">
        <v>340</v>
      </c>
      <c r="B787" t="s">
        <v>1630</v>
      </c>
    </row>
    <row r="788" spans="1:2">
      <c r="A788" t="s">
        <v>340</v>
      </c>
      <c r="B788" t="s">
        <v>1631</v>
      </c>
    </row>
    <row r="789" spans="1:2">
      <c r="A789" t="s">
        <v>340</v>
      </c>
      <c r="B789" t="s">
        <v>1646</v>
      </c>
    </row>
    <row r="790" spans="1:2">
      <c r="A790" t="s">
        <v>340</v>
      </c>
      <c r="B790" t="s">
        <v>1648</v>
      </c>
    </row>
    <row r="791" spans="1:2">
      <c r="A791" t="s">
        <v>340</v>
      </c>
      <c r="B791" t="s">
        <v>1649</v>
      </c>
    </row>
    <row r="792" spans="1:2">
      <c r="A792" t="s">
        <v>340</v>
      </c>
      <c r="B792" t="s">
        <v>1632</v>
      </c>
    </row>
    <row r="793" spans="1:2">
      <c r="A793" t="s">
        <v>340</v>
      </c>
      <c r="B793" t="s">
        <v>1633</v>
      </c>
    </row>
    <row r="794" spans="1:2">
      <c r="A794" t="s">
        <v>340</v>
      </c>
      <c r="B794" t="s">
        <v>1634</v>
      </c>
    </row>
    <row r="795" spans="1:2">
      <c r="A795" t="s">
        <v>340</v>
      </c>
      <c r="B795" t="s">
        <v>1635</v>
      </c>
    </row>
    <row r="796" spans="1:2">
      <c r="A796" t="s">
        <v>341</v>
      </c>
      <c r="B796" t="s">
        <v>1627</v>
      </c>
    </row>
    <row r="797" spans="1:2">
      <c r="A797" t="s">
        <v>341</v>
      </c>
      <c r="B797" t="s">
        <v>1628</v>
      </c>
    </row>
    <row r="798" spans="1:2">
      <c r="A798" t="s">
        <v>341</v>
      </c>
      <c r="B798" t="s">
        <v>1629</v>
      </c>
    </row>
    <row r="799" spans="1:2">
      <c r="A799" t="s">
        <v>341</v>
      </c>
      <c r="B799" t="s">
        <v>1630</v>
      </c>
    </row>
    <row r="800" spans="1:2">
      <c r="A800" t="s">
        <v>341</v>
      </c>
      <c r="B800" t="s">
        <v>1631</v>
      </c>
    </row>
    <row r="801" spans="1:3">
      <c r="A801" t="s">
        <v>341</v>
      </c>
      <c r="B801" t="s">
        <v>1646</v>
      </c>
    </row>
    <row r="802" spans="1:3">
      <c r="A802" t="s">
        <v>341</v>
      </c>
      <c r="B802" t="s">
        <v>1648</v>
      </c>
    </row>
    <row r="803" spans="1:3">
      <c r="A803" t="s">
        <v>341</v>
      </c>
      <c r="B803" t="s">
        <v>1649</v>
      </c>
    </row>
    <row r="804" spans="1:3">
      <c r="A804" t="s">
        <v>341</v>
      </c>
      <c r="B804" t="s">
        <v>1632</v>
      </c>
    </row>
    <row r="805" spans="1:3">
      <c r="A805" t="s">
        <v>341</v>
      </c>
      <c r="B805" t="s">
        <v>1633</v>
      </c>
    </row>
    <row r="806" spans="1:3">
      <c r="A806" t="s">
        <v>341</v>
      </c>
      <c r="B806" t="s">
        <v>1634</v>
      </c>
    </row>
    <row r="807" spans="1:3">
      <c r="A807" t="s">
        <v>341</v>
      </c>
      <c r="B807" t="s">
        <v>1635</v>
      </c>
    </row>
    <row r="808" spans="1:3">
      <c r="A808" t="s">
        <v>358</v>
      </c>
      <c r="B808" t="s">
        <v>1627</v>
      </c>
    </row>
    <row r="809" spans="1:3">
      <c r="A809" t="s">
        <v>358</v>
      </c>
      <c r="B809" t="s">
        <v>1628</v>
      </c>
      <c r="C809" t="s">
        <v>1660</v>
      </c>
    </row>
    <row r="810" spans="1:3">
      <c r="A810" t="s">
        <v>358</v>
      </c>
      <c r="B810" t="s">
        <v>1629</v>
      </c>
      <c r="C810" t="s">
        <v>1660</v>
      </c>
    </row>
    <row r="811" spans="1:3">
      <c r="A811" t="s">
        <v>310</v>
      </c>
      <c r="B811" t="s">
        <v>1627</v>
      </c>
    </row>
    <row r="812" spans="1:3">
      <c r="A812" t="s">
        <v>310</v>
      </c>
      <c r="B812" t="s">
        <v>1628</v>
      </c>
    </row>
    <row r="813" spans="1:3">
      <c r="A813" t="s">
        <v>310</v>
      </c>
      <c r="B813" t="s">
        <v>1629</v>
      </c>
    </row>
    <row r="814" spans="1:3">
      <c r="A814" t="s">
        <v>310</v>
      </c>
      <c r="B814" t="s">
        <v>1630</v>
      </c>
    </row>
    <row r="815" spans="1:3">
      <c r="A815" t="s">
        <v>310</v>
      </c>
      <c r="B815" t="s">
        <v>1631</v>
      </c>
    </row>
    <row r="816" spans="1:3">
      <c r="A816" t="s">
        <v>310</v>
      </c>
      <c r="B816" t="s">
        <v>1646</v>
      </c>
    </row>
    <row r="817" spans="1:3">
      <c r="A817" t="s">
        <v>310</v>
      </c>
      <c r="B817" t="s">
        <v>1647</v>
      </c>
    </row>
    <row r="818" spans="1:3">
      <c r="A818" t="s">
        <v>310</v>
      </c>
      <c r="B818" t="s">
        <v>1648</v>
      </c>
    </row>
    <row r="819" spans="1:3">
      <c r="A819" t="s">
        <v>310</v>
      </c>
      <c r="B819" t="s">
        <v>1649</v>
      </c>
    </row>
    <row r="820" spans="1:3">
      <c r="A820" t="s">
        <v>310</v>
      </c>
      <c r="B820" t="s">
        <v>1632</v>
      </c>
    </row>
    <row r="821" spans="1:3">
      <c r="A821" t="s">
        <v>310</v>
      </c>
      <c r="B821" t="s">
        <v>1633</v>
      </c>
    </row>
    <row r="822" spans="1:3">
      <c r="A822" t="s">
        <v>310</v>
      </c>
      <c r="B822" t="s">
        <v>1634</v>
      </c>
    </row>
    <row r="823" spans="1:3">
      <c r="A823" t="s">
        <v>310</v>
      </c>
      <c r="B823" t="s">
        <v>1635</v>
      </c>
    </row>
    <row r="824" spans="1:3">
      <c r="A824" t="s">
        <v>310</v>
      </c>
      <c r="B824" t="s">
        <v>1636</v>
      </c>
    </row>
    <row r="825" spans="1:3">
      <c r="A825" t="s">
        <v>310</v>
      </c>
      <c r="B825" t="s">
        <v>1652</v>
      </c>
      <c r="C825" t="s">
        <v>1651</v>
      </c>
    </row>
    <row r="826" spans="1:3">
      <c r="A826" t="s">
        <v>310</v>
      </c>
      <c r="B826" t="s">
        <v>1653</v>
      </c>
      <c r="C826" t="s">
        <v>1651</v>
      </c>
    </row>
    <row r="827" spans="1:3">
      <c r="A827" t="s">
        <v>311</v>
      </c>
      <c r="B827" t="s">
        <v>1627</v>
      </c>
    </row>
    <row r="828" spans="1:3">
      <c r="A828" t="s">
        <v>311</v>
      </c>
      <c r="B828" t="s">
        <v>1628</v>
      </c>
    </row>
    <row r="829" spans="1:3">
      <c r="A829" t="s">
        <v>311</v>
      </c>
      <c r="B829" t="s">
        <v>1629</v>
      </c>
    </row>
    <row r="830" spans="1:3">
      <c r="A830" t="s">
        <v>311</v>
      </c>
      <c r="B830" t="s">
        <v>1630</v>
      </c>
    </row>
    <row r="831" spans="1:3">
      <c r="A831" t="s">
        <v>311</v>
      </c>
      <c r="B831" t="s">
        <v>1631</v>
      </c>
    </row>
    <row r="832" spans="1:3">
      <c r="A832" t="s">
        <v>311</v>
      </c>
      <c r="B832" t="s">
        <v>1646</v>
      </c>
    </row>
    <row r="833" spans="1:3">
      <c r="A833" t="s">
        <v>311</v>
      </c>
      <c r="B833" t="s">
        <v>1647</v>
      </c>
    </row>
    <row r="834" spans="1:3">
      <c r="A834" t="s">
        <v>311</v>
      </c>
      <c r="B834" t="s">
        <v>1648</v>
      </c>
    </row>
    <row r="835" spans="1:3">
      <c r="A835" t="s">
        <v>311</v>
      </c>
      <c r="B835" t="s">
        <v>1649</v>
      </c>
    </row>
    <row r="836" spans="1:3">
      <c r="A836" t="s">
        <v>311</v>
      </c>
      <c r="B836" t="s">
        <v>1632</v>
      </c>
    </row>
    <row r="837" spans="1:3">
      <c r="A837" t="s">
        <v>311</v>
      </c>
      <c r="B837" t="s">
        <v>1633</v>
      </c>
    </row>
    <row r="838" spans="1:3">
      <c r="A838" t="s">
        <v>311</v>
      </c>
      <c r="B838" t="s">
        <v>1634</v>
      </c>
    </row>
    <row r="839" spans="1:3">
      <c r="A839" t="s">
        <v>311</v>
      </c>
      <c r="B839" t="s">
        <v>1635</v>
      </c>
    </row>
    <row r="840" spans="1:3">
      <c r="A840" t="s">
        <v>311</v>
      </c>
      <c r="B840" t="s">
        <v>1636</v>
      </c>
    </row>
    <row r="841" spans="1:3">
      <c r="A841" t="s">
        <v>311</v>
      </c>
      <c r="B841" t="s">
        <v>1652</v>
      </c>
      <c r="C841" t="s">
        <v>1651</v>
      </c>
    </row>
    <row r="842" spans="1:3">
      <c r="A842" t="s">
        <v>311</v>
      </c>
      <c r="B842" t="s">
        <v>1653</v>
      </c>
      <c r="C842" t="s">
        <v>1651</v>
      </c>
    </row>
    <row r="843" spans="1:3">
      <c r="A843" t="s">
        <v>372</v>
      </c>
      <c r="B843" t="s">
        <v>1627</v>
      </c>
    </row>
    <row r="844" spans="1:3">
      <c r="A844" t="s">
        <v>372</v>
      </c>
      <c r="B844" t="s">
        <v>1628</v>
      </c>
    </row>
    <row r="845" spans="1:3">
      <c r="A845" t="s">
        <v>372</v>
      </c>
      <c r="B845" t="s">
        <v>1629</v>
      </c>
    </row>
  </sheetData>
  <autoFilter ref="A1:C845" xr:uid="{D369B41F-F9B2-49D1-985C-3DC687C61E01}"/>
  <pageMargins left="0.7" right="0.7" top="0.75" bottom="0.75" header="0.3" footer="0.3"/>
  <pageSetup orientation="portrait" r:id="rId1"/>
  <headerFooter>
    <oddFooter>&amp;L&amp;1#&amp;"Calibri"&amp;7&amp;K000000C2 General</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E63-0A25-424E-8B21-ADEF2EFD9505}">
  <dimension ref="A1:AC67"/>
  <sheetViews>
    <sheetView zoomScale="90" zoomScaleNormal="90" workbookViewId="0">
      <selection activeCell="Q17" sqref="Q17"/>
    </sheetView>
  </sheetViews>
  <sheetFormatPr defaultRowHeight="11.25" customHeight="1"/>
  <cols>
    <col min="1" max="1" width="30.33203125" bestFit="1" customWidth="1"/>
    <col min="2" max="2" width="32.83203125" customWidth="1"/>
    <col min="3" max="5" width="30.33203125" customWidth="1"/>
    <col min="6" max="6" width="34.5" bestFit="1" customWidth="1"/>
    <col min="7" max="7" width="32.6640625" bestFit="1" customWidth="1"/>
    <col min="8" max="8" width="25.6640625" customWidth="1"/>
    <col min="9" max="9" width="26.83203125" customWidth="1"/>
    <col min="10" max="10" width="24.33203125" customWidth="1"/>
    <col min="11" max="11" width="19.6640625" customWidth="1"/>
    <col min="12" max="12" width="16.83203125" customWidth="1"/>
    <col min="13" max="16" width="19.1640625" customWidth="1"/>
    <col min="17" max="17" width="15.33203125" customWidth="1"/>
    <col min="18" max="18" width="22" customWidth="1"/>
    <col min="19" max="19" width="17.5" customWidth="1"/>
    <col min="20" max="20" width="23.5" customWidth="1"/>
    <col min="21" max="21" width="19.1640625" bestFit="1" customWidth="1"/>
    <col min="22" max="22" width="14.5" bestFit="1" customWidth="1"/>
    <col min="25" max="25" width="24.5" customWidth="1"/>
    <col min="28" max="28" width="27.5" customWidth="1"/>
  </cols>
  <sheetData>
    <row r="1" spans="1:29" ht="18" customHeight="1" thickBot="1">
      <c r="A1" s="1466" t="s">
        <v>1661</v>
      </c>
      <c r="B1" s="1467"/>
      <c r="C1" s="1467"/>
      <c r="D1" s="1467"/>
      <c r="E1" s="1467"/>
      <c r="F1" s="1467"/>
      <c r="G1" s="1467"/>
      <c r="H1" s="1468"/>
    </row>
    <row r="2" spans="1:29" ht="11.25" customHeight="1" thickBot="1"/>
    <row r="3" spans="1:29" ht="14.45" customHeight="1" thickBot="1">
      <c r="B3" s="1116" t="s">
        <v>1662</v>
      </c>
      <c r="E3" s="1475" t="s">
        <v>1663</v>
      </c>
      <c r="F3" s="1476"/>
    </row>
    <row r="4" spans="1:29" ht="18.600000000000001" thickBot="1">
      <c r="A4" s="1076" t="s">
        <v>1664</v>
      </c>
      <c r="B4" s="1117">
        <v>600</v>
      </c>
      <c r="C4" s="800"/>
      <c r="D4" s="800"/>
      <c r="E4" s="800"/>
    </row>
    <row r="5" spans="1:29" ht="13.15" customHeight="1" thickBot="1"/>
    <row r="6" spans="1:29" ht="30.6" customHeight="1" thickBot="1">
      <c r="A6" s="1480" t="s">
        <v>1665</v>
      </c>
      <c r="B6" s="1481"/>
      <c r="C6" s="1481"/>
      <c r="D6" s="1481"/>
      <c r="E6" s="1481"/>
      <c r="F6" s="1481"/>
      <c r="G6" s="1481"/>
      <c r="H6" s="1481"/>
      <c r="I6" s="1481"/>
      <c r="J6" s="1481"/>
      <c r="K6" s="1481"/>
      <c r="L6" s="1481"/>
      <c r="M6" s="1481"/>
      <c r="N6" s="1481"/>
      <c r="O6" s="1482"/>
      <c r="P6" s="1169"/>
      <c r="Q6" s="1461" t="s">
        <v>1666</v>
      </c>
      <c r="R6" s="1462"/>
      <c r="S6" s="1169"/>
      <c r="T6" s="1119"/>
      <c r="U6" s="1461" t="s">
        <v>1666</v>
      </c>
      <c r="V6" s="1462"/>
      <c r="Y6" s="1173" t="s">
        <v>1667</v>
      </c>
      <c r="Z6" s="1174" t="s">
        <v>1668</v>
      </c>
      <c r="AB6" s="1173" t="s">
        <v>1669</v>
      </c>
      <c r="AC6" s="1174" t="s">
        <v>1668</v>
      </c>
    </row>
    <row r="7" spans="1:29" ht="14.45">
      <c r="A7" s="1077"/>
      <c r="B7" s="1078" t="s">
        <v>1670</v>
      </c>
      <c r="C7" s="1078" t="s">
        <v>1671</v>
      </c>
      <c r="D7" s="1079" t="s">
        <v>1672</v>
      </c>
      <c r="E7" s="1114" t="s">
        <v>1673</v>
      </c>
      <c r="F7" s="1114" t="s">
        <v>1674</v>
      </c>
      <c r="G7" s="1078" t="s">
        <v>1675</v>
      </c>
      <c r="H7" s="1078" t="s">
        <v>1676</v>
      </c>
      <c r="I7" s="1078" t="s">
        <v>1677</v>
      </c>
      <c r="J7" s="1078" t="s">
        <v>1678</v>
      </c>
      <c r="K7" s="1078" t="s">
        <v>1679</v>
      </c>
      <c r="L7" s="1078" t="s">
        <v>1680</v>
      </c>
      <c r="M7" s="1078" t="s">
        <v>1681</v>
      </c>
      <c r="N7" s="1124" t="s">
        <v>1514</v>
      </c>
      <c r="O7" s="1131" t="s">
        <v>1682</v>
      </c>
      <c r="P7" s="1120"/>
      <c r="Q7" s="1170" t="s">
        <v>1683</v>
      </c>
      <c r="R7" s="1170" t="s">
        <v>1684</v>
      </c>
      <c r="U7" s="1143" t="s">
        <v>1685</v>
      </c>
      <c r="V7" s="1144">
        <v>37.799999999999997</v>
      </c>
      <c r="W7" s="958"/>
      <c r="Y7" s="1175" t="s">
        <v>1685</v>
      </c>
      <c r="Z7" s="1176">
        <v>37.799999999999997</v>
      </c>
      <c r="AB7" s="1175" t="s">
        <v>1686</v>
      </c>
      <c r="AC7" s="1176">
        <v>4.7</v>
      </c>
    </row>
    <row r="8" spans="1:29" ht="14.45" customHeight="1">
      <c r="A8" s="1080" t="s">
        <v>1687</v>
      </c>
      <c r="B8" s="1081">
        <f>'[7]PDU 1C'!$J$8</f>
        <v>315.71999999999997</v>
      </c>
      <c r="C8" s="1081">
        <f>'[7]PDU 1D'!$J$8</f>
        <v>315.71999999999997</v>
      </c>
      <c r="D8" s="1082">
        <f>'[7]PDU 2C '!$J$8</f>
        <v>308.52</v>
      </c>
      <c r="E8" s="1115">
        <f>'[7]PDU 2D'!$J$8</f>
        <v>308.52</v>
      </c>
      <c r="F8" s="1115">
        <f>'[7]PDU 3C'!$J$8</f>
        <v>103.9</v>
      </c>
      <c r="G8" s="1113">
        <f>'[7]PDU 3D'!$J$8</f>
        <v>104</v>
      </c>
      <c r="H8" s="1113">
        <f>'[7]PDU 4C'!$J$8</f>
        <v>0</v>
      </c>
      <c r="I8" s="1113">
        <f>'[7]PDU 4D'!$J$8</f>
        <v>0</v>
      </c>
      <c r="J8" s="1113">
        <f>'[7]PDU 6C'!$J$8</f>
        <v>0</v>
      </c>
      <c r="K8" s="1113">
        <f>'[7]PDU 6D'!$J$8</f>
        <v>0</v>
      </c>
      <c r="L8" s="1113">
        <f>'[7]PDU 8C'!$J$8</f>
        <v>0</v>
      </c>
      <c r="M8" s="1113">
        <f>'[7]PDU 8D'!$J$8</f>
        <v>0</v>
      </c>
      <c r="N8" s="1125">
        <f>SUM(B8:M8)</f>
        <v>1456.38</v>
      </c>
      <c r="O8" s="1126" t="s">
        <v>97</v>
      </c>
      <c r="P8" s="1121"/>
      <c r="Q8" s="1133">
        <v>0.7</v>
      </c>
      <c r="R8" s="1134" t="s">
        <v>97</v>
      </c>
      <c r="U8" s="1145" t="s">
        <v>1688</v>
      </c>
      <c r="V8" s="1146">
        <v>41.4</v>
      </c>
      <c r="W8" s="958"/>
      <c r="Y8" s="678" t="s">
        <v>1688</v>
      </c>
      <c r="Z8" s="1177">
        <v>41.4</v>
      </c>
      <c r="AB8" s="678" t="s">
        <v>1689</v>
      </c>
      <c r="AC8" s="1177">
        <v>4.7</v>
      </c>
    </row>
    <row r="9" spans="1:29" ht="14.45" customHeight="1">
      <c r="A9" s="1080" t="s">
        <v>1690</v>
      </c>
      <c r="B9" s="1118">
        <f>SUM((B8*230)/1000)</f>
        <v>72.615599999999986</v>
      </c>
      <c r="C9" s="1118">
        <f t="shared" ref="C9:M9" si="0">SUM((C8*230)/1000)</f>
        <v>72.615599999999986</v>
      </c>
      <c r="D9" s="1118">
        <f t="shared" si="0"/>
        <v>70.959599999999995</v>
      </c>
      <c r="E9" s="1118">
        <f t="shared" si="0"/>
        <v>70.959599999999995</v>
      </c>
      <c r="F9" s="1118">
        <f t="shared" si="0"/>
        <v>23.896999999999998</v>
      </c>
      <c r="G9" s="1118">
        <f t="shared" si="0"/>
        <v>23.92</v>
      </c>
      <c r="H9" s="1118">
        <f t="shared" si="0"/>
        <v>0</v>
      </c>
      <c r="I9" s="1118">
        <f t="shared" si="0"/>
        <v>0</v>
      </c>
      <c r="J9" s="1118">
        <f t="shared" si="0"/>
        <v>0</v>
      </c>
      <c r="K9" s="1118">
        <f t="shared" si="0"/>
        <v>0</v>
      </c>
      <c r="L9" s="1118">
        <f t="shared" si="0"/>
        <v>0</v>
      </c>
      <c r="M9" s="1118">
        <f t="shared" si="0"/>
        <v>0</v>
      </c>
      <c r="N9" s="1081">
        <f>B9+C9+D9+E9+F9+G9+H9+I9+J9+K9+L9+M9</f>
        <v>334.9674</v>
      </c>
      <c r="O9" s="1127">
        <f>N9/B4</f>
        <v>0.55827899999999997</v>
      </c>
      <c r="P9" s="1122"/>
      <c r="Q9" s="1135">
        <v>0.7</v>
      </c>
      <c r="R9" s="1135">
        <v>0.8</v>
      </c>
      <c r="U9" s="1145" t="s">
        <v>1685</v>
      </c>
      <c r="V9" s="1146">
        <v>37.799999999999997</v>
      </c>
      <c r="W9" s="958"/>
      <c r="Y9" s="678" t="s">
        <v>1685</v>
      </c>
      <c r="Z9" s="1177">
        <v>37.799999999999997</v>
      </c>
      <c r="AB9" s="678" t="s">
        <v>1691</v>
      </c>
      <c r="AC9" s="1177">
        <v>7.9</v>
      </c>
    </row>
    <row r="10" spans="1:29" ht="14.45" customHeight="1">
      <c r="P10" s="799"/>
      <c r="Q10" s="1136">
        <v>0.8</v>
      </c>
      <c r="R10" s="1136">
        <v>0.9</v>
      </c>
      <c r="U10" s="1153" t="s">
        <v>1692</v>
      </c>
      <c r="V10" s="1154">
        <v>117</v>
      </c>
      <c r="W10" s="958"/>
      <c r="Y10" s="1178" t="s">
        <v>1692</v>
      </c>
      <c r="Z10" s="1179">
        <f>SUM(Z7:Z9)</f>
        <v>116.99999999999999</v>
      </c>
      <c r="AB10" s="678" t="s">
        <v>1693</v>
      </c>
      <c r="AC10" s="1177">
        <v>41.4</v>
      </c>
    </row>
    <row r="11" spans="1:29" ht="14.45" customHeight="1">
      <c r="A11" s="1080" t="s">
        <v>1694</v>
      </c>
      <c r="B11" s="1080" t="s">
        <v>1670</v>
      </c>
      <c r="C11" s="1080" t="s">
        <v>1671</v>
      </c>
      <c r="D11" s="1080" t="s">
        <v>1672</v>
      </c>
      <c r="E11" s="1080" t="s">
        <v>1673</v>
      </c>
      <c r="F11" s="1080" t="s">
        <v>1674</v>
      </c>
      <c r="G11" s="1080" t="s">
        <v>1675</v>
      </c>
      <c r="H11" s="1080" t="s">
        <v>1676</v>
      </c>
      <c r="I11" s="1080" t="s">
        <v>1677</v>
      </c>
      <c r="J11" s="1080" t="s">
        <v>1678</v>
      </c>
      <c r="K11" s="1080" t="s">
        <v>1679</v>
      </c>
      <c r="L11" s="1080" t="s">
        <v>1680</v>
      </c>
      <c r="M11" s="1080" t="s">
        <v>1681</v>
      </c>
      <c r="P11" s="1123"/>
      <c r="Q11" s="1137">
        <v>0.9</v>
      </c>
      <c r="R11" s="1137">
        <v>0.99</v>
      </c>
      <c r="U11" s="1155" t="s">
        <v>1695</v>
      </c>
      <c r="V11" s="1156">
        <v>37.799999999999997</v>
      </c>
      <c r="W11" s="958"/>
      <c r="Y11" s="1180" t="s">
        <v>1696</v>
      </c>
      <c r="Z11" s="1181">
        <v>27</v>
      </c>
      <c r="AB11" s="678" t="s">
        <v>1697</v>
      </c>
      <c r="AC11" s="1177">
        <v>41.4</v>
      </c>
    </row>
    <row r="12" spans="1:29" ht="14.45" customHeight="1" thickBot="1">
      <c r="A12" s="1080" t="s">
        <v>1698</v>
      </c>
      <c r="B12" s="1083">
        <f>'[7]PDU 1C'!$J$5</f>
        <v>117.97999999999999</v>
      </c>
      <c r="C12" s="1083">
        <f>'[7]PDU 1D'!$J$5</f>
        <v>117.97999999999999</v>
      </c>
      <c r="D12" s="1083">
        <f>'[7]PDU 2C '!$J$5</f>
        <v>92.9</v>
      </c>
      <c r="E12" s="1083">
        <f>'[7]PDU 2D'!$J$5</f>
        <v>92.9</v>
      </c>
      <c r="F12" s="1083">
        <f>'[7]PDU 3C'!$J$5</f>
        <v>43.1</v>
      </c>
      <c r="G12" s="1083">
        <f>'[7]PDU 3D'!$J$5</f>
        <v>43.2</v>
      </c>
      <c r="H12" s="1083">
        <f>'[7]PDU 4C'!$J$5</f>
        <v>0</v>
      </c>
      <c r="I12" s="1083">
        <f>'[7]PDU 4D'!$J$5</f>
        <v>0</v>
      </c>
      <c r="J12" s="1083">
        <f>'[7]PDU 6C'!$J$5</f>
        <v>0</v>
      </c>
      <c r="K12" s="1083">
        <f>'[7]PDU 6D'!$J$5</f>
        <v>0</v>
      </c>
      <c r="L12" s="1083">
        <f>'[7]PDU 8C'!$J$5</f>
        <v>0</v>
      </c>
      <c r="M12" s="1083">
        <f>'[7]PDU 8D'!$J$5</f>
        <v>0</v>
      </c>
      <c r="Q12" s="1134" t="s">
        <v>97</v>
      </c>
      <c r="R12" s="1138">
        <v>1</v>
      </c>
      <c r="U12" s="1151" t="s">
        <v>1699</v>
      </c>
      <c r="V12" s="1152">
        <v>154.80000000000001</v>
      </c>
      <c r="W12" s="958"/>
      <c r="Y12" s="1182" t="s">
        <v>1699</v>
      </c>
      <c r="Z12" s="1183">
        <f>SUM(Z10:Z11)</f>
        <v>144</v>
      </c>
      <c r="AB12" s="678" t="s">
        <v>1700</v>
      </c>
      <c r="AC12" s="1177">
        <v>41.4</v>
      </c>
    </row>
    <row r="13" spans="1:29" ht="14.45" customHeight="1" thickBot="1">
      <c r="A13" s="1080" t="s">
        <v>1701</v>
      </c>
      <c r="B13" s="1083">
        <f>'[7]PDU 1C'!$J$6</f>
        <v>97.8</v>
      </c>
      <c r="C13" s="1083">
        <f>'[7]PDU 1D'!$J$6</f>
        <v>97.8</v>
      </c>
      <c r="D13" s="1083">
        <f>'[7]PDU 2C '!$J$6</f>
        <v>109.74</v>
      </c>
      <c r="E13" s="1083">
        <f>'[7]PDU 2D'!$J$6</f>
        <v>109.74</v>
      </c>
      <c r="F13" s="1083">
        <f>'[7]PDU 3C'!$J$6</f>
        <v>41.2</v>
      </c>
      <c r="G13" s="1083">
        <f>'[7]PDU 3D'!$J$6</f>
        <v>41.2</v>
      </c>
      <c r="H13" s="1083">
        <f>'[7]PDU 4C'!$J$6</f>
        <v>0</v>
      </c>
      <c r="I13" s="1083">
        <f>'[7]PDU 4D'!$J$6</f>
        <v>0</v>
      </c>
      <c r="J13" s="1083">
        <f>'[7]PDU 6C'!$J$6</f>
        <v>0</v>
      </c>
      <c r="K13" s="1083">
        <f>'[7]PDU 6D'!$J$6</f>
        <v>0</v>
      </c>
      <c r="L13" s="1083">
        <f>'[7]PDU 8C'!$J$6</f>
        <v>0</v>
      </c>
      <c r="M13" s="1083">
        <f>'[7]PDU 8D'!$J$6</f>
        <v>0</v>
      </c>
      <c r="U13" s="958"/>
      <c r="V13" s="958"/>
      <c r="W13" s="958"/>
      <c r="AB13" s="1184" t="s">
        <v>1692</v>
      </c>
      <c r="AC13" s="1185">
        <f>SUM(AC7:AC12)</f>
        <v>141.5</v>
      </c>
    </row>
    <row r="14" spans="1:29" ht="14.45" customHeight="1">
      <c r="A14" s="1080" t="s">
        <v>1702</v>
      </c>
      <c r="B14" s="1083">
        <f>'[7]PDU 1C'!$J$7</f>
        <v>99.939999999999984</v>
      </c>
      <c r="C14" s="1083">
        <f>'[7]PDU 1D'!$J$7</f>
        <v>99.939999999999984</v>
      </c>
      <c r="D14" s="1083">
        <f>'[7]PDU 2C '!$J$7</f>
        <v>105.88</v>
      </c>
      <c r="E14" s="1083">
        <f>'[7]PDU 2D'!$J$7</f>
        <v>105.88</v>
      </c>
      <c r="F14" s="1083">
        <f>'[7]PDU 3C'!$J$7</f>
        <v>19.600000000000001</v>
      </c>
      <c r="G14" s="1083">
        <f>'[7]PDU 3D'!$J$7</f>
        <v>19.600000000000001</v>
      </c>
      <c r="H14" s="1083">
        <f>'[7]PDU 4C'!$J$7</f>
        <v>0</v>
      </c>
      <c r="I14" s="1083">
        <f>'[7]PDU 4D'!$J$7</f>
        <v>0</v>
      </c>
      <c r="J14" s="1083">
        <f>'[7]PDU 6C'!$J$7</f>
        <v>0</v>
      </c>
      <c r="K14" s="1083">
        <f>'[7]PDU 6D'!$J$7</f>
        <v>0</v>
      </c>
      <c r="L14" s="1083">
        <f>'[7]PDU 8C'!$J$7</f>
        <v>0</v>
      </c>
      <c r="M14" s="1083">
        <f>'[7]PDU 8D'!$J$7</f>
        <v>0</v>
      </c>
      <c r="U14" s="958"/>
      <c r="V14" s="958"/>
      <c r="W14" s="958"/>
      <c r="Y14" s="1457" t="s">
        <v>1703</v>
      </c>
      <c r="Z14" s="1459" t="s">
        <v>1668</v>
      </c>
    </row>
    <row r="15" spans="1:29" ht="14.45" customHeight="1" thickBot="1">
      <c r="A15" s="800"/>
      <c r="U15" s="958"/>
      <c r="V15" s="958"/>
      <c r="W15" s="958"/>
      <c r="Y15" s="1458"/>
      <c r="Z15" s="1460"/>
    </row>
    <row r="16" spans="1:29" ht="14.45" customHeight="1" thickBot="1">
      <c r="A16" s="1084"/>
      <c r="B16" s="1080" t="s">
        <v>1670</v>
      </c>
      <c r="C16" s="1080" t="s">
        <v>1671</v>
      </c>
      <c r="D16" s="1080" t="s">
        <v>1672</v>
      </c>
      <c r="E16" s="1080" t="s">
        <v>1673</v>
      </c>
      <c r="F16" s="1080" t="s">
        <v>1674</v>
      </c>
      <c r="G16" s="1080" t="s">
        <v>1675</v>
      </c>
      <c r="H16" s="1080" t="s">
        <v>1676</v>
      </c>
      <c r="I16" s="1080" t="s">
        <v>1677</v>
      </c>
      <c r="J16" s="1080" t="s">
        <v>1678</v>
      </c>
      <c r="K16" s="1080" t="s">
        <v>1679</v>
      </c>
      <c r="L16" s="1080" t="s">
        <v>1680</v>
      </c>
      <c r="M16" s="1080" t="s">
        <v>1681</v>
      </c>
      <c r="N16" s="1128" t="s">
        <v>1514</v>
      </c>
      <c r="O16" s="1130" t="s">
        <v>1682</v>
      </c>
      <c r="U16" s="958"/>
      <c r="V16" s="958"/>
      <c r="W16" s="958"/>
      <c r="Y16" s="1189" t="s">
        <v>1704</v>
      </c>
      <c r="Z16" s="1190">
        <v>10.8</v>
      </c>
    </row>
    <row r="17" spans="1:26" ht="14.45" customHeight="1">
      <c r="A17" s="1078" t="s">
        <v>1705</v>
      </c>
      <c r="B17" s="1085">
        <f>'[7]PDU 1C'!$K$8</f>
        <v>117.6</v>
      </c>
      <c r="C17" s="1085">
        <f>'[7]PDU 1D'!$K$8</f>
        <v>105.99999999999999</v>
      </c>
      <c r="D17" s="1086">
        <f>'[7]PDU 2C '!$K$8</f>
        <v>139.30000000000001</v>
      </c>
      <c r="E17" s="1113">
        <f>'[7]PDU 2D'!$K$8</f>
        <v>125.5</v>
      </c>
      <c r="F17" s="1113">
        <f>'[7]PDU 3C'!$K$8</f>
        <v>0</v>
      </c>
      <c r="G17" s="1113">
        <f>'[7]PDU 3D'!$K$8</f>
        <v>0</v>
      </c>
      <c r="H17" s="1113">
        <f>'[7]PDU 4C'!$K$8</f>
        <v>0</v>
      </c>
      <c r="I17" s="1113">
        <f>'[7]PDU 4D'!$K$8</f>
        <v>0</v>
      </c>
      <c r="J17" s="1113">
        <f>'[7]PDU 6C'!$K$8</f>
        <v>0</v>
      </c>
      <c r="K17" s="1113">
        <f>'[7]PDU 6D'!$K$8</f>
        <v>0</v>
      </c>
      <c r="L17" s="1113">
        <f>'[7]PDU 8C'!$K$8</f>
        <v>0</v>
      </c>
      <c r="M17" s="1113">
        <f>'[7]PDU 8D'!$K$8</f>
        <v>0</v>
      </c>
      <c r="N17" s="1125">
        <f>SUM(B17:E17)</f>
        <v>488.4</v>
      </c>
      <c r="O17" s="1126" t="s">
        <v>97</v>
      </c>
      <c r="U17" s="958"/>
      <c r="V17" s="958"/>
      <c r="Y17" s="1186" t="s">
        <v>1706</v>
      </c>
      <c r="Z17" s="1187">
        <v>37.9</v>
      </c>
    </row>
    <row r="18" spans="1:26" ht="14.45" customHeight="1" thickBot="1">
      <c r="A18" s="1080" t="s">
        <v>1707</v>
      </c>
      <c r="B18" s="1087">
        <f>SUM((B17*230)/1000)</f>
        <v>27.047999999999998</v>
      </c>
      <c r="C18" s="1087">
        <f t="shared" ref="C18:M18" si="1">SUM((C17*230)/1000)</f>
        <v>24.379999999999995</v>
      </c>
      <c r="D18" s="1087">
        <f t="shared" si="1"/>
        <v>32.039000000000001</v>
      </c>
      <c r="E18" s="1087">
        <f t="shared" si="1"/>
        <v>28.864999999999998</v>
      </c>
      <c r="F18" s="1087">
        <f t="shared" si="1"/>
        <v>0</v>
      </c>
      <c r="G18" s="1087">
        <f t="shared" si="1"/>
        <v>0</v>
      </c>
      <c r="H18" s="1087">
        <f t="shared" si="1"/>
        <v>0</v>
      </c>
      <c r="I18" s="1087">
        <f t="shared" si="1"/>
        <v>0</v>
      </c>
      <c r="J18" s="1087">
        <f t="shared" si="1"/>
        <v>0</v>
      </c>
      <c r="K18" s="1087">
        <f t="shared" si="1"/>
        <v>0</v>
      </c>
      <c r="L18" s="1087">
        <f t="shared" si="1"/>
        <v>0</v>
      </c>
      <c r="M18" s="1087">
        <f t="shared" si="1"/>
        <v>0</v>
      </c>
      <c r="N18" s="1087">
        <f>B18+C18+D18+E18</f>
        <v>112.33199999999999</v>
      </c>
      <c r="O18" s="1127">
        <f>N18/B4</f>
        <v>0.18722</v>
      </c>
      <c r="Y18" s="1184" t="s">
        <v>1692</v>
      </c>
      <c r="Z18" s="1188">
        <f>SUM(Z17)</f>
        <v>37.9</v>
      </c>
    </row>
    <row r="19" spans="1:26" ht="14.45" customHeight="1"/>
    <row r="20" spans="1:26" ht="14.45" customHeight="1">
      <c r="A20" s="1080" t="s">
        <v>1708</v>
      </c>
      <c r="B20" s="1080" t="s">
        <v>1670</v>
      </c>
      <c r="C20" s="1080" t="s">
        <v>1671</v>
      </c>
      <c r="D20" s="1080" t="s">
        <v>1672</v>
      </c>
      <c r="E20" s="1080" t="s">
        <v>1673</v>
      </c>
      <c r="F20" s="1080" t="s">
        <v>1674</v>
      </c>
      <c r="G20" s="1080" t="s">
        <v>1675</v>
      </c>
      <c r="H20" s="1080" t="s">
        <v>1676</v>
      </c>
      <c r="I20" s="1080" t="s">
        <v>1677</v>
      </c>
      <c r="J20" s="1080" t="s">
        <v>1678</v>
      </c>
      <c r="K20" s="1080" t="s">
        <v>1679</v>
      </c>
      <c r="L20" s="1080" t="s">
        <v>1680</v>
      </c>
      <c r="M20" s="1080" t="s">
        <v>1681</v>
      </c>
    </row>
    <row r="21" spans="1:26" ht="14.45" customHeight="1">
      <c r="A21" s="1080" t="s">
        <v>1698</v>
      </c>
      <c r="B21" s="1088">
        <f>'[7]PDU 1C'!$K$5</f>
        <v>46.5</v>
      </c>
      <c r="C21" s="1083">
        <f>'[7]PDU 1D'!$K$5</f>
        <v>41.699999999999989</v>
      </c>
      <c r="D21" s="1083">
        <f>'[7]PDU 2C '!$K$5</f>
        <v>42.9</v>
      </c>
      <c r="E21" s="1083">
        <f>'[7]PDU 2D'!$K$5</f>
        <v>38.900000000000006</v>
      </c>
      <c r="F21" s="1083">
        <f>'[7]PDU 3C'!$K$5</f>
        <v>0</v>
      </c>
      <c r="G21" s="1083">
        <f>'[7]PDU 3D'!$K$5</f>
        <v>0</v>
      </c>
      <c r="H21" s="1083">
        <f>'[7]PDU 4C'!$K$5</f>
        <v>0</v>
      </c>
      <c r="I21" s="1083">
        <f>'[7]PDU 4D'!$K$5</f>
        <v>0</v>
      </c>
      <c r="J21" s="1083">
        <f>'[7]PDU 6C'!$K$5</f>
        <v>0</v>
      </c>
      <c r="K21" s="1083">
        <f>'[7]PDU 6D'!$K$5</f>
        <v>0</v>
      </c>
      <c r="L21" s="1083">
        <f>'[7]PDU 8C'!$K$5</f>
        <v>0</v>
      </c>
      <c r="M21" s="1083">
        <f>'[7]PDU 8D'!$K$5</f>
        <v>0</v>
      </c>
    </row>
    <row r="22" spans="1:26" ht="14.45" customHeight="1">
      <c r="A22" s="1080" t="s">
        <v>1701</v>
      </c>
      <c r="B22" s="1088">
        <f>'[7]PDU 1C'!$K$6</f>
        <v>35.299999999999997</v>
      </c>
      <c r="C22" s="1083">
        <f>'[7]PDU 1D'!$K$6</f>
        <v>31.8</v>
      </c>
      <c r="D22" s="1083">
        <f>'[7]PDU 2C '!$K$6</f>
        <v>48.5</v>
      </c>
      <c r="E22" s="1083">
        <f>'[7]PDU 2D'!$K$6</f>
        <v>43.099999999999994</v>
      </c>
      <c r="F22" s="1083">
        <f>'[7]PDU 3C'!$K$6</f>
        <v>0</v>
      </c>
      <c r="G22" s="1083">
        <f>'[7]PDU 3D'!$K$6</f>
        <v>0</v>
      </c>
      <c r="H22" s="1083">
        <f>'[7]PDU 4C'!$K$6</f>
        <v>0</v>
      </c>
      <c r="I22" s="1083">
        <f>'[7]PDU 4D'!$K$6</f>
        <v>0</v>
      </c>
      <c r="J22" s="1083">
        <f>'[7]PDU 6C'!$K$6</f>
        <v>0</v>
      </c>
      <c r="K22" s="1083">
        <f>'[7]PDU 6D'!$K$6</f>
        <v>0</v>
      </c>
      <c r="L22" s="1083">
        <f>'[7]PDU 8C'!$K$6</f>
        <v>0</v>
      </c>
      <c r="M22" s="1083">
        <f>'[7]PDU 8D'!$K$6</f>
        <v>0</v>
      </c>
    </row>
    <row r="23" spans="1:26" ht="14.45" customHeight="1">
      <c r="A23" s="1080" t="s">
        <v>1702</v>
      </c>
      <c r="B23" s="1088">
        <f>'[7]PDU 1C'!$K$7</f>
        <v>35.799999999999997</v>
      </c>
      <c r="C23" s="1083">
        <f>'[7]PDU 1D'!$K$7</f>
        <v>32.5</v>
      </c>
      <c r="D23" s="1083">
        <f>'[7]PDU 2C '!$K$7</f>
        <v>47.899999999999991</v>
      </c>
      <c r="E23" s="1083">
        <f>'[7]PDU 2D'!$K$7</f>
        <v>43.5</v>
      </c>
      <c r="F23" s="1083">
        <f>'[7]PDU 3C'!$K$7</f>
        <v>0</v>
      </c>
      <c r="G23" s="1083">
        <f>'[7]PDU 3D'!$K$7</f>
        <v>0</v>
      </c>
      <c r="H23" s="1083">
        <f>'[7]PDU 4C'!$K$7</f>
        <v>0</v>
      </c>
      <c r="I23" s="1083">
        <f>'[7]PDU 4D'!$K$7</f>
        <v>0</v>
      </c>
      <c r="J23" s="1083">
        <f>'[7]PDU 6C'!$K$7</f>
        <v>0</v>
      </c>
      <c r="K23" s="1083">
        <f>'[7]PDU 6D'!$K$7</f>
        <v>0</v>
      </c>
      <c r="L23" s="1083">
        <f>'[7]PDU 8C'!$K$7</f>
        <v>0</v>
      </c>
      <c r="M23" s="1083">
        <f>'[7]PDU 8D'!$K$7</f>
        <v>0</v>
      </c>
    </row>
    <row r="24" spans="1:26" ht="14.45" customHeight="1" thickBot="1"/>
    <row r="25" spans="1:26" ht="30.75" customHeight="1" thickBot="1">
      <c r="A25" s="1477" t="s">
        <v>1709</v>
      </c>
      <c r="B25" s="1478"/>
      <c r="C25" s="1478"/>
      <c r="D25" s="1478"/>
      <c r="E25" s="1479"/>
      <c r="F25" s="1158"/>
      <c r="G25" s="1158"/>
      <c r="H25" s="1158"/>
      <c r="I25" s="1158"/>
    </row>
    <row r="26" spans="1:26" ht="14.45" customHeight="1">
      <c r="A26" s="1089"/>
      <c r="B26" s="1090" t="s">
        <v>1710</v>
      </c>
      <c r="C26" s="1090" t="s">
        <v>1711</v>
      </c>
      <c r="D26" s="1091" t="s">
        <v>1712</v>
      </c>
      <c r="E26" s="1092" t="s">
        <v>1713</v>
      </c>
    </row>
    <row r="27" spans="1:26" ht="14.45" customHeight="1">
      <c r="A27" s="1093" t="s">
        <v>1714</v>
      </c>
      <c r="B27" s="1094">
        <v>4</v>
      </c>
      <c r="C27" s="1095">
        <f>SUM(B27-1)*250</f>
        <v>750</v>
      </c>
      <c r="D27" s="1096">
        <f>SUM(C27/2)</f>
        <v>375</v>
      </c>
      <c r="E27" s="1097">
        <f>D27*0.9</f>
        <v>337.5</v>
      </c>
    </row>
    <row r="28" spans="1:26" ht="14.45" customHeight="1" thickBot="1">
      <c r="A28" s="1098" t="s">
        <v>1715</v>
      </c>
      <c r="B28" s="1099">
        <v>4</v>
      </c>
      <c r="C28" s="1100">
        <f>SUM(B28-1)*250</f>
        <v>750</v>
      </c>
      <c r="D28" s="1101">
        <f>SUM(C28/2)</f>
        <v>375</v>
      </c>
      <c r="E28" s="1102">
        <f>D28*0.9</f>
        <v>337.5</v>
      </c>
    </row>
    <row r="29" spans="1:26" ht="31.15" customHeight="1" thickBot="1">
      <c r="D29" s="1103" t="s">
        <v>566</v>
      </c>
      <c r="E29" s="1104">
        <f>SUM(E27:E28)</f>
        <v>675</v>
      </c>
      <c r="F29" s="1469" t="s">
        <v>1716</v>
      </c>
      <c r="G29" s="1470"/>
      <c r="H29" s="1470"/>
      <c r="I29" s="1471"/>
    </row>
    <row r="30" spans="1:26" ht="14.45" customHeight="1" thickBot="1"/>
    <row r="31" spans="1:26" ht="14.45">
      <c r="A31" s="1472" t="s">
        <v>1717</v>
      </c>
      <c r="B31" s="1473"/>
      <c r="C31" s="1473"/>
      <c r="D31" s="1473"/>
      <c r="E31" s="1473"/>
      <c r="F31" s="1473"/>
      <c r="G31" s="1474"/>
    </row>
    <row r="32" spans="1:26" ht="14.45">
      <c r="A32" s="1463" t="s">
        <v>1718</v>
      </c>
      <c r="B32" s="1464"/>
      <c r="C32" s="1464"/>
      <c r="D32" s="1464"/>
      <c r="E32" s="1464"/>
      <c r="F32" s="1464"/>
      <c r="G32" s="1465"/>
    </row>
    <row r="33" spans="1:21" ht="15" thickBot="1">
      <c r="A33" s="1488" t="s">
        <v>1719</v>
      </c>
      <c r="B33" s="1489"/>
      <c r="C33" s="1489"/>
      <c r="D33" s="1489"/>
      <c r="E33" s="1489"/>
      <c r="F33" s="1489"/>
      <c r="G33" s="1490"/>
    </row>
    <row r="34" spans="1:21" ht="10.15">
      <c r="G34" s="5"/>
    </row>
    <row r="35" spans="1:21" s="1105" customFormat="1" ht="15" thickBot="1">
      <c r="G35" s="1106"/>
    </row>
    <row r="36" spans="1:21" ht="10.9" thickBot="1">
      <c r="G36" s="5"/>
    </row>
    <row r="37" spans="1:21" ht="18.600000000000001" thickBot="1">
      <c r="B37" s="1116" t="s">
        <v>1662</v>
      </c>
      <c r="C37" s="5"/>
      <c r="D37" s="1475" t="s">
        <v>1720</v>
      </c>
      <c r="E37" s="1476"/>
    </row>
    <row r="38" spans="1:21" ht="18.600000000000001" thickBot="1">
      <c r="A38" s="1076" t="s">
        <v>1721</v>
      </c>
      <c r="B38" s="1117">
        <v>600</v>
      </c>
      <c r="C38" s="800"/>
      <c r="D38" s="800"/>
      <c r="E38" s="800"/>
    </row>
    <row r="39" spans="1:21" ht="10.15"/>
    <row r="40" spans="1:21" ht="28.9" customHeight="1">
      <c r="A40" s="1480" t="s">
        <v>1722</v>
      </c>
      <c r="B40" s="1481"/>
      <c r="C40" s="1481"/>
      <c r="D40" s="1481"/>
      <c r="E40" s="1481"/>
      <c r="F40" s="1481"/>
      <c r="G40" s="1481"/>
      <c r="H40" s="1481"/>
      <c r="I40" s="1481"/>
      <c r="J40" s="1481"/>
      <c r="K40" s="1481"/>
      <c r="L40" s="1481"/>
      <c r="M40" s="1481"/>
      <c r="N40" s="1481"/>
      <c r="O40" s="1482"/>
      <c r="Q40" s="1461" t="s">
        <v>1666</v>
      </c>
      <c r="R40" s="1462"/>
      <c r="T40" s="1160" t="s">
        <v>1723</v>
      </c>
      <c r="U40" s="1161" t="s">
        <v>1668</v>
      </c>
    </row>
    <row r="41" spans="1:21" ht="14.45">
      <c r="A41" s="1077"/>
      <c r="B41" s="1171" t="s">
        <v>1670</v>
      </c>
      <c r="C41" s="1171" t="s">
        <v>1671</v>
      </c>
      <c r="D41" s="1171" t="s">
        <v>1724</v>
      </c>
      <c r="E41" s="1171" t="s">
        <v>1725</v>
      </c>
      <c r="F41" s="1171" t="s">
        <v>1726</v>
      </c>
      <c r="G41" s="1171" t="s">
        <v>1727</v>
      </c>
      <c r="H41" s="1078" t="s">
        <v>1728</v>
      </c>
      <c r="I41" s="1078" t="s">
        <v>1729</v>
      </c>
      <c r="J41" s="1078" t="s">
        <v>1730</v>
      </c>
      <c r="K41" s="1078" t="s">
        <v>1731</v>
      </c>
      <c r="L41" s="1078" t="s">
        <v>1732</v>
      </c>
      <c r="M41" s="1078" t="s">
        <v>1681</v>
      </c>
      <c r="N41" s="1172" t="s">
        <v>1733</v>
      </c>
      <c r="O41" s="1131" t="s">
        <v>1682</v>
      </c>
      <c r="P41" s="1120"/>
      <c r="Q41" s="1132" t="s">
        <v>1683</v>
      </c>
      <c r="R41" s="1132" t="s">
        <v>1684</v>
      </c>
      <c r="T41" s="1143" t="s">
        <v>1734</v>
      </c>
      <c r="U41" s="1144">
        <v>37.9</v>
      </c>
    </row>
    <row r="42" spans="1:21" ht="14.45">
      <c r="A42" s="1080" t="s">
        <v>1687</v>
      </c>
      <c r="B42" s="1080">
        <f>'[8]PDU 1C '!$J$8</f>
        <v>0</v>
      </c>
      <c r="C42" s="1080">
        <f>'[8]PDU 1D '!$J$8</f>
        <v>0</v>
      </c>
      <c r="D42" s="1080">
        <f>'[8]PDU 4C  '!$J$8</f>
        <v>0</v>
      </c>
      <c r="E42" s="1080">
        <f>'[8]PDU 4D '!$J$8</f>
        <v>0</v>
      </c>
      <c r="F42" s="1080">
        <f>'[8]PDU 5C '!$J$8</f>
        <v>0</v>
      </c>
      <c r="G42" s="1080">
        <f>'[8]PDU 5D'!$J$8</f>
        <v>0</v>
      </c>
      <c r="H42" s="1162">
        <f>'[8]PDU 6C'!$J$8</f>
        <v>257.59999999999997</v>
      </c>
      <c r="I42" s="1162">
        <f>'[8]PDU 6D'!$J$8</f>
        <v>257.59999999999997</v>
      </c>
      <c r="J42" s="1162">
        <f>'[9]PDU 7C '!$J$8</f>
        <v>275</v>
      </c>
      <c r="K42" s="1162">
        <f>'[9]PDU 7D'!$J$8</f>
        <v>275</v>
      </c>
      <c r="L42" s="1162">
        <f>'[8]PDU 8C'!$J$8</f>
        <v>0</v>
      </c>
      <c r="M42" s="1162">
        <f>'[8]PDU 8D '!$J$8</f>
        <v>0</v>
      </c>
      <c r="N42" s="1167">
        <f>SUM(H42+I42+J42+M42)</f>
        <v>790.19999999999993</v>
      </c>
      <c r="O42" s="1129" t="s">
        <v>97</v>
      </c>
      <c r="P42" s="1121"/>
      <c r="Q42" s="1133">
        <v>0.7</v>
      </c>
      <c r="R42" s="1134" t="s">
        <v>97</v>
      </c>
      <c r="T42" s="1145" t="s">
        <v>1735</v>
      </c>
      <c r="U42" s="1146">
        <v>37.9</v>
      </c>
    </row>
    <row r="43" spans="1:21" ht="14.45">
      <c r="A43" s="1080" t="s">
        <v>1690</v>
      </c>
      <c r="B43" s="1081">
        <f t="shared" ref="B43:G43" si="2">SUM((B42*230)/1000)</f>
        <v>0</v>
      </c>
      <c r="C43" s="1081">
        <f t="shared" si="2"/>
        <v>0</v>
      </c>
      <c r="D43" s="1081">
        <f t="shared" si="2"/>
        <v>0</v>
      </c>
      <c r="E43" s="1081">
        <f t="shared" si="2"/>
        <v>0</v>
      </c>
      <c r="F43" s="1081">
        <f t="shared" si="2"/>
        <v>0</v>
      </c>
      <c r="G43" s="1081">
        <f t="shared" si="2"/>
        <v>0</v>
      </c>
      <c r="H43" s="1162">
        <f>SUM((H42*230)/1000)</f>
        <v>59.24799999999999</v>
      </c>
      <c r="I43" s="1162">
        <f t="shared" ref="I43:J43" si="3">SUM((I42*230)/1000)</f>
        <v>59.24799999999999</v>
      </c>
      <c r="J43" s="1162">
        <f t="shared" si="3"/>
        <v>63.25</v>
      </c>
      <c r="K43" s="1162">
        <f t="shared" ref="K43:M43" si="4">SUM((K42*230)/1000)</f>
        <v>63.25</v>
      </c>
      <c r="L43" s="1162">
        <f t="shared" si="4"/>
        <v>0</v>
      </c>
      <c r="M43" s="1162">
        <f t="shared" si="4"/>
        <v>0</v>
      </c>
      <c r="N43" s="1162">
        <f>B43+C43+D43+E43+F43+G43+H43+I43+J43+M43+K43</f>
        <v>244.99599999999998</v>
      </c>
      <c r="O43" s="1166">
        <f>N43/B38</f>
        <v>0.40832666666666662</v>
      </c>
      <c r="P43" s="1122"/>
      <c r="Q43" s="1135">
        <v>0.7</v>
      </c>
      <c r="R43" s="1135">
        <v>0.8</v>
      </c>
      <c r="T43" s="1145" t="s">
        <v>1736</v>
      </c>
      <c r="U43" s="1146">
        <v>37.799999999999997</v>
      </c>
    </row>
    <row r="44" spans="1:21" ht="14.45">
      <c r="P44" s="799"/>
      <c r="Q44" s="1136">
        <v>0.8</v>
      </c>
      <c r="R44" s="1136">
        <v>0.9</v>
      </c>
      <c r="T44" s="1145" t="s">
        <v>1685</v>
      </c>
      <c r="U44" s="1146">
        <v>37.9</v>
      </c>
    </row>
    <row r="45" spans="1:21" ht="14.45">
      <c r="A45" s="1080" t="s">
        <v>1694</v>
      </c>
      <c r="B45" s="1157" t="s">
        <v>1670</v>
      </c>
      <c r="C45" s="1157" t="s">
        <v>1671</v>
      </c>
      <c r="D45" s="1157" t="s">
        <v>1724</v>
      </c>
      <c r="E45" s="1157" t="s">
        <v>1725</v>
      </c>
      <c r="F45" s="1157" t="s">
        <v>1726</v>
      </c>
      <c r="G45" s="1157" t="s">
        <v>1727</v>
      </c>
      <c r="H45" s="1080" t="s">
        <v>1728</v>
      </c>
      <c r="I45" s="1080" t="s">
        <v>1729</v>
      </c>
      <c r="J45" s="1080" t="s">
        <v>1730</v>
      </c>
      <c r="K45" s="1080" t="s">
        <v>1731</v>
      </c>
      <c r="L45" s="1080" t="s">
        <v>1732</v>
      </c>
      <c r="M45" s="1080" t="s">
        <v>1681</v>
      </c>
      <c r="P45" s="1123"/>
      <c r="Q45" s="1137">
        <v>0.9</v>
      </c>
      <c r="R45" s="1137">
        <v>0.99</v>
      </c>
      <c r="T45" s="1145" t="s">
        <v>1686</v>
      </c>
      <c r="U45" s="1146">
        <v>4.7</v>
      </c>
    </row>
    <row r="46" spans="1:21" ht="14.45">
      <c r="A46" s="1080" t="s">
        <v>1698</v>
      </c>
      <c r="B46" s="1080">
        <f>'[8]PDU 1C '!$J$5</f>
        <v>0</v>
      </c>
      <c r="C46" s="1080">
        <f>'[8]PDU 1D '!$J$5</f>
        <v>0</v>
      </c>
      <c r="D46" s="1080">
        <f>'[8]PDU 4C  '!$J$5</f>
        <v>0</v>
      </c>
      <c r="E46" s="1080">
        <f>'[8]PDU 4D '!$J$5</f>
        <v>0</v>
      </c>
      <c r="F46" s="1080">
        <f>'[8]PDU 5C '!$J$5</f>
        <v>0</v>
      </c>
      <c r="G46" s="1080">
        <f>'[8]PDU 5D'!$J$5</f>
        <v>0</v>
      </c>
      <c r="H46" s="1163">
        <f>'[9]PDU 6C'!$J$5</f>
        <v>41.2</v>
      </c>
      <c r="I46" s="1163">
        <f>'[9]PDU 6D'!$J$5</f>
        <v>41.2</v>
      </c>
      <c r="J46" s="1163">
        <f>'[9]PDU 7C '!$J$5</f>
        <v>84.399999999999991</v>
      </c>
      <c r="K46" s="1163">
        <f>'[9]PDU 7D'!$J$5</f>
        <v>84.399999999999991</v>
      </c>
      <c r="L46" s="1163">
        <f>'[8]PDU 8C'!$J$5</f>
        <v>0</v>
      </c>
      <c r="M46" s="1163">
        <f>'[8]PDU 8D '!$J$5</f>
        <v>0</v>
      </c>
      <c r="Q46" s="1134" t="s">
        <v>97</v>
      </c>
      <c r="R46" s="1138">
        <v>1</v>
      </c>
      <c r="T46" s="1145" t="s">
        <v>1689</v>
      </c>
      <c r="U46" s="1146">
        <v>4.7</v>
      </c>
    </row>
    <row r="47" spans="1:21" ht="14.45">
      <c r="A47" s="1080" t="s">
        <v>1701</v>
      </c>
      <c r="B47" s="1080">
        <f>'[8]PDU 1C '!$J$6</f>
        <v>0</v>
      </c>
      <c r="C47" s="1080">
        <f>'[8]PDU 1D '!$J$6</f>
        <v>0</v>
      </c>
      <c r="D47" s="1080">
        <f>'[8]PDU 4C  '!$J$6</f>
        <v>0</v>
      </c>
      <c r="E47" s="1080">
        <f>'[8]PDU 4D '!$J$6</f>
        <v>0</v>
      </c>
      <c r="F47" s="1080">
        <f>'[8]PDU 5C '!$J$6</f>
        <v>0</v>
      </c>
      <c r="G47" s="1080">
        <f>'[8]PDU 5D'!$J$6</f>
        <v>0</v>
      </c>
      <c r="H47" s="1163">
        <f>'[9]PDU 6C'!$J$6</f>
        <v>32</v>
      </c>
      <c r="I47" s="1163">
        <f>'[9]PDU 6D'!$J$6</f>
        <v>32</v>
      </c>
      <c r="J47" s="1163">
        <f>'[9]PDU 7C '!$J$6</f>
        <v>97.8</v>
      </c>
      <c r="K47" s="1163">
        <f>'[9]PDU 7D'!$J$6</f>
        <v>97.8</v>
      </c>
      <c r="L47" s="1163">
        <f>'[8]PDU 8C'!$J$6</f>
        <v>0</v>
      </c>
      <c r="M47" s="1163">
        <f>'[8]PDU 8D '!$J$6</f>
        <v>0</v>
      </c>
      <c r="T47" s="1145" t="s">
        <v>1691</v>
      </c>
      <c r="U47" s="1146">
        <v>8</v>
      </c>
    </row>
    <row r="48" spans="1:21" ht="14.45">
      <c r="A48" s="1080" t="s">
        <v>1702</v>
      </c>
      <c r="B48" s="1080">
        <f>'[8]PDU 1C '!$J$7</f>
        <v>0</v>
      </c>
      <c r="C48" s="1080">
        <f>'[8]PDU 1D '!$J$7</f>
        <v>0</v>
      </c>
      <c r="D48" s="1080">
        <f>'[8]PDU 4C  '!$J$7</f>
        <v>0</v>
      </c>
      <c r="E48" s="1080">
        <f>'[8]PDU 4D '!$J$7</f>
        <v>0</v>
      </c>
      <c r="F48" s="1080">
        <f>'[8]PDU 5C '!$J$7</f>
        <v>0</v>
      </c>
      <c r="G48" s="1080">
        <f>'[8]PDU 5D'!$J$7</f>
        <v>0</v>
      </c>
      <c r="H48" s="1163">
        <f>'[9]PDU 6C'!$J$7</f>
        <v>19.600000000000001</v>
      </c>
      <c r="I48" s="1163">
        <f>'[9]PDU 6D'!$J$7</f>
        <v>19.600000000000001</v>
      </c>
      <c r="J48" s="1163">
        <f>'[9]PDU 7C '!$J$7</f>
        <v>92.8</v>
      </c>
      <c r="K48" s="1163">
        <f>'[9]PDU 7D'!$J$7</f>
        <v>92.8</v>
      </c>
      <c r="L48" s="1163">
        <f>'[8]PDU 8C'!$J$7</f>
        <v>0</v>
      </c>
      <c r="M48" s="1163">
        <f>'[8]PDU 8D '!$J$7</f>
        <v>0</v>
      </c>
      <c r="T48" s="1147" t="s">
        <v>1737</v>
      </c>
      <c r="U48" s="1148">
        <v>168.9</v>
      </c>
    </row>
    <row r="49" spans="1:21" ht="14.45">
      <c r="T49" s="1149" t="s">
        <v>1695</v>
      </c>
      <c r="U49" s="1150">
        <v>37.799999999999997</v>
      </c>
    </row>
    <row r="50" spans="1:21" ht="14.45">
      <c r="A50" s="1080"/>
      <c r="B50" s="1157" t="s">
        <v>1670</v>
      </c>
      <c r="C50" s="1157" t="s">
        <v>1671</v>
      </c>
      <c r="D50" s="1157" t="s">
        <v>1724</v>
      </c>
      <c r="E50" s="1157" t="s">
        <v>1725</v>
      </c>
      <c r="F50" s="1157" t="s">
        <v>1726</v>
      </c>
      <c r="G50" s="1157" t="s">
        <v>1727</v>
      </c>
      <c r="H50" s="1080" t="s">
        <v>1728</v>
      </c>
      <c r="I50" s="1080" t="s">
        <v>1729</v>
      </c>
      <c r="J50" s="1080" t="s">
        <v>1730</v>
      </c>
      <c r="K50" s="1080" t="s">
        <v>1731</v>
      </c>
      <c r="L50" s="1080" t="s">
        <v>1732</v>
      </c>
      <c r="M50" s="1080" t="s">
        <v>1681</v>
      </c>
      <c r="N50" s="1080" t="s">
        <v>1514</v>
      </c>
      <c r="O50" s="1080" t="s">
        <v>1682</v>
      </c>
      <c r="T50" s="1149" t="s">
        <v>1706</v>
      </c>
      <c r="U50" s="1150">
        <v>37.9</v>
      </c>
    </row>
    <row r="51" spans="1:21" ht="15" thickBot="1">
      <c r="A51" s="1080" t="s">
        <v>1738</v>
      </c>
      <c r="B51" s="1080">
        <f>'[8]PDU 1C '!$K$8</f>
        <v>0</v>
      </c>
      <c r="C51" s="1080">
        <f>'[8]PDU 1D '!$K$8</f>
        <v>0</v>
      </c>
      <c r="D51" s="1080">
        <f>'[8]PDU 4C  '!$K$8</f>
        <v>0</v>
      </c>
      <c r="E51" s="1080">
        <f>'[8]PDU 4D '!$K$8</f>
        <v>0</v>
      </c>
      <c r="F51" s="1080">
        <f>'[8]PDU 5C '!$K$8</f>
        <v>0</v>
      </c>
      <c r="G51" s="1080">
        <f>'[8]PDU 5D'!$K$8</f>
        <v>0</v>
      </c>
      <c r="H51" s="1162">
        <f>'[9]PDU 6C'!$K$8</f>
        <v>24.200000000000003</v>
      </c>
      <c r="I51" s="1162">
        <f>'[9]PDU 6D'!$K$8</f>
        <v>17.399999999999999</v>
      </c>
      <c r="J51" s="1164">
        <f>'[9]PDU 7C '!$K$8</f>
        <v>100</v>
      </c>
      <c r="K51" s="1165">
        <f>'[9]PDU 7D'!$K$8</f>
        <v>85</v>
      </c>
      <c r="L51" s="1165">
        <f>'[8]PDU 8C'!$K$8</f>
        <v>0</v>
      </c>
      <c r="M51" s="1165">
        <f>'[8]PDU 8D '!$K$8</f>
        <v>0</v>
      </c>
      <c r="N51" s="1168">
        <f>SUM(H51+I51+J51+M51)</f>
        <v>141.6</v>
      </c>
      <c r="O51" s="1129" t="s">
        <v>97</v>
      </c>
      <c r="T51" s="1151" t="s">
        <v>1699</v>
      </c>
      <c r="U51" s="1152">
        <v>244.6</v>
      </c>
    </row>
    <row r="52" spans="1:21" ht="14.45">
      <c r="A52" s="1080" t="s">
        <v>1707</v>
      </c>
      <c r="B52" s="1162">
        <f t="shared" ref="B52:G52" si="5">SUM((B51*230)/1000)</f>
        <v>0</v>
      </c>
      <c r="C52" s="1162">
        <f t="shared" si="5"/>
        <v>0</v>
      </c>
      <c r="D52" s="1162">
        <f t="shared" si="5"/>
        <v>0</v>
      </c>
      <c r="E52" s="1162">
        <f t="shared" si="5"/>
        <v>0</v>
      </c>
      <c r="F52" s="1162">
        <f t="shared" si="5"/>
        <v>0</v>
      </c>
      <c r="G52" s="1162">
        <f t="shared" si="5"/>
        <v>0</v>
      </c>
      <c r="H52" s="1162">
        <f>SUM((H51*230)/1000)</f>
        <v>5.5660000000000007</v>
      </c>
      <c r="I52" s="1162">
        <f t="shared" ref="I52:J52" si="6">SUM((I51*230)/1000)</f>
        <v>4.0019999999999998</v>
      </c>
      <c r="J52" s="1162">
        <f t="shared" si="6"/>
        <v>23</v>
      </c>
      <c r="K52" s="1162">
        <f t="shared" ref="K52:M52" si="7">SUM((K51*230)/1000)</f>
        <v>19.55</v>
      </c>
      <c r="L52" s="1162">
        <f t="shared" si="7"/>
        <v>0</v>
      </c>
      <c r="M52" s="1162">
        <f t="shared" si="7"/>
        <v>0</v>
      </c>
      <c r="N52" s="1162">
        <f>H52+I52+J52+M52</f>
        <v>32.567999999999998</v>
      </c>
      <c r="O52" s="1166">
        <f>N52/B38</f>
        <v>5.4279999999999995E-2</v>
      </c>
      <c r="T52" s="958"/>
      <c r="U52" s="958"/>
    </row>
    <row r="53" spans="1:21" ht="15" thickBot="1">
      <c r="T53" s="958"/>
      <c r="U53" s="958"/>
    </row>
    <row r="54" spans="1:21" ht="21" customHeight="1">
      <c r="A54" s="1080" t="s">
        <v>1708</v>
      </c>
      <c r="B54" s="1157" t="s">
        <v>1670</v>
      </c>
      <c r="C54" s="1157" t="s">
        <v>1671</v>
      </c>
      <c r="D54" s="1157" t="s">
        <v>1724</v>
      </c>
      <c r="E54" s="1157" t="s">
        <v>1725</v>
      </c>
      <c r="F54" s="1157" t="s">
        <v>1726</v>
      </c>
      <c r="G54" s="1157" t="s">
        <v>1727</v>
      </c>
      <c r="H54" s="1080" t="s">
        <v>1728</v>
      </c>
      <c r="I54" s="1080" t="s">
        <v>1729</v>
      </c>
      <c r="J54" s="1080" t="s">
        <v>1730</v>
      </c>
      <c r="K54" s="1080" t="s">
        <v>1731</v>
      </c>
      <c r="L54" s="1080" t="s">
        <v>1732</v>
      </c>
      <c r="M54" s="1080" t="s">
        <v>1681</v>
      </c>
      <c r="T54" s="1483" t="s">
        <v>1739</v>
      </c>
      <c r="U54" s="1485" t="s">
        <v>1668</v>
      </c>
    </row>
    <row r="55" spans="1:21" ht="15" thickBot="1">
      <c r="A55" s="1080" t="s">
        <v>1698</v>
      </c>
      <c r="B55" s="1080">
        <f>'[8]PDU 1C '!$K$5</f>
        <v>0</v>
      </c>
      <c r="C55" s="1080">
        <f>'[8]PDU 1D '!$K$5</f>
        <v>0</v>
      </c>
      <c r="D55" s="1080">
        <f>'[8]PDU 4C  '!$K$5</f>
        <v>0</v>
      </c>
      <c r="E55" s="1080">
        <f>'[8]PDU 4D '!$K$5</f>
        <v>0</v>
      </c>
      <c r="F55" s="1080">
        <f>'[8]PDU 5C '!$K$5</f>
        <v>0</v>
      </c>
      <c r="G55" s="1080">
        <f>'[8]PDU 5D'!$K$5</f>
        <v>0</v>
      </c>
      <c r="H55" s="1163">
        <f>'[9]PDU 6C'!$K$5</f>
        <v>11.200000000000001</v>
      </c>
      <c r="I55" s="1163">
        <f>'[9]PDU 6D'!$K$5</f>
        <v>6.6</v>
      </c>
      <c r="J55" s="1163">
        <f>'[9]PDU 7C '!$K$5</f>
        <v>33</v>
      </c>
      <c r="K55" s="1163">
        <f>'[9]PDU 7D'!$K$5</f>
        <v>27</v>
      </c>
      <c r="L55" s="1163">
        <f>'[8]PDU 8C'!$K$5</f>
        <v>0</v>
      </c>
      <c r="M55" s="1163">
        <f>'[8]PDU 8D '!$K$5</f>
        <v>0</v>
      </c>
      <c r="T55" s="1484"/>
      <c r="U55" s="1486"/>
    </row>
    <row r="56" spans="1:21" ht="14.45">
      <c r="A56" s="1080" t="s">
        <v>1701</v>
      </c>
      <c r="B56" s="1080">
        <f>'[8]PDU 1C '!$K$6</f>
        <v>0</v>
      </c>
      <c r="C56" s="1080">
        <f>'[8]PDU 1D '!$K$6</f>
        <v>0</v>
      </c>
      <c r="D56" s="1080">
        <f>'[8]PDU 4C  '!$K$6</f>
        <v>0</v>
      </c>
      <c r="E56" s="1080">
        <f>'[8]PDU 4D '!$K$6</f>
        <v>0</v>
      </c>
      <c r="F56" s="1080">
        <f>'[8]PDU 5C '!$K$6</f>
        <v>0</v>
      </c>
      <c r="G56" s="1080">
        <f>'[8]PDU 5D'!$K$6</f>
        <v>0</v>
      </c>
      <c r="H56" s="1163">
        <f>'[9]PDU 6C'!$K$6</f>
        <v>9.4</v>
      </c>
      <c r="I56" s="1163">
        <f>'[9]PDU 6D'!$K$6</f>
        <v>7</v>
      </c>
      <c r="J56" s="1163">
        <f>'[9]PDU 7C '!$K$6</f>
        <v>26</v>
      </c>
      <c r="K56" s="1163">
        <f>'[9]PDU 7D'!$K$6</f>
        <v>25</v>
      </c>
      <c r="L56" s="1163">
        <f>'[8]PDU 8C'!$K$6</f>
        <v>0</v>
      </c>
      <c r="M56" s="1163">
        <f>'[8]PDU 8D '!$K$6</f>
        <v>0</v>
      </c>
    </row>
    <row r="57" spans="1:21" ht="14.45">
      <c r="A57" s="1080" t="s">
        <v>1702</v>
      </c>
      <c r="B57" s="1080">
        <f>'[8]PDU 1C '!$K$7</f>
        <v>0</v>
      </c>
      <c r="C57" s="1080">
        <f>'[8]PDU 1D '!$K$7</f>
        <v>0</v>
      </c>
      <c r="D57" s="1080">
        <f>'[8]PDU 4C  '!$K$7</f>
        <v>0</v>
      </c>
      <c r="E57" s="1080">
        <f>'[8]PDU 4D '!$K$7</f>
        <v>0</v>
      </c>
      <c r="F57" s="1080">
        <f>'[8]PDU 5C '!$K$7</f>
        <v>0</v>
      </c>
      <c r="G57" s="1080">
        <f>'[8]PDU 5D'!$K$7</f>
        <v>0</v>
      </c>
      <c r="H57" s="1163">
        <f>'[9]PDU 6C'!$K$7</f>
        <v>3.5999999999999996</v>
      </c>
      <c r="I57" s="1163">
        <f>'[9]PDU 6D'!$K$7</f>
        <v>3.8</v>
      </c>
      <c r="J57" s="1163">
        <f>'[9]PDU 7C '!$K$7</f>
        <v>41</v>
      </c>
      <c r="K57" s="1163">
        <f>'[9]PDU 7D'!$K$7</f>
        <v>33</v>
      </c>
      <c r="L57" s="1163">
        <f>'[8]PDU 8C'!$K$7</f>
        <v>0</v>
      </c>
      <c r="M57" s="1163">
        <f>'[8]PDU 8D '!$K$7</f>
        <v>0</v>
      </c>
    </row>
    <row r="58" spans="1:21" ht="15" thickBot="1">
      <c r="H58" s="1159"/>
      <c r="I58" s="1159"/>
    </row>
    <row r="59" spans="1:21" ht="29.25" customHeight="1" thickBot="1">
      <c r="A59" s="1496" t="s">
        <v>1740</v>
      </c>
      <c r="B59" s="1497"/>
      <c r="C59" s="1497"/>
      <c r="D59" s="1497"/>
      <c r="E59" s="1498"/>
      <c r="F59" s="1159"/>
      <c r="G59" s="1159"/>
    </row>
    <row r="60" spans="1:21" ht="10.15">
      <c r="A60" s="1089"/>
      <c r="B60" s="1107" t="s">
        <v>1710</v>
      </c>
      <c r="C60" s="1107" t="s">
        <v>1711</v>
      </c>
      <c r="D60" s="1108" t="s">
        <v>1712</v>
      </c>
      <c r="E60" s="1109" t="s">
        <v>1713</v>
      </c>
    </row>
    <row r="61" spans="1:21" ht="10.15">
      <c r="A61" s="1110" t="s">
        <v>1714</v>
      </c>
      <c r="B61" s="1094">
        <v>4</v>
      </c>
      <c r="C61" s="1095">
        <f>SUM(B61-1)*250</f>
        <v>750</v>
      </c>
      <c r="D61" s="1096">
        <f>SUM(C61/2)</f>
        <v>375</v>
      </c>
      <c r="E61" s="1097">
        <f>D61*0.9</f>
        <v>337.5</v>
      </c>
    </row>
    <row r="62" spans="1:21" ht="10.9" thickBot="1">
      <c r="A62" s="1111" t="s">
        <v>1715</v>
      </c>
      <c r="B62" s="1099">
        <v>4</v>
      </c>
      <c r="C62" s="1100">
        <f>SUM(B62-1)*250</f>
        <v>750</v>
      </c>
      <c r="D62" s="1101">
        <f>SUM(C62/2)</f>
        <v>375</v>
      </c>
      <c r="E62" s="1102">
        <f>D62*0.9</f>
        <v>337.5</v>
      </c>
    </row>
    <row r="63" spans="1:21" ht="15" thickBot="1">
      <c r="D63" s="1112" t="s">
        <v>566</v>
      </c>
      <c r="E63" s="1104">
        <v>675</v>
      </c>
      <c r="F63" s="1491" t="s">
        <v>1741</v>
      </c>
      <c r="G63" s="1492"/>
      <c r="H63" s="1492"/>
      <c r="I63" s="1493"/>
    </row>
    <row r="65" spans="1:7" ht="14.45">
      <c r="A65" s="1494" t="s">
        <v>1717</v>
      </c>
      <c r="B65" s="1464"/>
      <c r="C65" s="1464"/>
      <c r="D65" s="1464"/>
      <c r="E65" s="1464"/>
      <c r="F65" s="1464"/>
      <c r="G65" s="1495"/>
    </row>
    <row r="66" spans="1:7" ht="14.45">
      <c r="A66" s="1494" t="s">
        <v>1718</v>
      </c>
      <c r="B66" s="1464"/>
      <c r="C66" s="1464"/>
      <c r="D66" s="1464"/>
      <c r="E66" s="1464"/>
      <c r="F66" s="1464"/>
      <c r="G66" s="1495"/>
    </row>
    <row r="67" spans="1:7" ht="14.45">
      <c r="A67" s="1487" t="s">
        <v>1719</v>
      </c>
      <c r="B67" s="1487"/>
      <c r="C67" s="1487"/>
      <c r="D67" s="1487"/>
      <c r="E67" s="1487"/>
      <c r="F67" s="1487"/>
      <c r="G67" s="1487"/>
    </row>
  </sheetData>
  <mergeCells count="22">
    <mergeCell ref="T54:T55"/>
    <mergeCell ref="U54:U55"/>
    <mergeCell ref="A40:O40"/>
    <mergeCell ref="A67:G67"/>
    <mergeCell ref="A33:G33"/>
    <mergeCell ref="F63:I63"/>
    <mergeCell ref="A65:G65"/>
    <mergeCell ref="A66:G66"/>
    <mergeCell ref="Q40:R40"/>
    <mergeCell ref="D37:E37"/>
    <mergeCell ref="A59:E59"/>
    <mergeCell ref="Y14:Y15"/>
    <mergeCell ref="Z14:Z15"/>
    <mergeCell ref="U6:V6"/>
    <mergeCell ref="A32:G32"/>
    <mergeCell ref="A1:H1"/>
    <mergeCell ref="F29:I29"/>
    <mergeCell ref="A31:G31"/>
    <mergeCell ref="E3:F3"/>
    <mergeCell ref="A25:E25"/>
    <mergeCell ref="A6:O6"/>
    <mergeCell ref="Q6:R6"/>
  </mergeCells>
  <conditionalFormatting sqref="B9:M9">
    <cfRule type="cellIs" dxfId="56" priority="25" operator="greaterThan">
      <formula>75</formula>
    </cfRule>
    <cfRule type="cellIs" dxfId="55" priority="50" operator="between">
      <formula>67.5</formula>
      <formula>74.9</formula>
    </cfRule>
    <cfRule type="cellIs" dxfId="54" priority="51" operator="between">
      <formula>60</formula>
      <formula>67.4</formula>
    </cfRule>
    <cfRule type="cellIs" dxfId="53" priority="52" operator="between">
      <formula>52.5</formula>
      <formula>59.9</formula>
    </cfRule>
    <cfRule type="cellIs" dxfId="52" priority="53" operator="lessThan">
      <formula>52.4</formula>
    </cfRule>
  </conditionalFormatting>
  <conditionalFormatting sqref="N9">
    <cfRule type="cellIs" dxfId="51" priority="24" operator="greaterThan">
      <formula>600</formula>
    </cfRule>
    <cfRule type="cellIs" dxfId="50" priority="54" operator="between">
      <formula>540</formula>
      <formula>594</formula>
    </cfRule>
    <cfRule type="cellIs" dxfId="49" priority="55" operator="between">
      <formula>480</formula>
      <formula>540</formula>
    </cfRule>
    <cfRule type="cellIs" dxfId="48" priority="56" operator="between">
      <formula>420</formula>
      <formula>480</formula>
    </cfRule>
    <cfRule type="cellIs" dxfId="47" priority="57" operator="lessThan">
      <formula>419.9</formula>
    </cfRule>
  </conditionalFormatting>
  <conditionalFormatting sqref="B18:M18">
    <cfRule type="cellIs" dxfId="46" priority="23" operator="greaterThan">
      <formula>75</formula>
    </cfRule>
    <cfRule type="cellIs" dxfId="45" priority="42" operator="between">
      <formula>67.5</formula>
      <formula>74.9</formula>
    </cfRule>
    <cfRule type="cellIs" dxfId="44" priority="43" operator="between">
      <formula>60</formula>
      <formula>67.4</formula>
    </cfRule>
    <cfRule type="cellIs" dxfId="43" priority="44" operator="between">
      <formula>52.5</formula>
      <formula>59.9</formula>
    </cfRule>
    <cfRule type="cellIs" dxfId="42" priority="45" operator="lessThan">
      <formula>52.4</formula>
    </cfRule>
  </conditionalFormatting>
  <conditionalFormatting sqref="N18">
    <cfRule type="cellIs" dxfId="41" priority="46" operator="greaterThan">
      <formula>279</formula>
    </cfRule>
    <cfRule type="cellIs" dxfId="40" priority="47" operator="between">
      <formula>251</formula>
      <formula>278.9</formula>
    </cfRule>
    <cfRule type="cellIs" dxfId="39" priority="48" operator="between">
      <formula>220</formula>
      <formula>250.9</formula>
    </cfRule>
    <cfRule type="cellIs" dxfId="38" priority="49" operator="lessThan">
      <formula>219.9</formula>
    </cfRule>
  </conditionalFormatting>
  <conditionalFormatting sqref="B43:M43">
    <cfRule type="cellIs" dxfId="37" priority="22" operator="greaterThan">
      <formula>75</formula>
    </cfRule>
    <cfRule type="cellIs" dxfId="36" priority="34" operator="between">
      <formula>67.5</formula>
      <formula>74.9</formula>
    </cfRule>
    <cfRule type="cellIs" dxfId="35" priority="35" operator="between">
      <formula>60</formula>
      <formula>67.4</formula>
    </cfRule>
    <cfRule type="cellIs" dxfId="34" priority="36" operator="between">
      <formula>52.5</formula>
      <formula>59.9</formula>
    </cfRule>
    <cfRule type="cellIs" dxfId="33" priority="37" operator="lessThan">
      <formula>52.4</formula>
    </cfRule>
  </conditionalFormatting>
  <conditionalFormatting sqref="N43">
    <cfRule type="cellIs" dxfId="32" priority="38" operator="greaterThan">
      <formula>279</formula>
    </cfRule>
    <cfRule type="cellIs" dxfId="31" priority="39" operator="between">
      <formula>251</formula>
      <formula>278.9</formula>
    </cfRule>
    <cfRule type="cellIs" dxfId="30" priority="40" operator="between">
      <formula>220</formula>
      <formula>250.9</formula>
    </cfRule>
    <cfRule type="cellIs" dxfId="29" priority="41" operator="lessThan">
      <formula>219.9</formula>
    </cfRule>
  </conditionalFormatting>
  <conditionalFormatting sqref="B52:M52">
    <cfRule type="cellIs" dxfId="28" priority="21" operator="greaterThan">
      <formula>75</formula>
    </cfRule>
    <cfRule type="cellIs" dxfId="27" priority="26" operator="between">
      <formula>67.5</formula>
      <formula>74.9</formula>
    </cfRule>
    <cfRule type="cellIs" dxfId="26" priority="27" operator="between">
      <formula>60</formula>
      <formula>67.4</formula>
    </cfRule>
    <cfRule type="cellIs" dxfId="25" priority="28" operator="between">
      <formula>52.5</formula>
      <formula>59.9</formula>
    </cfRule>
    <cfRule type="cellIs" dxfId="24" priority="29" operator="lessThan">
      <formula>52.4</formula>
    </cfRule>
  </conditionalFormatting>
  <conditionalFormatting sqref="N52">
    <cfRule type="cellIs" dxfId="23" priority="30" operator="greaterThan">
      <formula>279</formula>
    </cfRule>
    <cfRule type="cellIs" dxfId="22" priority="31" operator="between">
      <formula>251</formula>
      <formula>278.9</formula>
    </cfRule>
    <cfRule type="cellIs" dxfId="21" priority="32" operator="between">
      <formula>220</formula>
      <formula>250.9</formula>
    </cfRule>
    <cfRule type="cellIs" dxfId="20" priority="33" operator="lessThan">
      <formula>219.9</formula>
    </cfRule>
  </conditionalFormatting>
  <conditionalFormatting sqref="O9">
    <cfRule type="cellIs" dxfId="19" priority="16" operator="greaterThan">
      <formula>$R$12</formula>
    </cfRule>
    <cfRule type="cellIs" dxfId="18" priority="17" operator="between">
      <formula>$Q$11</formula>
      <formula>$R$11</formula>
    </cfRule>
    <cfRule type="cellIs" dxfId="17" priority="18" operator="between">
      <formula>$Q$10</formula>
      <formula>$R$10</formula>
    </cfRule>
    <cfRule type="cellIs" dxfId="16" priority="19" operator="between">
      <formula>$Q$9</formula>
      <formula>$R$9</formula>
    </cfRule>
    <cfRule type="cellIs" dxfId="15" priority="20" operator="lessThan">
      <formula>$Q$8</formula>
    </cfRule>
  </conditionalFormatting>
  <conditionalFormatting sqref="O18">
    <cfRule type="cellIs" dxfId="14" priority="11" operator="greaterThan">
      <formula>$R$12</formula>
    </cfRule>
    <cfRule type="cellIs" dxfId="13" priority="12" operator="between">
      <formula>$Q$11</formula>
      <formula>$R$11</formula>
    </cfRule>
    <cfRule type="cellIs" dxfId="12" priority="13" operator="between">
      <formula>$Q$10</formula>
      <formula>$R$10</formula>
    </cfRule>
    <cfRule type="cellIs" dxfId="11" priority="14" operator="between">
      <formula>$Q$9</formula>
      <formula>$R$9</formula>
    </cfRule>
    <cfRule type="cellIs" dxfId="10" priority="15" operator="lessThan">
      <formula>$Q$8</formula>
    </cfRule>
  </conditionalFormatting>
  <conditionalFormatting sqref="O43">
    <cfRule type="cellIs" dxfId="9" priority="6" operator="greaterThan">
      <formula>$R$12</formula>
    </cfRule>
    <cfRule type="cellIs" dxfId="8" priority="7" operator="between">
      <formula>$Q$11</formula>
      <formula>$R$11</formula>
    </cfRule>
    <cfRule type="cellIs" dxfId="7" priority="8" operator="between">
      <formula>$Q$10</formula>
      <formula>$R$10</formula>
    </cfRule>
    <cfRule type="cellIs" dxfId="6" priority="9" operator="between">
      <formula>$Q$9</formula>
      <formula>$R$9</formula>
    </cfRule>
    <cfRule type="cellIs" dxfId="5" priority="10" operator="lessThan">
      <formula>$Q$8</formula>
    </cfRule>
  </conditionalFormatting>
  <conditionalFormatting sqref="O52">
    <cfRule type="cellIs" dxfId="4" priority="1" operator="greaterThan">
      <formula>$R$12</formula>
    </cfRule>
    <cfRule type="cellIs" dxfId="3" priority="2" operator="between">
      <formula>$Q$11</formula>
      <formula>$R$11</formula>
    </cfRule>
    <cfRule type="cellIs" dxfId="2" priority="3" operator="between">
      <formula>$Q$10</formula>
      <formula>$R$10</formula>
    </cfRule>
    <cfRule type="cellIs" dxfId="1" priority="4" operator="between">
      <formula>$Q$9</formula>
      <formula>$R$9</formula>
    </cfRule>
    <cfRule type="cellIs" dxfId="0" priority="5" operator="lessThan">
      <formula>$Q$8</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AAE268F7BEC4F81B272404FF520B8" ma:contentTypeVersion="8" ma:contentTypeDescription="Create a new document." ma:contentTypeScope="" ma:versionID="fd7a10eec78a60bc8b94afc5661e4be4">
  <xsd:schema xmlns:xsd="http://www.w3.org/2001/XMLSchema" xmlns:xs="http://www.w3.org/2001/XMLSchema" xmlns:p="http://schemas.microsoft.com/office/2006/metadata/properties" xmlns:ns2="722ef225-c862-440c-a707-0c097ebb83cb" targetNamespace="http://schemas.microsoft.com/office/2006/metadata/properties" ma:root="true" ma:fieldsID="fe80f1c38168ded7983939c034937a7e" ns2:_="">
    <xsd:import namespace="722ef225-c862-440c-a707-0c097ebb83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ef225-c862-440c-a707-0c097ebb83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0B519A-C3EE-4A3F-9BE0-15971C705FFD}"/>
</file>

<file path=customXml/itemProps2.xml><?xml version="1.0" encoding="utf-8"?>
<ds:datastoreItem xmlns:ds="http://schemas.openxmlformats.org/officeDocument/2006/customXml" ds:itemID="{80FFA5BD-38F6-4D09-B373-9D3D1926359D}"/>
</file>

<file path=customXml/itemProps3.xml><?xml version="1.0" encoding="utf-8"?>
<ds:datastoreItem xmlns:ds="http://schemas.openxmlformats.org/officeDocument/2006/customXml" ds:itemID="{ED07E7CA-ECF5-485F-8824-54754C02F1C6}"/>
</file>

<file path=docProps/app.xml><?xml version="1.0" encoding="utf-8"?>
<Properties xmlns="http://schemas.openxmlformats.org/officeDocument/2006/extended-properties" xmlns:vt="http://schemas.openxmlformats.org/officeDocument/2006/docPropsVTypes">
  <Application>Microsoft Excel Online</Application>
  <Manager/>
  <Company>Vodafone UK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dc:creator>
  <cp:keywords/>
  <dc:description/>
  <cp:lastModifiedBy>Ghazal Yazdanfar, Vodafone (External)</cp:lastModifiedBy>
  <cp:revision/>
  <dcterms:created xsi:type="dcterms:W3CDTF">2007-10-26T13:20:29Z</dcterms:created>
  <dcterms:modified xsi:type="dcterms:W3CDTF">2025-02-26T06:34:29Z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0x010100FECAAE268F7BEC4F81B272404FF520B8</vt:lpwstr>
  </property>
  <property fmtid="{D5CDD505-2E9C-101B-9397-08002B2CF9AE}" pid="4" name="AuthorIds_UIVersion_3072">
    <vt:lpwstr>13</vt:lpwstr>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y fmtid="{D5CDD505-2E9C-101B-9397-08002B2CF9AE}" pid="10" name="MSIP_Label_0359f705-2ba0-454b-9cfc-6ce5bcaac040_Enabled">
    <vt:lpwstr>true</vt:lpwstr>
  </property>
  <property fmtid="{D5CDD505-2E9C-101B-9397-08002B2CF9AE}" pid="11" name="MSIP_Label_0359f705-2ba0-454b-9cfc-6ce5bcaac040_SetDate">
    <vt:lpwstr>2024-05-01T14:04:03Z</vt:lpwstr>
  </property>
  <property fmtid="{D5CDD505-2E9C-101B-9397-08002B2CF9AE}" pid="12" name="MSIP_Label_0359f705-2ba0-454b-9cfc-6ce5bcaac040_Method">
    <vt:lpwstr>Standard</vt:lpwstr>
  </property>
  <property fmtid="{D5CDD505-2E9C-101B-9397-08002B2CF9AE}" pid="13" name="MSIP_Label_0359f705-2ba0-454b-9cfc-6ce5bcaac040_Name">
    <vt:lpwstr>0359f705-2ba0-454b-9cfc-6ce5bcaac040</vt:lpwstr>
  </property>
  <property fmtid="{D5CDD505-2E9C-101B-9397-08002B2CF9AE}" pid="14" name="MSIP_Label_0359f705-2ba0-454b-9cfc-6ce5bcaac040_SiteId">
    <vt:lpwstr>68283f3b-8487-4c86-adb3-a5228f18b893</vt:lpwstr>
  </property>
  <property fmtid="{D5CDD505-2E9C-101B-9397-08002B2CF9AE}" pid="15" name="MSIP_Label_0359f705-2ba0-454b-9cfc-6ce5bcaac040_ActionId">
    <vt:lpwstr>9b47494f-e525-4f32-bfa6-06a8c79b4473</vt:lpwstr>
  </property>
  <property fmtid="{D5CDD505-2E9C-101B-9397-08002B2CF9AE}" pid="16" name="MSIP_Label_0359f705-2ba0-454b-9cfc-6ce5bcaac040_ContentBits">
    <vt:lpwstr>2</vt:lpwstr>
  </property>
</Properties>
</file>