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comments10.xml" ContentType="application/vnd.openxmlformats-officedocument.spreadsheetml.comments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" sheetId="1" state="visible" r:id="rId2"/>
    <sheet name="All" sheetId="2" state="visible" r:id="rId3"/>
    <sheet name="Site check" sheetId="3" state="visible" r:id="rId4"/>
    <sheet name="Site check - Dual" sheetId="4" state="visible" r:id="rId5"/>
    <sheet name="SYS Allocations" sheetId="5" state="visible" r:id="rId6"/>
    <sheet name="DC Dist Allocations" sheetId="6" state="visible" r:id="rId7"/>
    <sheet name="Space" sheetId="7" state="visible" r:id="rId8"/>
    <sheet name="Single_Check" sheetId="8" state="visible" r:id="rId9"/>
    <sheet name="Issue Log" sheetId="9" state="visible" r:id="rId10"/>
    <sheet name="Data" sheetId="10" state="visible" r:id="rId11"/>
    <sheet name="Rectifier_Lookup" sheetId="11" state="visible" r:id="rId12"/>
    <sheet name="Battery_Lookup_20%" sheetId="12" state="visible" r:id="rId13"/>
    <sheet name="Sheet2" sheetId="13" state="visible" r:id="rId14"/>
    <sheet name="Battery_Lookup_10%" sheetId="14" state="visible" r:id="rId15"/>
    <sheet name="Multiroom cooling" sheetId="15" state="visible" r:id="rId16"/>
  </sheets>
  <externalReferences>
    <externalReference r:id="rId17"/>
    <externalReference r:id="rId18"/>
    <externalReference r:id="rId19"/>
  </externalReferences>
  <definedNames>
    <definedName function="false" hidden="true" localSheetId="1" name="_xlnm._FilterDatabase" vbProcedure="false">All!$A$7:$BA$268</definedName>
    <definedName function="false" hidden="true" localSheetId="0" name="_xlnm._FilterDatabase" vbProcedure="false">Cover!$A$7:$R$270</definedName>
    <definedName function="false" hidden="true" localSheetId="9" name="_xlnm._FilterDatabase" vbProcedure="false">Data!$A$1:$A$208</definedName>
    <definedName function="false" hidden="false" name="rates_multiplier" vbProcedure="false">[1]Summary!$E$3</definedName>
    <definedName function="false" hidden="false" name="Total_Allocated_Load_kW" vbProcedure="false">#REF!</definedName>
    <definedName function="false" hidden="false" localSheetId="3" name="Total_Allocated_Load_kW" vbProcedure="false">#REF!</definedName>
    <definedName function="false" hidden="false" localSheetId="4" name="_xlnm._FilterDatabase" vbProcedure="false">'SYS Allocations'!$A$7:$AK$269</definedName>
    <definedName function="false" hidden="false" localSheetId="7" name="Total_Allocated_Load_kW" vbProcedure="false">#REF!</definedName>
    <definedName function="false" hidden="false" localSheetId="10" name="Total_Allocated_Load_kW" vbProcedure="false">#REF!</definedName>
    <definedName function="false" hidden="false" localSheetId="11" name="Total_Allocated_Load_kW" vbProcedure="false">#REF!</definedName>
    <definedName function="false" hidden="false" localSheetId="13" name="Total_Allocated_Load_k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Systems linked to BSHN07 to show on Crown, but cover mulitple rooms so cooling doesn't work out</t>
        </r>
      </text>
    </comment>
    <comment ref="K19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P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  </r>
      </text>
    </comment>
    <comment ref="I3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  </r>
      </text>
    </comment>
    <comment ref="I8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  </r>
      </text>
    </comment>
    <comment ref="I1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  </r>
      </text>
    </comment>
    <comment ref="I2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  </r>
      </text>
    </comment>
    <comment ref="I2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  </r>
      </text>
    </comment>
    <comment ref="J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  </r>
      </text>
    </comment>
    <comment ref="J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
Reply:
    2.5kW allocation reduced due to live reading of 0.9KW
Reply:
    2.5kW allocation reduced due to live reading of 0.9KW
Reply:
    2.5kW allocation reduced due to live reading of 1.1KW
Reply:
    2.5kW allocation reduced due to live reading of 1.6KW
Reply:
    2.5kW allocation reduced due to live reading of 1.6KW</t>
        </r>
      </text>
    </comment>
    <comment ref="J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
Reply:
    2.5kW allocation reduced due to live reading of 2.3KW
Reply:
    2.5kW allocation reduced due to live reading of 2.2KW
Reply:
    2.5kW allocation reduced due to live reading of 2.1KW
Reply:
    2.5kW allocation reduced due to live reading of 1.5KW
Reply:
    2.5kW allocation reduced due to live reading of 1.5KW</t>
        </r>
      </text>
    </comment>
    <comment ref="J1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  </r>
      </text>
    </comment>
    <comment ref="J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  </r>
      </text>
    </comment>
    <comment ref="J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  </r>
      </text>
    </comment>
    <comment ref="J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3.5kW</t>
        </r>
      </text>
    </comment>
    <comment ref="J3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0.2kW
Reply:
    38kW allocation reduced due to live reading of 0.2kW
Reply:
    38kW allocation reduced due to live reading of 0.3kW</t>
        </r>
      </text>
    </comment>
    <comment ref="J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1.8kW
Reply:
    38kW allocation reduced due to live reading of 1.8kW
Reply:
    38kW allocation reduced due to live reading of 1.8kW</t>
        </r>
      </text>
    </comment>
    <comment ref="J4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  </r>
      </text>
    </comment>
    <comment ref="J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
Reply:
    2.5kW allocation reduced due to live reading of 1.3kW
Reply:
    2.5kW allocation reduced due to live reading of 1.4kW
Reply:
    2.5kW allocation reduced due to live reading of 1.4kW</t>
        </r>
      </text>
    </comment>
    <comment ref="J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
Reply:
    2.5kW allocation reduced due to live reading of 1.5kW
Reply:
    2.5kW allocation reduced due to live reading of 1.1kW
Reply:
    2.5kW allocation reduced due to live reading of 1.6kW</t>
        </r>
      </text>
    </comment>
    <comment ref="J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  </r>
      </text>
    </comment>
    <comment ref="J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
Reply:
    5kW allocation reduced due to live reading of 3.3KW
Reply:
    5kW allocation reduced due to live reading of 3.3KW
Reply:
    5kW allocation reduced due to live reading of 3.3KW</t>
        </r>
      </text>
    </comment>
    <comment ref="J5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  </r>
      </text>
    </comment>
    <comment ref="J7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0.15kW
Reply:
    6kW allocation reduced due to live reading of 0.2kW
Reply:
    6kW allocation reduced due to live reading of 0.2kW</t>
        </r>
      </text>
    </comment>
    <comment ref="J7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0.15kW
Reply:
    6kW allocation reduced due to live reading of 0.2kW
Reply:
    6kW allocation reduced due to live reading of 0.2kW</t>
        </r>
      </text>
    </comment>
    <comment ref="J7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0.15kW
Reply:
    6kW allocation reduced due to live reading of 0.15kW
Reply:
    6kW allocation reduced due to live reading of  0.25kW</t>
        </r>
      </text>
    </comment>
    <comment ref="J8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0.15kW
Reply:
    6kW allocation reduced due to live reading of 0.15kW
Reply:
    6kW allocation reduced due to live reading of  0.25kW</t>
        </r>
      </text>
    </comment>
    <comment ref="J8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  </r>
      </text>
    </comment>
    <comment ref="J9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  </r>
      </text>
    </comment>
    <comment ref="J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
Reply:
    2.5kW allocation reduced due to live reading of 1.1kW
Reply:
    2.5kW allocation reduced due to live reading of 1.1kW
Reply:
    2.5kW allocation reduced due to live reading of 1.5kW
Reply:
    2.5kW allocation reduced due to live reading of 1.5kW
Reply:
    2.5kW allocation reduced due to live reading of 1.5kW</t>
        </r>
      </text>
    </comment>
    <comment ref="J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
Reply:
    2.5kW allocation reduced due to live reading of 1.9kW
Reply:
    2.5kW allocation reduced due to live reading of 1.9kW
Reply:
    2.5kW allocation reduced due to live reading of 1.5kW
Reply:
    2.5kW allocation reduced due to live reading of 1.5kW
Reply:
    2.5kW allocation reduced due to live reading of 1.5kW</t>
        </r>
      </text>
    </comment>
    <comment ref="J10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0.2kW
Reply:
    6kW allocation reduced due to live reading of 0.15kW</t>
        </r>
      </text>
    </comment>
    <comment ref="J10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0.1kW
Reply:
    6kW allocation reduced due to live reading of 0.2kW
Reply:
    6kW allocation reduced due to live reading of 0.15kW</t>
        </r>
      </text>
    </comment>
    <comment ref="J1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0.25kW</t>
        </r>
      </text>
    </comment>
    <comment ref="J11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0.2kW
Reply:
    6kW allocation reduced due to live reading of 0.25kW</t>
        </r>
      </text>
    </comment>
    <comment ref="J11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0.35kW
Reply:
    2.5kW allocation reduced due to live reading of 0.35kW
Reply:
    2.5kW allocation reduced due to live reading of 0.35kW</t>
        </r>
      </text>
    </comment>
    <comment ref="J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0.4kW
Reply:
    2.5kW allocation reduced due to live reading of 0.35kW
Reply:
    2.5kW allocation reduced due to live reading of 0.35kW
Reply:
    2.5kW allocation reduced due to live reading of 0.35kW</t>
        </r>
      </text>
    </comment>
    <comment ref="J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  </r>
      </text>
    </comment>
    <comment ref="J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  </r>
      </text>
    </comment>
    <comment ref="J12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12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  </r>
      </text>
    </comment>
    <comment ref="J1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  </r>
      </text>
    </comment>
    <comment ref="J1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  </r>
      </text>
    </comment>
    <comment ref="J13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  </r>
      </text>
    </comment>
    <comment ref="J13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  </r>
      </text>
    </comment>
    <comment ref="J13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  </r>
      </text>
    </comment>
    <comment ref="J1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
Reply:
    5kW allocation reduced due to live reading of 3.9kW
Reply:
    5kW allocation reduced due to live reading of 3.9kW
Reply:
    5kW allocation reduced due to live reading of 3.9kW
Reply:
    5kW allocation reduced due to live reading of 4kW</t>
        </r>
      </text>
    </comment>
    <comment ref="J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
Reply:
    2.5kW allocation reduced due to live reading of 0.3kW
Reply:
    2.5kW allocation reduced due to live reading of 1.5kW
Reply:
    2.5kW allocation reduced due to live reading of 1.55kW
Reply:
    2.5kW allocation reduced due to live reading of 1.6kW</t>
        </r>
      </text>
    </comment>
    <comment ref="J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
Reply:
    2.5kW allocation reduced due to live reading of 0.3kW
Reply:
    2.5kW allocation reduced due to live reading of 1.5kW
Reply:
    2.5kW allocation reduced due to live reading of 1.55kW
Reply:
    2.5kW allocation reduced due to live reading of 1.6kW</t>
        </r>
      </text>
    </comment>
    <comment ref="J1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  </r>
      </text>
    </comment>
    <comment ref="J14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14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15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</t>
        </r>
      </text>
    </comment>
    <comment ref="J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
Reply:
    6kW allocation reduced due to live reading of 3.5kW
Reply:
    6kW allocation reduced due to live reading of 2.2kW
Reply:
    6kW allocation reduced due to live reading of 3.6kW
Reply:
    6kW allocation reduced due to live reading of 3.6kW
Reply:
    6kW allocation reduced due to live reading of 3.6kW</t>
        </r>
      </text>
    </comment>
    <comment ref="J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
Reply:
    6kW allocation reduced due to live reading of 3.8kW
Reply:
    6kW allocation reduced due to live reading of 2.2kW
Reply:
    6kW allocation reduced due to live reading of 3.6kW
Reply:
    6kW allocation reduced due to live reading of 3.6kW
Reply:
    6kW allocation reduced due to live reading of 3.8kW</t>
        </r>
      </text>
    </comment>
    <comment ref="J16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  </r>
      </text>
    </comment>
    <comment ref="J1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  </r>
      </text>
    </comment>
    <comment ref="J17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1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
Reply:
    2.5kW allocation reduced due to live reading of 2.1kW
Reply:
    2.5kW allocation reduced due to live reading of 2.1kW
Reply:
    2.5kW allocation reduced due to live reading of 1.6kW
Reply:
    2.5kW allocation reduced due to live reading of 2.1kW</t>
        </r>
      </text>
    </comment>
    <comment ref="J1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
Reply:
    2.5kW allocation reduced due to live reading of 1.2kW
Reply:
    2.5kW allocation reduced due to live reading of 1.2kW
Reply:
    2.5kW allocation reduced due to live reading of 1.6kW
Reply:
    2.5kW allocation reduced due to live reading of 1.8kW</t>
        </r>
      </text>
    </comment>
    <comment ref="J17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
Reply:
    2.5 kW allocation reduced due to live reading of 1.6kW
Reply:
    2.5 kW allocation reduced due to live reading of 1.5kW
Reply:
    2.5 kW allocation reduced due to live reading of 1.2kW
Reply:
    2.5 kW allocation reduced due to live reading of 1.6kW</t>
        </r>
      </text>
    </comment>
    <comment ref="J17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
Reply:
    2.5 kW allocation reduced due to live reading of 0.9kW
Reply:
    2.5 kW allocation reduced due to live reading of 0.9kW
Reply:
    2.5 kW allocation reduced due to live reading of 1.2kW
Reply:
    2.5 kW allocation reduced due to live reading of 0.8kW</t>
        </r>
      </text>
    </comment>
    <comment ref="J18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
Reply:
    2.5kW allocation reduced due to live reading of 0.9KW
Reply:
    2.5kW allocation reduced due to live reading of 0.9KW
Reply:
    2.5kW allocation reduced due to live reading of 1.5KW</t>
        </r>
      </text>
    </comment>
    <comment ref="J18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  </r>
      </text>
    </comment>
    <comment ref="J18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  </r>
      </text>
    </comment>
    <comment ref="J1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  </r>
      </text>
    </comment>
    <comment ref="J1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19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2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2.7kW
Reply:
    5kW allocation reduced due to live reading of 2.6kW
Reply:
    5kW allocation reduced due to live reading of 3kW</t>
        </r>
      </text>
    </comment>
    <comment ref="J20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  </r>
      </text>
    </comment>
    <comment ref="J20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
Reply:
    2.5kW allocation reduced due to live reading of 1.3kW
Reply:
    2.5kW allocation reduced due to live reading of 1.4kW
Reply:
    2.5kW allocation reduced due to live reading of 1.4kW
Reply:
    2.5kW allocation reduced due to live reading of 1.4kW</t>
        </r>
      </text>
    </comment>
    <comment ref="J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
Reply:
    2.5kW allocation reduced due to live reading of 1.6kW
Reply:
    2.5kW allocation reduced due to live reading of 1.4kW
Reply:
    2.5kW allocation reduced due to live reading of 1.4kW
Reply:
    2.5kW allocation reduced due to live reading of 1.4kW</t>
        </r>
      </text>
    </comment>
    <comment ref="J22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  </r>
      </text>
    </comment>
    <comment ref="J2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  </r>
      </text>
    </comment>
    <comment ref="J23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  </r>
      </text>
    </comment>
    <comment ref="J23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</t>
        </r>
      </text>
    </comment>
    <comment ref="J23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</t>
        </r>
      </text>
    </comment>
    <comment ref="J23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
Reply:
    2.5kW allocation reduced due to live reading of 1.6kW
Reply:
    2.5kW allocation reduced due to live reading of 1.6kW
Reply:
    2.5kW allocation reduced due to live reading of 1.3kW
Reply:
    2.5kW allocation reduced due to live reading of 1.3kW
Reply:
    2.5kW allocation reduced due to live reading of 1.3kW</t>
        </r>
      </text>
    </comment>
    <comment ref="J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
Reply:
    2.25kW allocation reduced due to live reading of 1.0kW
Reply:
    2.25kW allocation reduced due to live reading of 1.0kW
Reply:
    2.5kW allocation reduced due to live reading of 1.3kW
Reply:
    2.5kW allocation reduced due to live reading of 1.3kW
Reply:
    2.5kW allocation reduced due to live reading of 1.3kW</t>
        </r>
      </text>
    </comment>
    <comment ref="J24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J2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  </r>
      </text>
    </comment>
    <comment ref="J2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  </r>
      </text>
    </comment>
    <comment ref="K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  </r>
      </text>
    </comment>
    <comment ref="K2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  </r>
      </text>
    </comment>
    <comment ref="K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  </r>
      </text>
    </comment>
    <comment ref="K8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</t>
        </r>
      </text>
    </comment>
    <comment ref="K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  </r>
      </text>
    </comment>
    <comment ref="K1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  </r>
      </text>
    </comment>
    <comment ref="K11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  </r>
      </text>
    </comment>
    <comment ref="K1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  </r>
      </text>
    </comment>
    <comment ref="K18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  </r>
      </text>
    </comment>
    <comment ref="K19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L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
Reply:
    4.25kW allocation reduced due to live reading of 1.2KW
Reply:
    4.25kW allocation reduced due to live reading of 1.2KW
Reply:
    4.25kW allocation reduced due to live reading of 1.3KW
Reply:
    4.25kW allocation reduced due to live reading of 1.5KW
Reply:
    4.25kW allocation reduced due to live reading of 1.4KW</t>
        </r>
      </text>
    </comment>
    <comment ref="L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
Reply:
    4.25kW allocation reduced due to live reading of 2.1KW
Reply:
    4.25kW allocation reduced due to live reading of 2.1KW
Reply:
    4.25kW allocation reduced due to live reading of 2.1KW
Reply:
    4.25kW allocation reduced due to live reading of 1.8KW
Reply:
    4.25kW allocation reduced due to live reading of 1.8KW</t>
        </r>
      </text>
    </comment>
    <comment ref="L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3.6KW
Reply:
    4kW allocation reduced due to live reading of 3.7KW</t>
        </r>
      </text>
    </comment>
    <comment ref="L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3.6KW
Reply:
    4kW allocation reduced due to live reading of 3.5KW</t>
        </r>
      </text>
    </comment>
    <comment ref="L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  </r>
      </text>
    </comment>
    <comment ref="L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
Reply:
    2.5kW allocation reduced due to live reading of 0.6kW
Reply:
    2.5kW allocation reduced due to live reading of 0.6kW
Reply:
    2.5kW allocation reduced due to live reading of 0.5kW</t>
        </r>
      </text>
    </comment>
    <comment ref="L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
Reply:
    2.5kW allocation reduced due to live reading of 1.8kW
Reply:
    2.5kW allocation reduced due to live reading of 2kW
Reply:
    2.5kW allocation reduced due to live reading of 2.3kW
Reply:
    2.5kW allocation reduced due to live reading of 1.9kW</t>
        </r>
      </text>
    </comment>
    <comment ref="L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
Reply:
    37.5kW allocation reduced due to live reading of 7.8kW
Reply:
    37.5kW allocation reduced due to live reading of 4.8kW
Reply:
    37.5kW allocation reduced due to live reading of 4.9kW</t>
        </r>
      </text>
    </comment>
    <comment ref="L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37.5kW allocation reduced due to live reading of 8.8kW
Reply:
    37.5kW allocation reduced due to live reading of 7kW
Reply:
    37.5kW allocation reduced due to live reading of 6.1kW</t>
        </r>
      </text>
    </comment>
    <comment ref="L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PX allocation increased to 5kW due to live load of 4.35kW
Reply:
    5kW allocation reduced due to live reading of 4.6kW</t>
        </r>
      </text>
    </comment>
    <comment ref="L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PX allocation increased to 5kW due to live load of 4.35kW
Reply:
    5kW allocation reduced due to live reading of 4.3kW</t>
        </r>
      </text>
    </comment>
    <comment ref="L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7KW
Reply:
    8kW allocation reduced due to live reading of 7KW
Reply:
    8kW allocation reduced due to live reading of 7.1KW</t>
        </r>
      </text>
    </comment>
    <comment ref="L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
Reply:
    2.5kW allocation reduced due to live reading of 1.9KW
Reply:
    2.5kW allocation reduced due to live reading of 1.8KW
Reply:
    2.5kW allocation reduced due to live reading of 1.85KW
Reply:
    2.5kW allocation reduced due to live reading of 1.85KW</t>
        </r>
      </text>
    </comment>
    <comment ref="L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
Reply:
    2.5kW allocation reduced due to live reading of 1.8KW
Reply:
    2.5kW allocation reduced due to live reading of 1.8KW
Reply:
    2.5kW allocation reduced due to live reading of 1.85KW
Reply:
    2.5kW allocation reduced due to live reading of 1.85KW</t>
        </r>
      </text>
    </comment>
    <comment ref="L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3.45kW</t>
        </r>
      </text>
    </comment>
    <comment ref="L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3.45kW</t>
        </r>
      </text>
    </comment>
    <comment ref="L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0.15kW
Reply:
    2.5kW allocation reduced due to live reading of 0.15kW
Reply:
    2.5kW allocation reduced due to live reading of 0.15kW</t>
        </r>
      </text>
    </comment>
    <comment ref="L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0.15kW
Reply:
    2.5kW allocation reduced due to live reading of 0.15kW
Reply:
    2.5kW allocation reduced due to live reading of 0.15kW</t>
        </r>
      </text>
    </comment>
    <comment ref="L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0.9kW
Reply:
    2kW allocation reduced due to live reading of 1.0kW
Reply:
    2kW allocation reduced due to live reading of 0.9kW
Reply:
    2kW allocation reduced due to live reading of 0.85kW
Reply:
    2kW allocation reduced due to live reading of 0.9kW</t>
        </r>
      </text>
    </comment>
    <comment ref="L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0.8kW
Reply:
    2kW allocation reduced due to live reading of 0.8kW
Reply:
    2kW allocation reduced due to live reading of 0.9kW
Reply:
    2kW allocation reduced due to live reading of 0.85kW
Reply:
    2kW allocation reduced due to live reading of 0.9kW</t>
        </r>
      </text>
    </comment>
    <comment ref="L13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  </r>
      </text>
    </comment>
    <comment ref="L1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  </r>
      </text>
    </comment>
    <comment ref="L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3.2kW
Reply:
    5kW allocation reduced due to live reading of 3.7kW
Reply:
    5kW allocation reduced due to live reading of 3.2kW
Reply:
    5kW allocation reduced due to live reading of 3.1kW</t>
        </r>
      </text>
    </comment>
    <comment ref="L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
Reply:
    2.5kW allocation reduced due to live reading of 1.6kW
Reply:
    2.5kW allocation reduced due to live reading of 1.8kW
Reply:
    2.5kW allocation reduced due to live reading of 1.8kW
Reply:
    2.5kW allocation reduced due to live reading of 1.6kW</t>
        </r>
      </text>
    </comment>
    <comment ref="L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
Reply:
    2.5kW allocation reduced due to live reading of 2kW
Reply:
    2.5kW allocation reduced due to live reading of 1.8kW
Reply:
    2.5kW allocation reduced due to live reading of 1.8kW
Reply:
    2.5kW allocation reduced due to live reading of 2kW</t>
        </r>
      </text>
    </comment>
    <comment ref="L16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  </r>
      </text>
    </comment>
    <comment ref="L1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
Reply:
    6kW allocation reduced due to live reading of 0.9kW
Reply:
    6kW allocation reduced due to live reading of 0.9kW
Reply:
    6kW allocation reduced due to live reading of 0.9kW
Reply:
    6kW allocation reduced due to live reading of 0.9kW</t>
        </r>
      </text>
    </comment>
    <comment ref="L1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
Reply:
    6kW allocation reduced due to live reading of 0.8kW
Reply:
    6kW allocation reduced due to live reading of 0.8kW
Reply:
    6kW allocation reduced due to live reading of 0.8kW
Reply:
    6kW allocation reduced due to live reading of 0.8kW</t>
        </r>
      </text>
    </comment>
    <comment ref="L17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0.2 kW</t>
        </r>
      </text>
    </comment>
    <comment ref="L17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0.2 kW
Reply:
    6 kW allocation reduced due to live reading of 0.1 kW</t>
        </r>
      </text>
    </comment>
    <comment ref="L18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
Reply:
    6kW allocation reduced due to live reading of 3.8kW
Reply:
    6kW allocation reduced due to live reading of 3.9kW
Reply:
    6kW allocation reduced due to live reading of 3.9kW
Reply:
    6kW allocation reduced due to live reading of 0.3kW</t>
        </r>
      </text>
    </comment>
    <comment ref="L18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0.2kW
Reply:
    3kW allocation reduced due to live reading of 0.2kW
Reply:
    3kW allocation reduced due to live reading of 0.2kW
Reply:
    3kW allocation reduced due to live reading of 0.2kW</t>
        </r>
      </text>
    </comment>
    <comment ref="L1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0.2kW
Reply:
    3kW allocation reduced due to live reading of 0.2kW
Reply:
    3kW allocation reduced due to live reading of 0.2kW</t>
        </r>
      </text>
    </comment>
    <comment ref="L2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7.4kW
Reply:
    Allocation increased to 8.5kW due to live reading of 8.37kW</t>
        </r>
      </text>
    </comment>
    <comment ref="L2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  </r>
      </text>
    </comment>
    <comment ref="L23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  </r>
      </text>
    </comment>
    <comment ref="L23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0.3kW
Reply:
    2kW allocation reduced due to live reading of 0.3kW
Reply:
    2kW allocation reduced due to live reading of 0.3kW</t>
        </r>
      </text>
    </comment>
    <comment ref="L23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0.3kW
Reply:
    2kW allocation reduced due to live reading of 0.3kW</t>
        </r>
      </text>
    </comment>
    <comment ref="L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  </r>
      </text>
    </comment>
    <comment ref="L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  </r>
      </text>
    </comment>
    <comment ref="L2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  </r>
      </text>
    </comment>
    <comment ref="M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  </r>
      </text>
    </comment>
    <comment ref="M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  </r>
      </text>
    </comment>
    <comment ref="M4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M5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M11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  </r>
      </text>
    </comment>
    <comment ref="M1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MSPP 1684 New rack is planned and power allocated for 2.2KW</t>
        </r>
      </text>
    </comment>
    <comment ref="M14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  </r>
      </text>
    </comment>
    <comment ref="M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  </r>
      </text>
    </comment>
    <comment ref="M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  </r>
      </text>
    </comment>
    <comment ref="M16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M18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5142 planned for ORMT_SAP_240715_11_w014433</t>
        </r>
      </text>
    </comment>
    <comment ref="M1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M20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M2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N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N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N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
Reply:
    2.5KW allocation reduced to live reading of 1.4KW
Reply:
    2.5KW allocation reduced to live reading of 0.9KW
Reply:
    2.5KW allocation reduced to live reading of 1.2KW</t>
        </r>
      </text>
    </comment>
    <comment ref="N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  </r>
      </text>
    </comment>
    <comment ref="N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  </r>
      </text>
    </comment>
    <comment ref="N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  </r>
      </text>
    </comment>
    <comment ref="N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  </r>
      </text>
    </comment>
    <comment ref="N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  </r>
      </text>
    </comment>
    <comment ref="N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</t>
        </r>
      </text>
    </comment>
    <comment ref="N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
Reply:
    2kW allocation reduced due to live reading of 0.7kW
Reply:
    2kW allocation reduced due to live reading of 0.8kW</t>
        </r>
      </text>
    </comment>
    <comment ref="N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2KW
Reply:
    4kW allocation reduced due to live reading of 2KW
Reply:
    4kW allocation reduced due to live reading of 2.4KW</t>
        </r>
      </text>
    </comment>
    <comment ref="N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
Reply:
    11kW allocation reduced due to live reading of 6.9KW
Reply:
    11kW allocation reduced due to live reading of 6.9KW
Reply:
    11kW allocation reduced due to live reading of 6.8KW</t>
        </r>
      </text>
    </comment>
    <comment ref="N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1.0KW
Reply:
    2.25kW allocation reduced due to live reading of 1.2KW
Reply:
    2.25kW allocation reduced due to live reading of 1.4KW
Reply:
    2.25kW allocation reduced due to live reading of 1.4KW
Reply:
    2.25kW allocation reduced due to live reading of 1.4KW</t>
        </r>
      </text>
    </comment>
    <comment ref="N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1.2KW
Reply:
    2.25kW allocation reduced due to live reading of 1.4KW
Reply:
    2.25kW allocation reduced due to live reading of 1.4KW</t>
        </r>
      </text>
    </comment>
    <comment ref="N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0.75kW
Reply:
    2kW allocation reduced due to live reading of 0.7kW</t>
        </r>
      </text>
    </comment>
    <comment ref="N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0.75kW
Reply:
    2kW allocation reduced due to live reading of 0.7kW</t>
        </r>
      </text>
    </comment>
    <comment ref="N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1.25kW
Reply:
    2.5kW allocation reduced due to live reading of 1.2kW</t>
        </r>
      </text>
    </comment>
    <comment ref="N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
Reply:
    2.5kW allocation reduced due to live reading of 1.3kW
Reply:
    2.5kW allocation reduced due to live reading of 1.3kW
Reply:
    2.5kW allocation reduced due to live reading of 1.2kW
Reply:
    2.5kW allocation reduced due to live reading of 1.25kW
Reply:
    2.5kW allocation reduced due to live reading of 1.2kW</t>
        </r>
      </text>
    </comment>
    <comment ref="N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0.55kW
Reply:
    2kW allocation reduced due to live reading of 0.55kW
Reply:
    2kW allocation reduced due to live reading of 0.55kW</t>
        </r>
      </text>
    </comment>
    <comment ref="N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0.55kW
Reply:
    2kW allocation reduced due to live reading of 0.55kW
Reply:
    2kW allocation reduced due to live reading of 0.55kW</t>
        </r>
      </text>
    </comment>
    <comment ref="N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
Reply:
    4kW allocation reduced due to live reading of 3.3kW
Reply:
    8kW allocation reduced due to live reading of 2.95kW
Reply:
    8kW allocation reduced due to live reading of 3.1kW
Reply:
    8kW allocation reduced due to live reading of 3.1kW</t>
        </r>
      </text>
    </comment>
    <comment ref="N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
Reply:
    4kW allocation reduced due to live reading of 2.6kW
Reply:
    4kW allocation reduced due to live reading of 2.6kW
Reply:
    4kW allocation reduced due to live reading of 2.6kW
Reply:
    4kW allocation reduced due to live reading of 2.6kW
Reply:
    8kW allocation reduced due to live reading of 2.95kW
Reply:
    8kW allocation reduced due to live reading of 3.1kW
Reply:
    8kW allocation reduced due to live reading of 3.1kW</t>
        </r>
      </text>
    </comment>
    <comment ref="N1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0.2kW</t>
        </r>
      </text>
    </comment>
    <comment ref="N1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  </r>
      </text>
    </comment>
    <comment ref="N18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4kW allocation reduced due to live reading of 0.2kW
Reply:
    4kW allocation reduced due to live reading of 0.4kW</t>
        </r>
      </text>
    </comment>
    <comment ref="N2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2.1kW
Reply:
    4kW allocation reduced due to live reading of 2.2kW
Reply:
    4kW allocation reduced due to live reading of 2.3kW</t>
        </r>
      </text>
    </comment>
    <comment ref="N20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  </r>
      </text>
    </comment>
    <comment ref="N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0.7kW
Reply:
    2kW allocation reduced due to live reading of 0.8kW
Reply:
    2kW allocation reduced due to live reading of 0.8kW
Reply:
    2kW allocation reduced due to live reading of 0.8kW</t>
        </r>
      </text>
    </comment>
    <comment ref="N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
Reply:
    2kW allocation reduced due to live reading of 0.7kW
Reply:
    2kW allocation reduced due to live reading of 0.8kW
Reply:
    2kW allocation reduced due to live reading of 0.8kW
Reply:
    2kW allocation reduced due to live reading of 0.8kW</t>
        </r>
      </text>
    </comment>
    <comment ref="N2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  </r>
      </text>
    </comment>
    <comment ref="N23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  </r>
      </text>
    </comment>
    <comment ref="N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
Reply:
    2.25kW allocation reduced due to live reading of 0.9kW
Reply:
    2.25kW allocation reduced due to live reading of 0.9kW
Reply:
    2.25kW allocation reduced due to live reading of 1.0kW
Reply:
    2.25kW allocation reduced due to live reading of 1.0kW
Reply:
    2.25kW allocation reduced due to live reading of 1.0kW</t>
        </r>
      </text>
    </comment>
    <comment ref="N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
Reply:
    2.25kW allocation reduced due to live reading of 0.9kW
Reply:
    2.25kW allocation reduced due to live reading of 0.9kW
Reply:
    2.25kW allocation reduced due to live reading of 1.0kW
Reply:
    2.25kW allocation reduced due to live reading of 1.0kW
Reply:
    2.25kW allocation reduced due to live reading of 1.0kW</t>
        </r>
      </text>
    </comment>
    <comment ref="N24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  </r>
      </text>
    </comment>
    <comment ref="N2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  </r>
      </text>
    </comment>
    <comment ref="O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  </r>
      </text>
    </comment>
    <comment ref="O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O3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  </r>
      </text>
    </comment>
    <comment ref="O12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  </r>
      </text>
    </comment>
    <comment ref="O1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2KW </t>
        </r>
      </text>
    </comment>
    <comment ref="O20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  </r>
      </text>
    </comment>
    <comment ref="O20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O22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  </r>
      </text>
    </comment>
    <comment ref="O22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  </r>
      </text>
    </comment>
    <comment ref="P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P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
Reply:
    2.25kW allocation reduced due to
live reading of 0.9KW
Reply:
    2.25kW allocation reduced due to
live reading of 0.8KW
Reply:
    2.25kW allocation reduced due to
live reading of 0.9KW</t>
        </r>
      </text>
    </comment>
    <comment ref="P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
Reply:
    2.25kW allocation reduced due to
live reading of 0.9KW
Reply:
    2.25kW allocation reduced due to live reading of 1KW
Reply:
    2.25kW allocation reduced due to
live reading of 0.9KW</t>
        </r>
      </text>
    </comment>
    <comment ref="P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</t>
        </r>
      </text>
    </comment>
    <comment ref="P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  </r>
      </text>
    </comment>
    <comment ref="P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  </r>
      </text>
    </comment>
    <comment ref="P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0.8kW</t>
        </r>
      </text>
    </comment>
    <comment ref="P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0.7kW</t>
        </r>
      </text>
    </comment>
    <comment ref="P5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  </r>
      </text>
    </comment>
    <comment ref="P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  </r>
      </text>
    </comment>
    <comment ref="P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
Reply:
    4kW allocation reduced due to live reading of 2.6KW
Reply:
    4kW allocation reduced due to live reading of 2.4KW
Reply:
    4kW allocation reduced due to live reading of 2.7KW</t>
        </r>
      </text>
    </comment>
    <comment ref="P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
Reply:
    4kW allocation reduced due to live reading of 2KW
Reply:
    4kW allocation reduced due to live reading of 2.1KW
Reply:
    4kW allocation reduced due to live reading of 2.3KW</t>
        </r>
      </text>
    </comment>
    <comment ref="P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
Reply:
    2.25kW allocation reduced due to live reading of 1.9KW
Reply:
    2.25kW allocation reduced due to live reading of 1.9KW
Reply:
    2.25kW allocation reduced due to live reading of 1.9KW
Reply:
    2.25kW allocation reduced due to live reading of 1.85KW</t>
        </r>
      </text>
    </comment>
    <comment ref="P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
Reply:
    2.25kW allocation reduced due to live reading of 1.9KW
Reply:
    2.25kW allocation reduced due to live reading of 1.9KW
Reply:
    2.25kW allocation reduced due to live reading of 1.9KW
Reply:
    2.25kW allocation reduced due to live reading of 1.85KW</t>
        </r>
      </text>
    </comment>
    <comment ref="P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0.55kW
Reply:
    2kW allocation reduced due to live reading of 0.55kW
Reply:
    2kW allocation reduced due to live reading of 0.55kW</t>
        </r>
      </text>
    </comment>
    <comment ref="P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0.55kW
Reply:
    2kW allocation reduced due to live reading of 0.55kW
Reply:
    2kW allocation reduced due to live reading of 0.55kW</t>
        </r>
      </text>
    </comment>
    <comment ref="P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P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P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1.45kW
Reply:
    2.5kW allocation reduced due to live reading of 1.45kW
Reply:
    2.5kW allocation reduced due to live reading of 1.45kW</t>
        </r>
      </text>
    </comment>
    <comment ref="P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
Reply:
    2.5kW allocation reduced due to live reading of 0.7kW
Reply:
    2.5kW allocation reduced due to live reading of 0.7kW
Reply:
    2.5kW allocation reduced due to live reading of 1.45kW
Reply:
    2.5kW allocation reduced due to live reading of 1.45kW
Reply:
    2.5kW allocation reduced due to live reading of 1.45kW</t>
        </r>
      </text>
    </comment>
    <comment ref="P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2.7kW
Reply:
    4kW allocation reduced due to live reading of 1.8kW
Reply:
    4kW allocation reduced due to live reading of 1.8kW</t>
        </r>
      </text>
    </comment>
    <comment ref="P18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
Reply:
    2.5kW allocation reduced due to live reading of 2.5kW
Reply:
    2.5kW allocation reduced due to live reading of 1.3kW
Reply:
    2.5kW allocation reduced due to live reading of 1.2kW
Reply:
    2.5kW allocation reduced due to live reading of 1.25kW</t>
        </r>
      </text>
    </comment>
    <comment ref="P1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1.3kW
Reply:
    2.5kW allocation reduced due to live reading of 1.2kW
Reply:
    2.5kW allocation reduced due to live reading of 1.25kW</t>
        </r>
      </text>
    </comment>
    <comment ref="P2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
Reply:
    4kW allocation reduced due to live reading of 1.4kW
Reply:
    4kW allocation reduced due to live reading of 1.3kW
Reply:
    4kW allocation reduced due to live reading of 1.3kW</t>
        </r>
      </text>
    </comment>
    <comment ref="P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  </r>
      </text>
    </comment>
    <comment ref="P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  </r>
      </text>
    </comment>
    <comment ref="P2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  </r>
      </text>
    </comment>
    <comment ref="P23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  </r>
      </text>
    </comment>
    <comment ref="P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1.5kW</t>
        </r>
      </text>
    </comment>
    <comment ref="P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1.5kW</t>
        </r>
      </text>
    </comment>
    <comment ref="Q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 this ORMT_SAP_240904_13_W859570 allocated power 1KW </t>
        </r>
      </text>
    </comment>
    <comment ref="Q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 this ORMT_SAP_240904_13_W859570 allocated power 1KW </t>
        </r>
      </text>
    </comment>
    <comment ref="Q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Q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Q3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  </r>
      </text>
    </comment>
    <comment ref="Q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1KW</t>
        </r>
      </text>
    </comment>
    <comment ref="Q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1KW</t>
        </r>
      </text>
    </comment>
    <comment ref="Q12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  </r>
      </text>
    </comment>
    <comment ref="Q14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Q1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  </r>
      </text>
    </comment>
    <comment ref="Q1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  </r>
      </text>
    </comment>
    <comment ref="Q1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  </r>
      </text>
    </comment>
    <comment ref="Q20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ORMT_SAP_241010_7_10334046. Power allocated for 0.5KW</t>
        </r>
      </text>
    </comment>
    <comment ref="Q22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Q22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R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1.1KW
Reply:
    2.25kW allocation reduced due to live reading of 1.2KW</t>
        </r>
      </text>
    </comment>
    <comment ref="R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
Reply:
    2.25kW allocation reduced due to live reading of 1.1KW</t>
        </r>
      </text>
    </comment>
    <comment ref="R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
Reply:
    2kW allocation reduced due to live reading of 1.3kW
Reply:
    2kW allocation reduced due to live reading of 1.3kW
Reply:
    2kW allocation reduced due to live reading of 1.3kW
Reply:
    2kW allocation reduced due to live reading of 1.3kW</t>
        </r>
      </text>
    </comment>
    <comment ref="R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
Reply:
    2kW allocation reduced due to live reading of 1.3kW
Reply:
    2kW allocation reduced due to live reading of 1.4kW
Reply:
    2kW allocation reduced due to live reading of 1.5kW
Reply:
    2kW allocation reduced due to live reading of 1.4kW</t>
        </r>
      </text>
    </comment>
    <comment ref="R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3.3kW
Reply:
    4kW allocation reduced due to live reading of 3.4kW
Reply:
    4kW allocation reduced due to live reading of 3.4kW</t>
        </r>
      </text>
    </comment>
    <comment ref="R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  </r>
      </text>
    </comment>
    <comment ref="R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  </r>
      </text>
    </comment>
    <comment ref="R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  </r>
      </text>
    </comment>
    <comment ref="R5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  </r>
      </text>
    </comment>
    <comment ref="R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  </r>
      </text>
    </comment>
    <comment ref="R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
Reply:
    16kW allocation reduced due to live reading of 5.8KW
Reply:
    16kW allocation reduced due to live reading of 5.8KW
Reply:
    16kW allocation reduced due to live reading of 5.8KW</t>
        </r>
      </text>
    </comment>
    <comment ref="R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2.1KW
Reply:
    4kW allocation reduced due to live reading of 2.1KW
Reply:
    4kW allocation reduced due to live reading of 2.2KW</t>
        </r>
      </text>
    </comment>
    <comment ref="R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1.2KW
Reply:
    2.25kW allocation reduced due to live reading of 1.15KW
Reply:
    2.25kW allocation reduced due to live reading of 1.15KW
Reply:
    2.25kW allocation reduced due to live reading of 1.15KW</t>
        </r>
      </text>
    </comment>
    <comment ref="R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1.15KW
Reply:
    2.25kW allocation reduced due to live reading of 1.15KW
Reply:
    2.25kW allocation reduced due to live reading of 1.15KW</t>
        </r>
      </text>
    </comment>
    <comment ref="R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  </r>
      </text>
    </comment>
    <comment ref="R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  </r>
      </text>
    </comment>
    <comment ref="R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  </r>
      </text>
    </comment>
    <comment ref="R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  </r>
      </text>
    </comment>
    <comment ref="R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  </r>
      </text>
    </comment>
    <comment ref="R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  </r>
      </text>
    </comment>
    <comment ref="R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3kW
Reply:
    4kW allocation reduced due to live reading of 2kW
Reply:
    4kW allocation reduced due to live reading of 2kW</t>
        </r>
      </text>
    </comment>
    <comment ref="R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
Reply:
    3kW allocation reduced due to live reading of 2.4kW
Reply:
    3kW allocation reduced due to live reading of 2.85kW
Reply:
    3kW allocation reduced due to live reading of 2.4kW
Reply:
    3kW allocation reduced due to live reading of 2.4kW</t>
        </r>
      </text>
    </comment>
    <comment ref="R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
Reply:
    3kW allocation reduced due to live reading of 2.4kW
Reply:
    3kW allocation reduced due to live reading of 2.85kW
Reply:
    3kW allocation reduced due to live reading of 2.4kW
Reply:
    3kW allocation reduced due to live reading of 2.4kW</t>
        </r>
      </text>
    </comment>
    <comment ref="R18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0.15kW</t>
        </r>
      </text>
    </comment>
    <comment ref="R1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0.15kW</t>
        </r>
      </text>
    </comment>
    <comment ref="R2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
Reply:
    4kW allocation reduced due to live reading of 2.8kW
Reply:
    4kW allocation reduced due to live reading of 2.8kW
Reply:
    4kW allocation reduced due to live reading of 2.8kW</t>
        </r>
      </text>
    </comment>
    <comment ref="R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1.0kW
Reply:
    2kW allocation reduced due to live reading of 1.0kW</t>
        </r>
      </text>
    </comment>
    <comment ref="R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1.0kW
Reply:
    2kW allocation reduced due to live reading of 1.0kW</t>
        </r>
      </text>
    </comment>
    <comment ref="R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3.65kW</t>
        </r>
      </text>
    </comment>
    <comment ref="R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3.65kW</t>
        </r>
      </text>
    </comment>
    <comment ref="S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S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S5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  </r>
      </text>
    </comment>
    <comment ref="S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  </r>
      </text>
    </comment>
    <comment ref="S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  </r>
      </text>
    </comment>
    <comment ref="S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  </r>
      </text>
    </comment>
    <comment ref="S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  </r>
      </text>
    </comment>
    <comment ref="S2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T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  </r>
      </text>
    </comment>
    <comment ref="T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  </r>
      </text>
    </comment>
    <comment ref="T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
Reply:
    2kW allocation reduced due to live reading of 0.7W
Reply:
    2kW allocation reduced due to live reading of 0.7W
Reply:
    2kW allocation reduced due to live reading of 0.7W
Reply:
    2kW allocation reduced due to live reading of 0.6W</t>
        </r>
      </text>
    </comment>
    <comment ref="T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
Reply:
    2kW allocation reduced due to live reading of 0.8W
Reply:
    2kW allocation reduced due to live reading of 0.8W
Reply:
    2kW allocation reduced due to live reading of 0.8W
Reply:
    2kW allocation reduced due to live reading of 0.8W</t>
        </r>
      </text>
    </comment>
    <comment ref="T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3.2kW
Reply:
    4kW allocation reduced due to live reading of 3.3kW
Reply:
    4kW allocation reduced due to live reading of 3.3kW</t>
        </r>
      </text>
    </comment>
    <comment ref="T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  </r>
      </text>
    </comment>
    <comment ref="T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</t>
        </r>
      </text>
    </comment>
    <comment ref="T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</t>
        </r>
      </text>
    </comment>
    <comment ref="T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  </r>
      </text>
    </comment>
    <comment ref="T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2.85KW
Reply:
    3.25kW allocation reduced due to live reading of 2.8KW</t>
        </r>
      </text>
    </comment>
    <comment ref="T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
Reply:
    3.25kW allocation reduced due to live reading of 2.7KW
Reply:
    3.25kW allocation reduced due to live reading of 2.8KW
Reply:
    3.25kW allocation reduced due to live reading of 2.85KW
Reply:
    3.25kW allocation reduced due to live reading of 2.8KW</t>
        </r>
      </text>
    </comment>
    <comment ref="T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  </r>
      </text>
    </comment>
    <comment ref="T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  </r>
      </text>
    </comment>
    <comment ref="T1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  </r>
      </text>
    </comment>
    <comment ref="T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0.25kW
Reply:
    1kW allocation reduced due to live reading of 0.2kW
Reply:
    1kW allocation reduced due to live reading of 0.25kW</t>
        </r>
      </text>
    </comment>
    <comment ref="T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0.2kW
Reply:
    1kW allocation reduced due to live reading of 0.25kW
Reply:
    1kW allocation reduced due to live reading of 0.2kW
Reply:
    1kW allocation reduced due to live reading of 0.25kW</t>
        </r>
      </text>
    </comment>
    <comment ref="T1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  </r>
      </text>
    </comment>
    <comment ref="T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2.0kW
Reply:
    4kW allocation reduced due to live reading of 2kW</t>
        </r>
      </text>
    </comment>
    <comment ref="T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1.3kW
Reply:
    2.25kW allocation reduced due to live reading of 1.4kW</t>
        </r>
      </text>
    </comment>
    <comment ref="T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1.3kW
Reply:
    2.25kW allocation reduced due to live reading of 1.3kW</t>
        </r>
      </text>
    </comment>
    <comment ref="T2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
Reply:
    4.2kW allocation reduced due to live reading of 1.1kW
Reply:
    4.2kW allocation reduced due to live reading of 1kW
Reply:
    4.2kW allocation reduced due to live reading of 1kW</t>
        </r>
      </text>
    </comment>
    <comment ref="T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1kW</t>
        </r>
      </text>
    </comment>
    <comment ref="T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1kW
Reply:
    2kW allocation reduced due to live reading of 1kW</t>
        </r>
      </text>
    </comment>
    <comment ref="T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  </r>
      </text>
    </comment>
    <comment ref="T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  </r>
      </text>
    </comment>
    <comment ref="U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  </r>
      </text>
    </comment>
    <comment ref="U5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  </r>
      </text>
    </comment>
    <comment ref="U5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  </r>
      </text>
    </comment>
    <comment ref="U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  </r>
      </text>
    </comment>
    <comment ref="U1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  </r>
      </text>
    </comment>
    <comment ref="V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0.2kW</t>
        </r>
      </text>
    </comment>
    <comment ref="V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0.2kW
Reply:
    2.1kW allocation reduced due to live reading of 0.2kW
Reply:
    2.1kW allocation reduced due to live reading of 0.2kW
Reply:
    2.1kW allocation reduced due to live reading of 0.3kW</t>
        </r>
      </text>
    </comment>
    <comment ref="V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3.3kW
Reply:
    4kW allocation reduced due to live reading of 3.4kW
Reply:
    4kW allocation reduced due to live reading of 3.3kW</t>
        </r>
      </text>
    </comment>
    <comment ref="V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  </r>
      </text>
    </comment>
    <comment ref="V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0.2kW
Reply:
    1kW allocation reduced due to live reading of 0.4kW</t>
        </r>
      </text>
    </comment>
    <comment ref="V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  </r>
      </text>
    </comment>
    <comment ref="V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
Reply:
    7kW allocation reduced due to live reading of  5.2KW
Reply:
    7kW allocation reduced due to live reading of  5.3KW
Reply:
    7kW allocation reduced due to live reading of  5.3KW</t>
        </r>
      </text>
    </comment>
    <comment ref="V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
Reply:
    7kW allocation reduced due to live reading of 5.2KW
Reply:
    7kW allocation reduced due to live reading of 5.2KW
Reply:
    7kW allocation reduced due to live reading of 5.2KW</t>
        </r>
      </text>
    </comment>
    <comment ref="V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  </r>
      </text>
    </comment>
    <comment ref="V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  </r>
      </text>
    </comment>
    <comment ref="V10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  </r>
      </text>
    </comment>
    <comment ref="V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
Reply:
    2kW allocation reduced due to live reading of 0.4kW
Reply:
    2kW allocation reduced due to live reading of 0.2kW
Reply:
    2kW allocation reduced due to live reading of 0.25kW
Reply:
    1.5kW allocation reduced due to live reading of 0.25kW
Reply:
    1.5kW allocation reduced due to live reading of 0.25kW
Reply:
    1.5kW allocation reduced due to live reading of 0.3kW</t>
        </r>
      </text>
    </comment>
    <comment ref="V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
Reply:
    2kW allocation reduced due to live reading of 0.1kW
Reply:
    2kW allocation reduced due to live reading of 0.25kW
Reply:
    1.5kW allocation reduced due to live reading of 0.25kW
Reply:
    1.5kW allocation reduced due to live reading of 0.25kW
Reply:
    1.5kW allocation reduced due to live reading of 0.3kW</t>
        </r>
      </text>
    </comment>
    <comment ref="V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  </r>
      </text>
    </comment>
    <comment ref="V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  </r>
      </text>
    </comment>
    <comment ref="V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0.8kW
Reply:
    4kW allocation reduced due to live reading of 1.7kW
Reply:
    4kW allocation reduced due to live reading of 1.7kW</t>
        </r>
      </text>
    </comment>
    <comment ref="V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
Reply:
    1.45kW allocation reduced due to live reading of 0.5kW
Reply:
    1.45kW allocation reduced due to live reading of 0.5kW</t>
        </r>
      </text>
    </comment>
    <comment ref="V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
Reply:
    1.45kW allocation reduced due to live reading of 0.5kW
Reply:
    1.45kW allocation reduced due to live reading of 0.5kW</t>
        </r>
      </text>
    </comment>
    <comment ref="V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
Reply:
    3kW allocation reduced due to live reading of 2.6kW
Reply:
    3kW allocation reduced due to live reading of 2.6kW
Reply:
    3kW allocation reduced due to live reading of 2.6kW
Reply:
    3kW allocation reduced due to live reading of 2.6kW</t>
        </r>
      </text>
    </comment>
    <comment ref="V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
Reply:
    3kW allocation reduced due to live reading of 2.6kW
Reply:
    3kW allocation reduced due to live reading of 2.6kW
Reply:
    3kW allocation reduced due to live reading of 2.6kW
Reply:
    3kW allocation reduced due to live reading of 2.6kW</t>
        </r>
      </text>
    </comment>
    <comment ref="W2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W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W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W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  </r>
      </text>
    </comment>
    <comment ref="W7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W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X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  </r>
      </text>
    </comment>
    <comment ref="X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  </r>
      </text>
    </comment>
    <comment ref="X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  </r>
      </text>
    </comment>
    <comment ref="X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  </r>
      </text>
    </comment>
    <comment ref="X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2kW
Reply:
    3kW allocation reduced due to live reading of 1.9kW</t>
        </r>
      </text>
    </comment>
    <comment ref="X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
Reply:
    3kW allocation reduced due to live reading of 2kW
Reply:
    3kW allocation reduced due to live reading of 2.3kW
Reply:
    3kW allocation reduced due to live reading of 2.3kW</t>
        </r>
      </text>
    </comment>
    <comment ref="X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3.8kW</t>
        </r>
      </text>
    </comment>
    <comment ref="X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3.35kW
Reply:
    4kW allocation reduced due to live reading of 3.35kW</t>
        </r>
      </text>
    </comment>
    <comment ref="X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
Reply:
    4kW allocation reduced due to live reading of 3.4kW
Reply:
    4kW allocation reduced due to live reading of 3.35kW
Reply:
    4kW allocation reduced due to live reading of 3.35kW</t>
        </r>
      </text>
    </comment>
    <comment ref="X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  </r>
      </text>
    </comment>
    <comment ref="X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  </r>
      </text>
    </comment>
    <comment ref="X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0.2kW
Reply:
    1kW allocation reduced due to live reading of 0.2kW</t>
        </r>
      </text>
    </comment>
    <comment ref="X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
Reply:
    2.25kW allocation reduced due to live reading of 1.4kW</t>
        </r>
      </text>
    </comment>
    <comment ref="X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
Reply:
    2.25kW allocation reduced due to live reading of 1.3kW</t>
        </r>
      </text>
    </comment>
    <comment ref="X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0.75kW</t>
        </r>
      </text>
    </comment>
    <comment ref="X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0.75kW</t>
        </r>
      </text>
    </comment>
    <comment ref="X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  </r>
      </text>
    </comment>
    <comment ref="X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  </r>
      </text>
    </comment>
    <comment ref="Y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  </r>
      </text>
    </comment>
    <comment ref="Y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
Reply:
    2.5kW allocation reduced due to live reading of 0.5kW
Reply:
    2.5kW allocation reduced due to live reading of 0.5kW
Reply:
    2.5kW allocation reduced due to live reading of 0.45kW</t>
        </r>
      </text>
    </comment>
    <comment ref="Y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
Reply:
    2.5kW allocation reduced due to live reading of 0.4kW
Reply:
    2.5kW allocation reduced due to live reading of 0.4kW
Reply:
    2.5kW allocation reduced due to live reading of 0.45kW</t>
        </r>
      </text>
    </comment>
    <comment ref="Y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  </r>
      </text>
    </comment>
    <comment ref="Z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
Reply:
    2kW allocation reduced due to live reading of 0.5KW
Reply:
    2kW allocation reduced due to live reading of 0.8KW
Reply:
    2kW allocation reduced due to live reading of 0.8KW</t>
        </r>
      </text>
    </comment>
    <comment ref="Z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0.8KW</t>
        </r>
      </text>
    </comment>
    <comment ref="Z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  </r>
      </text>
    </comment>
    <comment ref="Z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  </r>
      </text>
    </comment>
    <comment ref="Z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  </r>
      </text>
    </comment>
    <comment ref="Z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  </r>
      </text>
    </comment>
    <comment ref="Z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
Reply:
    2.6kW allocation reduced due to live reading of 1.5kW
Reply:
    2.6kW allocation reduced due to live reading of 1.4kW
Reply:
    2.6kW allocation reduced due to live reading of 1.4kW</t>
        </r>
      </text>
    </comment>
    <comment ref="Z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  </r>
      </text>
    </comment>
    <comment ref="Z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  </r>
      </text>
    </comment>
    <comment ref="Z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0.25kW</t>
        </r>
      </text>
    </comment>
    <comment ref="Z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0.25kW</t>
        </r>
      </text>
    </comment>
    <comment ref="Z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
Reply:
    5kW allocation reduced due to live reading of 0.9kW
Reply:
    5kW allocation reduced due to live reading of 0.9kW
Reply:
    5kW allocation reduced due to live reading of 1.2kW
Reply:
    5kW allocation reduced due to live reading of 1.3kW</t>
        </r>
      </text>
    </comment>
    <comment ref="Z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
Reply:
    0.9kW allocation reduced due to live reading of 0.4kW
Reply:
    0.9kW allocation reduced due to live reading of 0.4kW
Reply:
    0.9kW allocation reduced due to live reading of 0.1kW</t>
        </r>
      </text>
    </comment>
    <comment ref="Z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0.8kW</t>
        </r>
      </text>
    </comment>
    <comment ref="Z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  </r>
      </text>
    </comment>
    <comment ref="Z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  </r>
      </text>
    </comment>
    <comment ref="AA2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A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A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
Reply:
    2.5kW allocation reduced due to live reading of 0.3kW</t>
        </r>
      </text>
    </comment>
    <comment ref="AA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
Reply:
    2.5kW allocation reduced due to live reading of 0.3kW</t>
        </r>
      </text>
    </comment>
    <comment ref="AA15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B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
Reply:
    6kW allocation reduced due to live reading of 4.7kW
Reply:
    6kW allocation reduced due to live reading of 4.7kW</t>
        </r>
      </text>
    </comment>
    <comment ref="AB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  </r>
      </text>
    </comment>
    <comment ref="AB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  </r>
      </text>
    </comment>
    <comment ref="AB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0.3kW</t>
        </r>
      </text>
    </comment>
    <comment ref="AB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0.3kW</t>
        </r>
      </text>
    </comment>
    <comment ref="AB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  </r>
      </text>
    </comment>
    <comment ref="AB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  </r>
      </text>
    </comment>
    <comment ref="AB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</t>
        </r>
      </text>
    </comment>
    <comment ref="AB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2.8kW
Reply:
    3.25kW allocation reduced due to live reading of 2.8kW
Reply:
    3.25kW allocation reduced due to live reading of 2.8kW</t>
        </r>
      </text>
    </comment>
    <comment ref="AB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</t>
        </r>
      </text>
    </comment>
    <comment ref="AB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</t>
        </r>
      </text>
    </comment>
    <comment ref="AB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  </r>
      </text>
    </comment>
    <comment ref="AB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  </r>
      </text>
    </comment>
    <comment ref="AC1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C1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C2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C2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D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5.6kW</t>
        </r>
      </text>
    </comment>
    <comment ref="AD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  </r>
      </text>
    </comment>
    <comment ref="AD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
Reply:
    2.5kW allocation reduced due to live reading of 0.4kW</t>
        </r>
      </text>
    </comment>
    <comment ref="AD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  </r>
      </text>
    </comment>
    <comment ref="AD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  </r>
      </text>
    </comment>
    <comment ref="AD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
Reply:
    6.5kW allocation reduced due to live reading of 0.7kW
Reply:
    6.5kW allocation reduced due to live reading of 0.7kW
Reply:
    6.5kW allocation reduced due to live reading of 0.6kW</t>
        </r>
      </text>
    </comment>
    <comment ref="AD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  </r>
      </text>
    </comment>
    <comment ref="AD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</t>
        </r>
      </text>
    </comment>
    <comment ref="AD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  </r>
      </text>
    </comment>
    <comment ref="AE21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  </r>
      </text>
    </comment>
    <comment ref="AE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  </r>
      </text>
    </comment>
    <comment ref="AF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
Reply:
    1.6kW allocation reduced due to live reading of 1kW
Reply:
    1.6kW allocation reduced due to live reading of 1kW</t>
        </r>
      </text>
    </comment>
    <comment ref="AF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
Reply:
    1.6kW allocation reduced due to live reading of 1kW
Reply:
    1.6kW allocation reduced due to live reading of 1.1kW</t>
        </r>
      </text>
    </comment>
    <comment ref="AF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  </r>
      </text>
    </comment>
    <comment ref="AF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  </r>
      </text>
    </comment>
    <comment ref="AF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
Reply:
    4kW allocation reduced due to live reading of 2.2KW
Reply:
    4kW allocation reduced due to live reading of 2.3KW
Reply:
    4kW allocation reduced due to live reading of 2.3KW</t>
        </r>
      </text>
    </comment>
    <comment ref="AF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  </r>
      </text>
    </comment>
    <comment ref="AF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  </r>
      </text>
    </comment>
    <comment ref="AF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  </r>
      </text>
    </comment>
    <comment ref="AF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0.5kW</t>
        </r>
      </text>
    </comment>
    <comment ref="AF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0.5kW</t>
        </r>
      </text>
    </comment>
    <comment ref="AH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2.9kW
Reply:
    4kW allocation reduced due to live reading of 2.9kW</t>
        </r>
      </text>
    </comment>
    <comment ref="AH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2.8kW
Reply:
    4kW allocation reduced due to live reading of 2.8kW
Reply:
    4kW allocation reduced due to live reading of 2.8kW</t>
        </r>
      </text>
    </comment>
    <comment ref="AH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  </r>
      </text>
    </comment>
    <comment ref="AH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2.85kW
Reply:
    3kW allocation reduced due to live reading of 2.9kW</t>
        </r>
      </text>
    </comment>
    <comment ref="AH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2.85kW
Reply:
    3kW allocation reduced due to live reading of 2.9kW</t>
        </r>
      </text>
    </comment>
    <comment ref="AH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
Reply:
    2.75kW allocation reduced due to live reading of 0.7kW
Reply:
    2.75kW allocation reduced due to live reading of 0.7kW
Reply:
    2.75kW allocation reduced due to live reading of 0.7kW</t>
        </r>
      </text>
    </comment>
    <comment ref="AH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
Reply:
    2.75kW allocation reduced due to live reading of 0.7kW
Reply:
    2.75kW allocation reduced due to live reading of 0.7kW
Reply:
    2.75kW allocation reduced due to live reading of 0.7kW</t>
        </r>
      </text>
    </comment>
    <comment ref="AJ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1.7kW
Reply:
    2kW allocation reduced due to live reading of 1.6kW</t>
        </r>
      </text>
    </comment>
    <comment ref="AJ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1.7kW
Reply:
    2kW allocation reduced due to live reading of 1.6kW</t>
        </r>
      </text>
    </comment>
    <comment ref="AJ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1.5KW
Reply:
    4kW allocation reduced due to live reading of 1.6KW</t>
        </r>
      </text>
    </comment>
    <comment ref="AJ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  </r>
      </text>
    </comment>
    <comment ref="AJ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  </r>
      </text>
    </comment>
    <comment ref="AJ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  </r>
      </text>
    </comment>
    <comment ref="AJ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  </r>
      </text>
    </comment>
    <comment ref="AJ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  </r>
      </text>
    </comment>
    <comment ref="AK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  </r>
      </text>
    </comment>
    <comment ref="AL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  </r>
      </text>
    </comment>
    <comment ref="AL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  </r>
      </text>
    </comment>
    <comment ref="AL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</t>
        </r>
      </text>
    </comment>
    <comment ref="AL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  </r>
      </text>
    </comment>
    <comment ref="AL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  </r>
      </text>
    </comment>
    <comment ref="AL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L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M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M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M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  </r>
      </text>
    </comment>
    <comment ref="AM10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M1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N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  </r>
      </text>
    </comment>
    <comment ref="AN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  </r>
      </text>
    </comment>
    <comment ref="AN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3.5kW
Reply:
    5.6kW allocation reduced due to live reading of 3.5kW
Reply:
    5.6kW allocation reduced due to live reading of 3.4kW</t>
        </r>
      </text>
    </comment>
    <comment ref="AN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  </r>
      </text>
    </comment>
    <comment ref="AN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  </r>
      </text>
    </comment>
    <comment ref="AN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N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O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P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  </r>
      </text>
    </comment>
    <comment ref="AP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  </r>
      </text>
    </comment>
    <comment ref="AP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  </r>
      </text>
    </comment>
    <comment ref="AP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  </r>
      </text>
    </comment>
    <comment ref="AP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  </r>
      </text>
    </comment>
    <comment ref="AP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  </r>
      </text>
    </comment>
    <comment ref="AP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P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Q1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Q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R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  </r>
      </text>
    </comment>
    <comment ref="AR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  </r>
      </text>
    </comment>
    <comment ref="AR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  </r>
      </text>
    </comment>
    <comment ref="AR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  </r>
      </text>
    </comment>
    <comment ref="AS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 Server(CIENA 6500-R4) is planned under ORMT_SAP_241010_7_10334046</t>
        </r>
      </text>
    </comment>
    <comment ref="AS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 Server(CIENA 6500-R4) is planned under ORMT_SAP_241010_7_10334046</t>
        </r>
      </text>
    </comment>
    <comment ref="AS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S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T15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1.2kW
Reply:
    2.25kW allocation reduced due to live reading of 1.3kW</t>
        </r>
      </text>
    </comment>
    <comment ref="AT1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1.2kW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3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  </r>
      </text>
    </comment>
    <comment ref="Q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  </r>
      </text>
    </comment>
    <comment ref="Q14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2KW</t>
        </r>
      </text>
    </comment>
    <comment ref="Q15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2KW</t>
        </r>
      </text>
    </comment>
    <comment ref="Q17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  </r>
      </text>
    </comment>
    <comment ref="Q19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  </r>
      </text>
    </comment>
    <comment ref="Q21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  </r>
      </text>
    </comment>
    <comment ref="Q26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  </r>
      </text>
    </comment>
    <comment ref="Q31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Q38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  </r>
      </text>
    </comment>
    <comment ref="Q39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  </r>
      </text>
    </comment>
    <comment ref="Q4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Q43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  </r>
      </text>
    </comment>
    <comment ref="Q43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  </r>
      </text>
    </comment>
    <comment ref="Q43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 Server(CIENA 6500-R4) is planned under ORMT_SAP_241010_7_10334046</t>
        </r>
      </text>
    </comment>
    <comment ref="Q4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  </r>
      </text>
    </comment>
    <comment ref="Q45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R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
Reply:
    5kW allocation reduced due to live reading of 3.2KW
Reply:
    5kW allocation reduced due to live reading of 3.1KW
Reply:
    5kW allocation reduced due to live reading of 3.2KW
Reply:
    5kW allocation reduced due to live reading of 3.1KW
Reply:
    5kW allocation reduced due to live reading of 3.1KW</t>
        </r>
      </text>
    </comment>
    <comment ref="R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
Reply:
    5kW allocation reduced due to live reading of 2.9kW
Reply:
    5kW allocation reduced due to live reading of 2.8kW
Reply:
    5kW allocation reduced due to live reading of 2.8kW
Reply:
    5kW allocation reduced due to live reading of 2.8kW</t>
        </r>
      </text>
    </comment>
    <comment ref="R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  </r>
      </text>
    </comment>
    <comment ref="R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7.2kW</t>
        </r>
      </text>
    </comment>
    <comment ref="R1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
Reply:
    5kW allocation reduced due to live reading of 3.9kW
Reply:
    5kW allocation reduced due to live reading of 3.9kW
Reply:
    5kW allocation reduced due to live reading of 3.9kW
Reply:
    5kW allocation reduced due to live reading of 4kW</t>
        </r>
      </text>
    </comment>
    <comment ref="R17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  </r>
      </text>
    </comment>
    <comment ref="R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
Reply:
    5kW allocation reduced due to live reading of 2.9kW
Reply:
    5kW allocation reduced due to live reading of 3.5kW
Reply:
    5kW allocation reduced due to live reading of 3kW</t>
        </r>
      </text>
    </comment>
    <comment ref="R19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
Reply:
    5kW allocation reduced due to live reading of 3kW
Reply:
    5kW allocation reduced due to live reading of 3.1kW
Reply:
    5kW allocation reduced due to live reading of 3.2kW</t>
        </r>
      </text>
    </comment>
    <comment ref="R19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  </r>
      </text>
    </comment>
    <comment ref="R2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
Reply:
    5kW allocation reduced due to live reading of 3.3kW
Reply:
    5kW allocation reduced due to live reading of 3.3kW
Reply:
    5kW allocation reduced due to live reading of 3.3kW
Reply:
    5kW allocation reduced due to live reading of 3.3kW
Reply:
    5kW allocation reduced due to live reading of 3.9kW</t>
        </r>
      </text>
    </comment>
    <comment ref="R25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
Reply:
    12kW allocation reduced due to live reading of 7.3kW
Reply:
    12kW allocation reduced due to live reading of 7.2kW
Reply:
    12kW allocation reduced due to live reading of 7.2kW
Reply:
    12kW allocation reduced due to live reading of 7.4kW</t>
        </r>
      </text>
    </comment>
    <comment ref="R26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  </r>
      </text>
    </comment>
    <comment ref="R26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  </r>
      </text>
    </comment>
    <comment ref="R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
Reply:
    6kW allocation reduced due to live reading of 4.8kW
Reply:
    6kW allocation reduced due to live reading of 4.8kW
Reply:
    6kW allocation reduced due to live reading of 4.7kW
Reply:
    6kW allocation reduced due to live reading of 4.8kW</t>
        </r>
      </text>
    </comment>
    <comment ref="R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3.7kW
Reply:
    5kW allocation reduced due to live reading of 1.8kW
Reply:
    5kW allocation reduced due to live reading of 1.8kW
Reply:
    5kW allocation reduced due to live reading of 3.2kW</t>
        </r>
      </text>
    </comment>
    <comment ref="R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  </r>
      </text>
    </comment>
    <comment ref="R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  </r>
      </text>
    </comment>
    <comment ref="R30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  </r>
      </text>
    </comment>
    <comment ref="R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  </r>
      </text>
    </comment>
    <comment ref="R32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  </r>
      </text>
    </comment>
    <comment ref="R33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  </r>
      </text>
    </comment>
    <comment ref="R3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  </r>
      </text>
    </comment>
    <comment ref="R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
Reply:
    5kW allocation reduced due to live reading of 3.3KW
Reply:
    5kW allocation reduced due to live reading of 3.3KW
Reply:
    5kW allocation reduced due to live reading of 3.3KW</t>
        </r>
      </text>
    </comment>
    <comment ref="R36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
Reply:
    7kW allocation reduced due to live reading of 1.2kW
Reply:
    7kW allocation reduced due to live reading of 1.1kW
Reply:
    7kW allocation reduced due to live reading of 1.1kW
Reply:
    7kW allocation reduced due to live reading of 1.1kW</t>
        </r>
      </text>
    </comment>
    <comment ref="R3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0.5kW</t>
        </r>
      </text>
    </comment>
    <comment ref="R37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0.4kW
Reply:
    12kW allocation reduced due to live reading of 0.4kW</t>
        </r>
      </text>
    </comment>
    <comment ref="R37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
Reply:
    12kW allocation reduced due to live reading of 0.4kW
Reply:
    12kW allocation reduced due to live reading of 0.4kW
Reply:
    12kW allocation reduced due to live reading of 0.4kW
Reply:
    12kW allocation reduced due to live reading of 0.2kW
Reply:
    12kW allocation reduced due to live reading of 0.4kW
Reply:
    12kW allocation reduced due to live reading of 0.3kW</t>
        </r>
      </text>
    </comment>
    <comment ref="R37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0.4kW
Reply:
    12kW allocation reduced due to live reading of 0.5kW</t>
        </r>
      </text>
    </comment>
    <comment ref="R38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2.4kW
Reply:
    5kW allocation reduced due to live reading of 2.4kW</t>
        </r>
      </text>
    </comment>
    <comment ref="R38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
Reply:
    5kW allocation reduced due to live reading of 0.9KW
Reply:
    5kW allocation reduced due to live reading of 0.9KW
Reply:
    5kW allocation reduced due to live reading of 1.5kW</t>
        </r>
      </text>
    </comment>
    <comment ref="R3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2.7kW
Reply:
    5kW allocation reduced due to live reading of 2.6kW
Reply:
    5kW allocation reduced due to live reading of 3kW</t>
        </r>
      </text>
    </comment>
    <comment ref="R40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0.2kW
Reply:
    12kW allocation reduced due to live reading of 0.6kW
Reply:
    12kW allocation reduced due to live reading of 0.2kW
Reply:
    12kW allocation reduced due to live reading of 0.4kW
Reply:
    12kW allocation reduced due to live reading of 0.4kW</t>
        </r>
      </text>
    </comment>
    <comment ref="R4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0.7kW
Reply:
    5kW allocation reduced due to live reading of 0.7kW
Reply:
    5kW allocation reduced due to live reading of 0.7kW
Reply:
    5kW allocation reduced due to live reading of 0.7kW</t>
        </r>
      </text>
    </comment>
    <comment ref="R42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  </r>
      </text>
    </comment>
    <comment ref="R4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  </r>
      </text>
    </comment>
    <comment ref="R44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2kW
Reply:
    38kW allocation reduced due to live reading of 2kW
Reply:
    38kW allocation reduced due to live reading of 2.1kW</t>
        </r>
      </text>
    </comment>
    <comment ref="R4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0.6kW</t>
        </r>
      </text>
    </comment>
    <comment ref="R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  </r>
      </text>
    </comment>
    <comment ref="R47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  </r>
      </text>
    </comment>
    <comment ref="S7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  </r>
      </text>
    </comment>
    <comment ref="S9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  </r>
      </text>
    </comment>
    <comment ref="S17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  </r>
      </text>
    </comment>
    <comment ref="S22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S23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  </r>
      </text>
    </comment>
    <comment ref="S2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S29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  </r>
      </text>
    </comment>
    <comment ref="S36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  </r>
      </text>
    </comment>
    <comment ref="S43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S44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</t>
        </r>
      </text>
    </comment>
    <comment ref="S47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  </r>
      </text>
    </comment>
    <comment ref="T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
Reply:
    8.5kW allocation reduced due to live reading of 3.2KW
Reply:
    8.5kW allocation reduced due to live reading of 3.2KW
Reply:
    8.5kW allocation reduced due to live reading of 3.3KW
Reply:
    8.5kW allocation reduced due to live reading of 3.35KW
Reply:
    8.5kW allocation reduced due to live reading of 3.2KW</t>
        </r>
      </text>
    </comment>
    <comment ref="T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2KW
Reply:
    4kW allocation reduced due to live reading of 2KW
Reply:
    4kW allocation reduced due to live reading of 2.4KW</t>
        </r>
      </text>
    </comment>
    <comment ref="T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
Reply:
    5kW allocation reduced due to live reading of 3.7KW
Reply:
    5kW allocation reduced due to live reading of 3.6KW
Reply:
    5kW allocation reduced due to live reading of 3.7KW
Reply:
    5kW allocation reduced due to live reading of 3.7KW</t>
        </r>
      </text>
    </comment>
    <comment ref="T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  </r>
      </text>
    </comment>
    <comment ref="T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
Reply:
    8kW allocation reduced due to live reading of 7.1kW
Reply:
    8kW allocation reduced due to live reading of 7.1kW</t>
        </r>
      </text>
    </comment>
    <comment ref="T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
Reply:
    13.5kW allocation reduced due to live reading of 6.9kW
Reply:
    13.5kW allocation reduced due to live reading of 6.9kW
Reply:
    13.5kW allocation reduced due to live reading of 7.1kW
Reply:
    13.5kW allocation reduced due to live reading of 7.2kW
Reply:
    13.5kW allocation reduced due to live reading of 7.2kW</t>
        </r>
      </text>
    </comment>
    <comment ref="T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  </r>
      </text>
    </comment>
    <comment ref="T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3.9KW
Reply:
    5kW allocation reduced due to live reading of 2.4KW</t>
        </r>
      </text>
    </comment>
    <comment ref="T1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  </r>
      </text>
    </comment>
    <comment ref="T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1.7kW
Reply:
    2kW allocation reduced due to live reading of 1.2kW</t>
        </r>
      </text>
    </comment>
    <comment ref="T2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  </r>
      </text>
    </comment>
    <comment ref="T25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
Reply:
    5kW allocation reduced due to live reading of 3.6kW
Reply:
    5kW allocation reduced due to live reading of 3.6kW
Reply:
    5kW allocation reduced due to live reading of 3.6kW
Reply:
    5kW allocation reduced due to live reading of 3.6kW</t>
        </r>
      </text>
    </comment>
    <comment ref="T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
Reply:
    4.5kW allocation reduced due to live reading of 2.9kW
Reply:
    4.5kW allocation reduced due to live reading of 2.6kW
Reply:
    4.5kW allocation reduced due to live reading of 2.6kW
Reply:
    4.5kW allocation reduced due to live reading of 2.7kW</t>
        </r>
      </text>
    </comment>
    <comment ref="T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
Reply:
    5KW allocation reduced due to live reading of 3.5KW
Reply:
    5KW allocation reduced due to live reading of 3.4KW
Reply:
    5KW allocation reduced due to live reading of 3.7KW</t>
        </r>
      </text>
    </comment>
    <comment ref="T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
Reply:
    8kW allocation reduced due to live reading of 7.0kW
Reply:
    8kW allocation reduced due to live reading of 7.0kW
Reply:
    8kW allocation reduced due to live reading of 7.0kW
Reply:
    8kW allocation reduced due to live reading of 6.9kW</t>
        </r>
      </text>
    </comment>
    <comment ref="T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
Reply:
    4kW allocation reduced due to live reading of 1.7kW
Reply:
    4kW allocation reduced due to live reading of 1.8kW
Reply:
    4kW allocation reduced due to live reading of 1.8kW
Reply:
    4kW allocation reduced due to live reading of 1.7kW
Reply:
    4kW allocation reduced due to live reading of 1.8kW</t>
        </r>
      </text>
    </comment>
    <comment ref="T3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  </r>
      </text>
    </comment>
    <comment ref="T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7KW
Reply:
    8kW allocation reduced due to live reading of 7KW
Reply:
    8kW allocation reduced due to live reading of 7.1KW</t>
        </r>
      </text>
    </comment>
    <comment ref="T38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
Reply:
    12 kW allocation reduced due to live reading of 0.2 kW
Reply:
    12 kW allocation reduced due to live reading of 0.2 kW
Reply:
    12 kW allocation reduced due to live reading of 0.3 kW
Reply:
    12 kW allocation reduced due to live reading of 0.3 kW</t>
        </r>
      </text>
    </comment>
    <comment ref="T38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
Reply:
    12kW allocation reduced due to live reading of 3.8kW
Reply:
    12kW allocation reduced due to live reading of 3.9kW
Reply:
    12kW allocation reduced due to live reading of 3.9kW
Reply:
    12kW allocation reduced due to live reading of 0.3kW</t>
        </r>
      </text>
    </comment>
    <comment ref="T3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7.4kW</t>
        </r>
      </text>
    </comment>
    <comment ref="T40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0.6kW</t>
        </r>
      </text>
    </comment>
    <comment ref="T4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  </r>
      </text>
    </comment>
    <comment ref="T4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</t>
        </r>
      </text>
    </comment>
    <comment ref="T4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6.7kW
Reply:
    8kW allocation reduced due to live reading of 7.7kW
Reply:
    8kW allocation reduced due to live reading of 7.7kW</t>
        </r>
      </text>
    </comment>
    <comment ref="T44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
Reply:
    6kW allocation reduced due to live reading of 3.3kW
Reply:
    6kW allocation reduced due to live reading of 3.3kW</t>
        </r>
      </text>
    </comment>
    <comment ref="T44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0.4kW
Reply:
    12kW allocation reduced due to live reading of 0.4kW</t>
        </r>
      </text>
    </comment>
    <comment ref="T4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  </r>
      </text>
    </comment>
    <comment ref="T47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
Reply:
    5kW allocation reduced due to live reading of 0.9kW</t>
        </r>
      </text>
    </comment>
    <comment ref="U7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5142 planned for ORMT_SAP_240715_11_w014433</t>
        </r>
      </text>
    </comment>
    <comment ref="U20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  </r>
      </text>
    </comment>
    <comment ref="U27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U28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  </r>
      </text>
    </comment>
    <comment ref="U2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U32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MSPP 1684 New rack is planned and power allocated for 2.2KW</t>
        </r>
      </text>
    </comment>
    <comment ref="U3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U40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U41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U4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U46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  </r>
      </text>
    </comment>
    <comment ref="U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  </r>
      </text>
    </comment>
    <comment ref="U47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V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  </r>
      </text>
    </comment>
    <comment ref="V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
Reply:
    4kW allocation reduced due to live reading of 2.6KW
Reply:
    4kW allocation reduced due to live reading of 2.4KW
Reply:
    4kW allocation reduced due to live reading of 2.7KW</t>
        </r>
      </text>
    </comment>
    <comment ref="V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
Reply:
    4.5kW allocation reduced due to live reading of 2.0KW
Reply:
    4.5kW allocation reduced due to live reading of 2.1KW
Reply:
    4.5kW allocation reduced due to live reading of 2.8KW</t>
        </r>
      </text>
    </comment>
    <comment ref="V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
Reply:
    4kW allocation reduced due to live reading of 1.4kW
Reply:
    4kW allocation reduced due to live reading of 1.5kW
Reply:
    4kW allocation reduced due to live reading of 1.5kW
Reply:
    4kW allocation reduced due to live reading of 1.6kW</t>
        </r>
      </text>
    </comment>
    <comment ref="V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  </r>
      </text>
    </comment>
    <comment ref="V1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  </r>
      </text>
    </comment>
    <comment ref="V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  </r>
      </text>
    </comment>
    <comment ref="V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1.3kW
Reply:
    4kW allocation reduced due to live reading of 1.4kW
Reply:
    4kW allocation reduced due to live reading of 1.5kW</t>
        </r>
      </text>
    </comment>
    <comment ref="V19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
Reply:
    8kW allocation reduced due to live reading of 5.9kW
Reply:
    8kW allocation reduced due to live reading of 5.9kW
Reply:
    8kW allocation reduced due to live reading of 5.9kW
Reply:
    16kW allocation reduced due to live reading of 5.9kW
Reply:
    16kW allocation reduced due to live reading of 6.2kW
Reply:
    16kW allocation reduced due to live reading of 6.2kW</t>
        </r>
      </text>
    </comment>
    <comment ref="V19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  </r>
      </text>
    </comment>
    <comment ref="V21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  </r>
      </text>
    </comment>
    <comment ref="V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1.1kW
Reply:
    2.9kW allocation reduced due to live reading of 1.0kW
Reply:
    2.9kW allocation reduced due to live reading of 1.1kW
Reply:
    2.9kW allocation reduced due to live reading of 1kW</t>
        </r>
      </text>
    </comment>
    <comment ref="V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2.7kW
Reply:
    4kW allocation reduced due to live reading of 1.8kW
Reply:
    4kW allocation reduced due to live reading of 1.8kW</t>
        </r>
      </text>
    </comment>
    <comment ref="V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
Reply:
    4.5kW allocation reduced due to live reading of 1.8kW
Reply:
    4.5kW allocation reduced due to live reading of 1.8kW
Reply:
    4.5kW allocation reduced due to live reading of 1.8kW</t>
        </r>
      </text>
    </comment>
    <comment ref="V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
Reply:
    4kW allocation reduced due to live reading of 1.4kW</t>
        </r>
      </text>
    </comment>
    <comment ref="V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  </r>
      </text>
    </comment>
    <comment ref="V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
Reply:
    11kW allocation reduced due to live reading of 6.9KW
Reply:
    11kW allocation reduced due to live reading of 6.9KW
Reply:
    11kW allocation reduced due to live reading of 6.8KW</t>
        </r>
      </text>
    </comment>
    <comment ref="V38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0.4kW</t>
        </r>
      </text>
    </comment>
    <comment ref="V3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2.1kW
Reply:
    4kW allocation reduced due to live reading of 2.2kW
Reply:
    4kW allocation reduced due to live reading of 2.3kW</t>
        </r>
      </text>
    </comment>
    <comment ref="V4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2.4kW</t>
        </r>
      </text>
    </comment>
    <comment ref="V4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2.3kW
Reply:
    4kW allocation reduced due to live reading of 2.4kW
Reply:
    4kW allocation reduced due to live reading of 2.4kW</t>
        </r>
      </text>
    </comment>
    <comment ref="V44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2kW
Reply:
    3.2kW allocation reduced due to live reading of 2kW
Reply:
    3.2kW allocation reduced due to live reading of 2.1kW</t>
        </r>
      </text>
    </comment>
    <comment ref="V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</t>
        </r>
      </text>
    </comment>
    <comment ref="V4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4kW allocation reduced due to live reading of 0.6kW
Reply:
    4kW allocation reduced due to live reading of 0.6kW
Reply:
    4kW allocation reduced due to live reading of 0.6kW
Reply:
    4kW allocation reduced due to live reading of 0.6kW</t>
        </r>
      </text>
    </comment>
    <comment ref="W5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  </r>
      </text>
    </comment>
    <comment ref="W14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  </r>
      </text>
    </comment>
    <comment ref="W15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  </r>
      </text>
    </comment>
    <comment ref="W2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W28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W2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  </r>
      </text>
    </comment>
    <comment ref="W42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W45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ORMT_SAP_241010_7_10334046. Power allocated for 0.5KW</t>
        </r>
      </text>
    </comment>
    <comment ref="W46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X2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  </r>
      </text>
    </comment>
    <comment ref="X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
Reply:
    16kW allocation reduced due to live reading of 5.8KW
Reply:
    16kW allocation reduced due to live reading of 5.8KW
Reply:
    16kW allocation reduced due to live reading of 5.8KW</t>
        </r>
      </text>
    </comment>
    <comment ref="X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
Reply:
    4.5kW allocation reduced due to live reading of 3.7KW
Reply:
    4.5kW allocation reduced due to live reading of 3.8KW
Reply:
    4.5kW allocation reduced due to live reading of 3.8KW
Reply:
    4.5kW allocation reduced due to live reading of 3.7KW</t>
        </r>
      </text>
    </comment>
    <comment ref="X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
Reply:
    4kW allocation reduced due to live reading of 1.6kW
Reply:
    4kW allocation reduced due to live reading of 2kW
Reply:
    4kW allocation reduced due to live reading of 2kW</t>
        </r>
      </text>
    </comment>
    <comment ref="X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</t>
        </r>
      </text>
    </comment>
    <comment ref="X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1.2kW
Reply:
    4.5kW allocation reduced due to live reading of 1.2kW
Reply:
    4.5kW allocation reduced due to live reading of 1.2kW</t>
        </r>
      </text>
    </comment>
    <comment ref="X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
Reply:
    4kW allocation reduced due to live reading of 1.5kW
Reply:
    4kW allocation reduced due to live reading of 1.5kW
Reply:
    4kW allocation reduced due to live reading of 1.4kW
Reply:
    4kW allocation reduced due to live reading of 1.5kW</t>
        </r>
      </text>
    </comment>
    <comment ref="X19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  </r>
      </text>
    </comment>
    <comment ref="X25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
Reply:
    6.5kW allocation reduced due to live reading of 5.7kW
Reply:
    6.5kW allocation reduced due to live reading of 5.7kW
Reply:
    6.5kW allocation reduced due to live reading of 5.7kW
Reply:
    6.5kW allocation reduced due to live reading of 5.6kW</t>
        </r>
      </text>
    </comment>
    <comment ref="X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
Reply:
    4.5kW allocation reduced due to live reading of 2.6kW</t>
        </r>
      </text>
    </comment>
    <comment ref="X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3kW
Reply:
    4kW allocation reduced due to live reading of 2kW
Reply:
    4kW allocation reduced due to live reading of 2kW</t>
        </r>
      </text>
    </comment>
    <comment ref="X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
Reply:
    4.5kW allocation reduced due to live reading of 2.3kW
Reply:
    4.5kW allocation reduced due to live reading of 2.3kW
Reply:
    4.5kW allocation reduced due to live reading of 2.3kW</t>
        </r>
      </text>
    </comment>
    <comment ref="X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  </r>
      </text>
    </comment>
    <comment ref="X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  </r>
      </text>
    </comment>
    <comment ref="X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
Reply:
    4kW allocation reduced due to live reading of 2KW
Reply:
    4kW allocation reduced due to live reading of 2.1KW
Reply:
    4kW allocation reduced due to live reading of 2.3KW</t>
        </r>
      </text>
    </comment>
    <comment ref="X3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
Reply:
    4kW allocation reduced due to live reading of 1.4kW
Reply:
    4kW allocation reduced due to live reading of 1.3kW
Reply:
    4kW allocation reduced due to live reading of 1.3kW</t>
        </r>
      </text>
    </comment>
    <comment ref="X4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  </r>
      </text>
    </comment>
    <comment ref="X4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2.2kW
Reply:
    4kW allocation reduced due to live reading of 3.2kW</t>
        </r>
      </text>
    </comment>
    <comment ref="X44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  </r>
      </text>
    </comment>
    <comment ref="X44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0.3kW
Reply:
    2kW allocation reduced due to live reading of 0.3kW</t>
        </r>
      </text>
    </comment>
    <comment ref="X4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  </r>
      </text>
    </comment>
    <comment ref="X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  </r>
      </text>
    </comment>
    <comment ref="X4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</t>
        </r>
      </text>
    </comment>
    <comment ref="Y5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  </r>
      </text>
    </comment>
    <comment ref="Y20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  </r>
      </text>
    </comment>
    <comment ref="Y28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  </r>
      </text>
    </comment>
    <comment ref="Y2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Y29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  </r>
      </text>
    </comment>
    <comment ref="Z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
Reply:
    7kW allocation reduced due to live reading of  5.2KW
Reply:
    7kW allocation reduced due to live reading of  5.3KW
Reply:
    7kW allocation reduced due to live reading of  5.3KW</t>
        </r>
      </text>
    </comment>
    <comment ref="Z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
Reply:
    4.5kW allocation reduced due to live reading of 2.2KW
Reply:
    4.5kW allocation reduced due to live reading of 2.3KW
Reply:
    4.5kW allocation reduced due to live reading of 2.3KW
Reply:
    4.5kW allocation reduced due to live reading of 2.3KW</t>
        </r>
      </text>
    </comment>
    <comment ref="Z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</t>
        </r>
      </text>
    </comment>
    <comment ref="Z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3kW</t>
        </r>
      </text>
    </comment>
    <comment ref="Z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2.6kW
Reply:
    4kW allocation reduced due to live reading of 2.7kW
Reply:
    4kW allocation reduced due to live reading of 2.8kW
Reply:
    4kW allocation reduced due to live reading of 2.7kW</t>
        </r>
      </text>
    </comment>
    <comment ref="Z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1.4kW
Reply:
    4kW allocation reduced due to live reading of 1.4kW
Reply:
    4kW allocation reduced due to live reading of 1.4kW</t>
        </r>
      </text>
    </comment>
    <comment ref="Z19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</t>
        </r>
      </text>
    </comment>
    <comment ref="Z19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  </r>
      </text>
    </comment>
    <comment ref="Z25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  </r>
      </text>
    </comment>
    <comment ref="Z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
Reply:
    1.8kW allocation reduced due to live reading of 0.9kW
Reply:
    1.8kW allocation reduced due to live reading of 0.9kW
Reply:
    1.8kW allocation reduced due to live reading of 0.8kW
Reply:
    1.8kW allocation reduced due to live reading of 0.9kW</t>
        </r>
      </text>
    </comment>
    <comment ref="Z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
Reply:
    4kW allocation reduced due to live reading of 2.0kW
Reply:
    4kW allocation reduced due to live reading of 2.0kW
Reply:
    4kW allocation reduced due to live reading of 2kW</t>
        </r>
      </text>
    </comment>
    <comment ref="Z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
Reply:
    4.5kW allocation reduced due to live reading of1kW
Reply:
    4.5kW allocation reduced due to live reading of1kW</t>
        </r>
      </text>
    </comment>
    <comment ref="Z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  </r>
      </text>
    </comment>
    <comment ref="Z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0.4KW
Reply:
    2kW allocation reduced due to live reading of 0.5KW</t>
        </r>
      </text>
    </comment>
    <comment ref="Z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2.1KW
Reply:
    4kW allocation reduced due to live reading of 2.1KW
Reply:
    4kW allocation reduced due to live reading of 2.2KW</t>
        </r>
      </text>
    </comment>
    <comment ref="Z3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
Reply:
    4kW allocation reduced due to live reading of 2.8kW
Reply:
    4kW allocation reduced due to live reading of 2.8kW
Reply:
    4kW allocation reduced due to live reading of 2.8kW</t>
        </r>
      </text>
    </comment>
    <comment ref="Z41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0.3kW
Reply:
    1kW allocation reduced due to live reading of 0.4kW
Reply:
    1kW allocation reduced due to live reading of 0.4kW
Reply:
    1kW allocation reduced due to live reading of 0.4kW</t>
        </r>
      </text>
    </comment>
    <comment ref="Z4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2.4kW
Reply:
    4kW allocation reduced due to live reading of 3.4kW
Reply:
    4kW allocation reduced due to live reading of 3.3kW</t>
        </r>
      </text>
    </comment>
    <comment ref="Z44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  </r>
      </text>
    </comment>
    <comment ref="Z44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
Reply:
    5kW allocation reduced due to live reading of  2.5kW
Reply:
    5kW allocation reduced due to live reading of  2.5kW
Reply:
    5kW allocation reduced due to live reading of  2.5kW
Reply:
    5kW allocation reduced due to live reading of  2.5kW</t>
        </r>
      </text>
    </comment>
    <comment ref="Z4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</t>
        </r>
      </text>
    </comment>
    <comment ref="Z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
Reply:
    6.5kW allocation reduced due to live reading of 0.7kW
Reply:
    6.5kW allocation reduced due to live reading of 0.7kW
Reply:
    6.5kW allocation reduced due to live reading of 0.6kW</t>
        </r>
      </text>
    </comment>
    <comment ref="Z4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5.7kW
Reply:
    6kW allocation reduced due to live reading of 5.8kW</t>
        </r>
      </text>
    </comment>
    <comment ref="AA11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A28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  </r>
      </text>
    </comment>
    <comment ref="AA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  </r>
      </text>
    </comment>
    <comment ref="AA46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B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
Reply:
    6.5kW allocation reduced due to live reading of 5.6KW
Reply:
    6.5kW allocation reduced due to live reading of 5.6KW</t>
        </r>
      </text>
    </comment>
    <comment ref="AB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
Reply:
    6kW allocation reduced due to live reading of 5.2kW
Reply:
    6kW allocation reduced due to live reading of 5.2kW
Reply:
    6kW allocation reduced due to live reading of 5.2kW
Reply:
    6kW allocation reduced due to live reading of 5.2kW</t>
        </r>
      </text>
    </comment>
    <comment ref="AB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1.4W
Reply:
    4kW allocation reduced due to live reading of 1.4W</t>
        </r>
      </text>
    </comment>
    <comment ref="AB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
Reply:
    4kW allocation reduced due to live reading of 1.8kW</t>
        </r>
      </text>
    </comment>
    <comment ref="AB19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0.6kW
Reply:
    1kW allocation reduced due to live reading of 0.6kW
Reply:
    1kW allocation reduced due to live reading of 0.5kW</t>
        </r>
      </text>
    </comment>
    <comment ref="AB25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  </r>
      </text>
    </comment>
    <comment ref="AB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1.1kW
Reply:
    4kW allocation reduced due to live reading of 1.1kW
Reply:
    4kW allocation reduced due to live reading of 1.1kW
Reply:
    4kW allocation reduced due to live reading of 1.1kW</t>
        </r>
      </text>
    </comment>
    <comment ref="AB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B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  </r>
      </text>
    </comment>
    <comment ref="AB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  </r>
      </text>
    </comment>
    <comment ref="AB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0.3kW
Reply:
    4kW allocation reduced due to live reading of 0.5kW
Reply:
    4kW allocation reduced due to live reading of 0.5kW
Reply:
    4kW allocation reduced due to live reading of 0.6kW</t>
        </r>
      </text>
    </comment>
    <comment ref="AB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  </r>
      </text>
    </comment>
    <comment ref="AB39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
Reply:
    4.2kW allocation reduced due to live reading of 1.1kW
Reply:
    4.2kW allocation reduced due to live reading of 1kW
Reply:
    4.2kW allocation reduced due to live reading of 1kW</t>
        </r>
      </text>
    </comment>
    <comment ref="AB43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
Reply:
    67kW allocation reduced due to live reading of 11.8kW
Reply:
    67kW allocation reduced due to live reading of 11kW</t>
        </r>
      </text>
    </comment>
    <comment ref="AB44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2kW
Reply:
    14.2kW allocation reduced due to live reading of 2kW
Reply:
    14.2kW allocation reduced due to live reading of 2.1kW</t>
        </r>
      </text>
    </comment>
    <comment ref="AB4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4.9kW</t>
        </r>
      </text>
    </comment>
    <comment ref="AB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3.5kW
Reply:
    5.6kW allocation reduced due to live reading of 3.5kW
Reply:
    5.6kW allocation reduced due to live reading of 3.4kW</t>
        </r>
      </text>
    </comment>
    <comment ref="AC44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C4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C4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D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
Reply:
    4kW allocation reduced due to live reading of 2.2KW
Reply:
    4kW allocation reduced due to live reading of 2.3KW
Reply:
    4kW allocation reduced due to live reading of 2.3KW</t>
        </r>
      </text>
    </comment>
    <comment ref="AD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1kW
Reply:
    4kW allocation reduced due to live reading of 1kW
Reply:
    4kW allocation reduced due to live reading of 1kW</t>
        </r>
      </text>
    </comment>
    <comment ref="AD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
Reply:
    4.2kW allocation reduced due to live reading of 0.5kW
Reply:
    4.2kW allocation reduced due to live reading of 0.5kW
Reply:
    4.2kW allocation reduced due to live reading of 0.5kW</t>
        </r>
      </text>
    </comment>
    <comment ref="AD25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  </r>
      </text>
    </comment>
    <comment ref="AD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
Reply:
    4.2kW allocation reduced due to live reading of 1.1kW
Reply:
    4.2kW allocation reduced due to live reading of 1.1kW</t>
        </r>
      </text>
    </comment>
    <comment ref="AD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0.8kW
Reply:
    4kW allocation reduced due to live reading of 1.7kW
Reply:
    4kW allocation reduced due to live reading of 1.7kW</t>
        </r>
      </text>
    </comment>
    <comment ref="AD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
Reply:
    4kW allocation reduced due to live reading of  1.1kW
Reply:
    4kW allocation reduced due to live reading of  1.5kW
Reply:
    4kW allocation reduced due to live reading of  1.6kW</t>
        </r>
      </text>
    </comment>
    <comment ref="AD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  </r>
      </text>
    </comment>
    <comment ref="AD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6.7kW
Reply:
    8kW allocation reduced due to live reading of 6.7kW</t>
        </r>
      </text>
    </comment>
    <comment ref="AD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
Reply:
    7kW allocation reduced due to live reading of 5.2KW
Reply:
    7kW allocation reduced due to live reading of 5.2KW
Reply:
    7kW allocation reduced due to live reading of 5.2KW</t>
        </r>
      </text>
    </comment>
    <comment ref="AE143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F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1.3kW
Reply:
    5.4kW allocation reduced due to live reading of 1.4kW
Reply:
    5.4kW allocation reduced due to live reading of 1.5kW</t>
        </r>
      </text>
    </comment>
    <comment ref="AF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  </r>
      </text>
    </comment>
    <comment ref="AF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0.6kW
Reply:
    4.2kW allocation reduced due to live reading of 0.6kW</t>
        </r>
      </text>
    </comment>
    <comment ref="AF275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7.2KW
Reply:
    8kW allocation reduced due to live reading of 7.2KW</t>
        </r>
      </text>
    </comment>
    <comment ref="AF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  </r>
      </text>
    </comment>
    <comment ref="AG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  </r>
      </text>
    </comment>
    <comment ref="AH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  </r>
      </text>
    </comment>
    <comment ref="AH8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</t>
        </r>
      </text>
    </comment>
    <comment ref="AH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  </r>
      </text>
    </comment>
    <comment ref="AH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1kW</t>
        </r>
      </text>
    </comment>
    <comment ref="AH268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
Reply:
    5kW allocation reduced due to live reading of 1.2kW
Reply:
    5kW allocation reduced due to live reading of 1.3kW</t>
        </r>
      </text>
    </comment>
    <comment ref="AH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
Reply:
    5kW allocation reduced due to live reading of 0.9kW
Reply:
    5kW allocation reduced due to live reading of 0.9kW
Reply:
    5kW allocation reduced due to live reading of 0.9kW
Reply:
    5kW allocation reduced due to live reading of 1.2kW
Reply:
    5kW allocation reduced due to live reading of 1.2kW</t>
        </r>
      </text>
    </comment>
    <comment ref="AH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
Reply:
    2.6kW allocation reduced due to live reading of 1.5kW
Reply:
    2.6kW allocation reduced due to live reading of 1.4kW
Reply:
    2.6kW allocation reduced due to live reading of 1.4kW</t>
        </r>
      </text>
    </comment>
    <comment ref="AI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  </r>
      </text>
    </comment>
    <comment ref="AJ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1.5KW
Reply:
    4kW allocation reduced due to live reading of 1.6KW</t>
        </r>
      </text>
    </comment>
    <comment ref="AJ176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PX allocation increased to 5kW due to live load of 4.35kW
Reply:
    10kW allocation reduced due to live reading of 8.9kW</t>
        </r>
      </text>
    </comment>
    <comment ref="AJ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
Reply:
    4.5kW allocation reduced due to live reading of 2.7kW
Reply:
    4.5kW allocation reduced due to live reading of 2.7kW
Reply:
    4.5kW allocation reduced due to live reading of 2.5kW
Reply:
    4.5kW allocation reduced due to live reading of 2.5kW
Reply:
    4.5kW allocation reduced due to live reading of 2.4kW</t>
        </r>
      </text>
    </comment>
    <comment ref="AJ31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
Reply:
    5kW allocation reduced due to live reading of 0.6kW
Reply:
    5kW allocation reduced due to live reading of 0.6kW
Reply:
    5kW allocation reduced due to live reading of 0.6kW
Reply:
    5kW allocation reduced due to live reading of 0.4kW
Reply:
    5kW allocation reduced due to live reading of 0.6kW</t>
        </r>
      </text>
    </comment>
    <comment ref="AL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  </r>
      </text>
    </comment>
    <comment ref="AL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
Reply:
    5.5kW allocation reduced due to live reading of 1.4kW
Reply:
    5.5kW allocation reduced due to live reading of 1.4kW
Reply:
    5.5kW allocation reduced due to live reading of 1.4kW
Reply:
    5.5kW allocation reduced due to live reading of 1.4kW</t>
        </r>
      </text>
    </comment>
    <comment ref="AL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  </r>
      </text>
    </comment>
    <comment ref="AL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  </r>
      </text>
    </comment>
    <comment ref="AM267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N30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  </r>
      </text>
    </comment>
    <comment ref="AN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  </r>
      </text>
    </comment>
    <comment ref="AO35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ORMT_SAP_241113_21_W859570 Nokia 7210 SAS SX New rack is planned and power allocated for 6.6KW</t>
        </r>
      </text>
    </comment>
    <comment ref="AP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  </r>
      </text>
    </comment>
    <comment ref="AR302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Frost, Daniel, Vodafone UK:
</t>
        </r>
        <r>
          <rPr>
            <sz val="9"/>
            <color rgb="FF000000"/>
            <rFont val="Tahoma"/>
            <family val="2"/>
            <charset val="1"/>
          </rPr>
          <t xml:space="preserve">To make site check drop down unique values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  </r>
      </text>
    </comment>
  </commentList>
</comments>
</file>

<file path=xl/sharedStrings.xml><?xml version="1.0" encoding="utf-8"?>
<sst xmlns="http://schemas.openxmlformats.org/spreadsheetml/2006/main" count="6327" uniqueCount="1666">
  <si>
    <t xml:space="preserve">Colours Legend</t>
  </si>
  <si>
    <t xml:space="preserve">Over 1 year count since reading</t>
  </si>
  <si>
    <t xml:space="preserve">Data updated</t>
  </si>
  <si>
    <t xml:space="preserve">Multiple Single Systems</t>
  </si>
  <si>
    <t xml:space="preserve">True A &amp; B Systems</t>
  </si>
  <si>
    <r>
      <rPr>
        <b val="true"/>
        <sz val="11"/>
        <color rgb="FF000000"/>
        <rFont val="Arial"/>
        <family val="2"/>
        <charset val="1"/>
      </rPr>
      <t xml:space="preserve">BRAG
&lt;0 = BLACK
0 - 10 = </t>
    </r>
    <r>
      <rPr>
        <b val="true"/>
        <sz val="11"/>
        <color rgb="FFFF0000"/>
        <rFont val="Arial"/>
        <family val="2"/>
        <charset val="1"/>
      </rPr>
      <t xml:space="preserve">RED
</t>
    </r>
    <r>
      <rPr>
        <b val="true"/>
        <sz val="11"/>
        <color rgb="FF000000"/>
        <rFont val="Arial"/>
        <family val="2"/>
        <charset val="1"/>
      </rPr>
      <t xml:space="preserve">10 - 25 = </t>
    </r>
    <r>
      <rPr>
        <b val="true"/>
        <sz val="11"/>
        <color rgb="FFFFC000"/>
        <rFont val="Arial"/>
        <family val="2"/>
        <charset val="1"/>
      </rPr>
      <t xml:space="preserve">AMBER
</t>
    </r>
    <r>
      <rPr>
        <b val="true"/>
        <sz val="11"/>
        <color rgb="FF000000"/>
        <rFont val="Arial"/>
        <family val="2"/>
        <charset val="1"/>
      </rPr>
      <t xml:space="preserve">&gt;25 = </t>
    </r>
    <r>
      <rPr>
        <b val="true"/>
        <sz val="11"/>
        <color rgb="FF92D050"/>
        <rFont val="Arial"/>
        <family val="2"/>
        <charset val="1"/>
      </rPr>
      <t xml:space="preserve">GREEN</t>
    </r>
  </si>
  <si>
    <t xml:space="preserve">Region</t>
  </si>
  <si>
    <t xml:space="preserve">Reading 
Date</t>
  </si>
  <si>
    <t xml:space="preserve">Space</t>
  </si>
  <si>
    <t xml:space="preserve">%
Power Remaining
 (@ 80% of N )</t>
  </si>
  <si>
    <t xml:space="preserve">kW
Power Remaining
 (@ 80% of N )</t>
  </si>
  <si>
    <t xml:space="preserve">%
Power Remaining
(Inc. Full Batt Recharge)</t>
  </si>
  <si>
    <t xml:space="preserve">kW
Power Remaining
(Inc. Full Batt Recharge)</t>
  </si>
  <si>
    <t xml:space="preserve">% 
Autonomy Remaining</t>
  </si>
  <si>
    <t xml:space="preserve">kW
Autonomy Remaining</t>
  </si>
  <si>
    <t xml:space="preserve">%
Cooling Remaining
(@ 75% of N)</t>
  </si>
  <si>
    <t xml:space="preserve">kW
Cooling Remaining
(@ 75% of N)</t>
  </si>
  <si>
    <t xml:space="preserve">P-Core</t>
  </si>
  <si>
    <t xml:space="preserve">RA</t>
  </si>
  <si>
    <t xml:space="preserve">PX</t>
  </si>
  <si>
    <t xml:space="preserve">Amitie</t>
  </si>
  <si>
    <t xml:space="preserve">Op-EX</t>
  </si>
  <si>
    <t xml:space="preserve">Total Allocated Load
kW</t>
  </si>
  <si>
    <t xml:space="preserve">Comments</t>
  </si>
  <si>
    <t xml:space="preserve">ABH;DC SYS01</t>
  </si>
  <si>
    <t xml:space="preserve">ABN;DC SYS01</t>
  </si>
  <si>
    <t xml:space="preserve">ABNTB1;DC SYS01</t>
  </si>
  <si>
    <t xml:space="preserve">ABNTD1;DCSYS01</t>
  </si>
  <si>
    <t xml:space="preserve">ACTN01;DC SYS01a</t>
  </si>
  <si>
    <t xml:space="preserve">ACTN01;DC SYS01b</t>
  </si>
  <si>
    <t xml:space="preserve">ANSTW1; DC SYS01</t>
  </si>
  <si>
    <t xml:space="preserve">ASH;DC SYS01</t>
  </si>
  <si>
    <t xml:space="preserve">ASMN02;DC SYS01</t>
  </si>
  <si>
    <t xml:space="preserve">AYRN01; DC SYS01</t>
  </si>
  <si>
    <t xml:space="preserve">AZTCD1&amp;2;DC SYS01</t>
  </si>
  <si>
    <t xml:space="preserve">BCT;DC SYS01</t>
  </si>
  <si>
    <t xml:space="preserve">BDEN02;DC SYS01</t>
  </si>
  <si>
    <t xml:space="preserve">BDEN06;DC SYS01</t>
  </si>
  <si>
    <t xml:space="preserve">BDFN02;DC SYS01a</t>
  </si>
  <si>
    <t xml:space="preserve">BDFN02;DC SYS01b</t>
  </si>
  <si>
    <t xml:space="preserve">BFDTB1;DC SYS01</t>
  </si>
  <si>
    <t xml:space="preserve">BFEC01;DC SYS01</t>
  </si>
  <si>
    <t xml:space="preserve">BFTN03;DC SYS01</t>
  </si>
  <si>
    <t xml:space="preserve">BHM;DC SYS02</t>
  </si>
  <si>
    <t xml:space="preserve">BHMN05;DC SYS A</t>
  </si>
  <si>
    <t xml:space="preserve">BHMN05;DC SYS B</t>
  </si>
  <si>
    <t xml:space="preserve">BHMN08;DCSYS03A</t>
  </si>
  <si>
    <t xml:space="preserve">BHMN08;DCSYS03B</t>
  </si>
  <si>
    <t xml:space="preserve">BHMTF1;DC SYS A</t>
  </si>
  <si>
    <t xml:space="preserve">BHMTF1;DC SYS B</t>
  </si>
  <si>
    <t xml:space="preserve">BHWCN1;DC SYS01</t>
  </si>
  <si>
    <t xml:space="preserve">BIFTS1; DC SYS01</t>
  </si>
  <si>
    <t xml:space="preserve">BKBN41;DC SYS01</t>
  </si>
  <si>
    <t xml:space="preserve">BKLN05;DC SYS02</t>
  </si>
  <si>
    <t xml:space="preserve">BKLN05;DC SYS03;NEAR CK</t>
  </si>
  <si>
    <t xml:space="preserve">BKLN05;DC SYS04a</t>
  </si>
  <si>
    <t xml:space="preserve">BKLN05;DC SYS04b</t>
  </si>
  <si>
    <t xml:space="preserve">BMGV03; DC SYS A</t>
  </si>
  <si>
    <t xml:space="preserve">BMGV03; DC SYS B</t>
  </si>
  <si>
    <t xml:space="preserve">BMTDN1;DC SYS01</t>
  </si>
  <si>
    <t xml:space="preserve">BPL;DC SYS01</t>
  </si>
  <si>
    <t xml:space="preserve">BRETS1;DC SYS01</t>
  </si>
  <si>
    <t xml:space="preserve">BRRTS1; DC SYS01</t>
  </si>
  <si>
    <t xml:space="preserve">BSG;DC SYS01</t>
  </si>
  <si>
    <t xml:space="preserve">BSH;DC SYS01A</t>
  </si>
  <si>
    <t xml:space="preserve">BSH;DC SYS01B</t>
  </si>
  <si>
    <t xml:space="preserve">BSHN03;DC SYS A</t>
  </si>
  <si>
    <t xml:space="preserve">BSHN03;DC SYS B</t>
  </si>
  <si>
    <t xml:space="preserve">BTFTB1;DC SYS01</t>
  </si>
  <si>
    <t xml:space="preserve">BTFTB1;DC SYS02</t>
  </si>
  <si>
    <t xml:space="preserve">BTLCD1;DC SYS01</t>
  </si>
  <si>
    <t xml:space="preserve">BTLN08;DC SYS01</t>
  </si>
  <si>
    <t xml:space="preserve">BTLN09;DC SYS01 </t>
  </si>
  <si>
    <t xml:space="preserve">BTN-DCSYS01</t>
  </si>
  <si>
    <t xml:space="preserve">BTNW01;DC SYS01</t>
  </si>
  <si>
    <t xml:space="preserve">BTRTP1;DC SYS01</t>
  </si>
  <si>
    <t xml:space="preserve">BYR;DC SYS01</t>
  </si>
  <si>
    <t xml:space="preserve">CAMN02;DC SYS01</t>
  </si>
  <si>
    <t xml:space="preserve">CAMN41;DC SYS01</t>
  </si>
  <si>
    <t xml:space="preserve">CBY;DC SYS01</t>
  </si>
  <si>
    <t xml:space="preserve">CDFN02;DC SYS01</t>
  </si>
  <si>
    <t xml:space="preserve">CELL01;DC SYS01</t>
  </si>
  <si>
    <t xml:space="preserve">CFDTN1;DC SYS01</t>
  </si>
  <si>
    <t xml:space="preserve">CHDCD1;DC SYS01</t>
  </si>
  <si>
    <t xml:space="preserve">CHMN21;DC SYS01</t>
  </si>
  <si>
    <t xml:space="preserve">CHTN07;DC SYS01</t>
  </si>
  <si>
    <t xml:space="preserve">CHTN07;DC SYS02</t>
  </si>
  <si>
    <t xml:space="preserve">CHTTN3;DC SYS01A</t>
  </si>
  <si>
    <t xml:space="preserve">CHTTN3;DC SYS01B</t>
  </si>
  <si>
    <t xml:space="preserve">CKNN03-DCSYS01a</t>
  </si>
  <si>
    <t xml:space="preserve">CKNN03-DCSYS01b</t>
  </si>
  <si>
    <t xml:space="preserve">COV;DC SYS01a</t>
  </si>
  <si>
    <t xml:space="preserve">COV;DC SYS01b</t>
  </si>
  <si>
    <t xml:space="preserve">COWL02;DC SYS01</t>
  </si>
  <si>
    <t xml:space="preserve">CSLN13;DC SYS01</t>
  </si>
  <si>
    <t xml:space="preserve">CTNN01-DCSYS01a</t>
  </si>
  <si>
    <t xml:space="preserve">CTNN01-DCSYS01b</t>
  </si>
  <si>
    <t xml:space="preserve">CTRTK1;DC SYS01</t>
  </si>
  <si>
    <t xml:space="preserve">CTRTS1; DC SYS01</t>
  </si>
  <si>
    <t xml:space="preserve">CYNTN2;DC SYS01</t>
  </si>
  <si>
    <t xml:space="preserve">DBY;DC SYS01</t>
  </si>
  <si>
    <t xml:space="preserve">DCT;DC SYS01</t>
  </si>
  <si>
    <t xml:space="preserve">DFSN01; DC SYS01</t>
  </si>
  <si>
    <t xml:space="preserve">DFSNC1; DC SYS01</t>
  </si>
  <si>
    <t xml:space="preserve">DGS;DC SYS01</t>
  </si>
  <si>
    <t xml:space="preserve">DHMNU1;DC SYS01</t>
  </si>
  <si>
    <t xml:space="preserve">DKTN08; DC SYS01</t>
  </si>
  <si>
    <t xml:space="preserve">DLD;DC SYS01</t>
  </si>
  <si>
    <t xml:space="preserve">DLNTC1;DC SYS01</t>
  </si>
  <si>
    <t xml:space="preserve">DNDN71; SYS 01</t>
  </si>
  <si>
    <t xml:space="preserve">DNDTC1;DCSYS01</t>
  </si>
  <si>
    <t xml:space="preserve">DNFNP1; DC SYS01</t>
  </si>
  <si>
    <t xml:space="preserve">DONTN1;DC SYS01</t>
  </si>
  <si>
    <t xml:space="preserve">DVSTB1; DC SYS01</t>
  </si>
  <si>
    <t xml:space="preserve">DWLTM1;DC SYS01</t>
  </si>
  <si>
    <t xml:space="preserve">ECBTC1; DC SYS01</t>
  </si>
  <si>
    <t xml:space="preserve">EDBCD1;DC SYS01</t>
  </si>
  <si>
    <t xml:space="preserve">EDBTG1;DC SYSA</t>
  </si>
  <si>
    <t xml:space="preserve">EDBTG1;DC SYSB</t>
  </si>
  <si>
    <t xml:space="preserve">EDBTN1;DC SYSA (DO NOT CONNECT LOADS)</t>
  </si>
  <si>
    <t xml:space="preserve">EDBTN1;DC SYSB</t>
  </si>
  <si>
    <t xml:space="preserve">EGNTM1;DC SYS01</t>
  </si>
  <si>
    <t xml:space="preserve">EVMN01;DC SYS01</t>
  </si>
  <si>
    <t xml:space="preserve">EXR;DC SYS01</t>
  </si>
  <si>
    <t xml:space="preserve">EXRN03-DCSYSa</t>
  </si>
  <si>
    <t xml:space="preserve">EXRN03-DCSYSb</t>
  </si>
  <si>
    <t xml:space="preserve">FKE;DC SYS01</t>
  </si>
  <si>
    <t xml:space="preserve">FLNTT1;DC SYS01</t>
  </si>
  <si>
    <t xml:space="preserve">FMYN31; DC SYS01</t>
  </si>
  <si>
    <t xml:space="preserve">FRNN03-DCSYS01a</t>
  </si>
  <si>
    <t xml:space="preserve">FRNN03-DCSYS01b</t>
  </si>
  <si>
    <t xml:space="preserve">GCRTB1;DC SYS01</t>
  </si>
  <si>
    <t xml:space="preserve">GFDCD1;DC SYS01A</t>
  </si>
  <si>
    <t xml:space="preserve">GFDCD1;DC SYS01B</t>
  </si>
  <si>
    <t xml:space="preserve">GLWN07;DC SYS A</t>
  </si>
  <si>
    <t xml:space="preserve">GLWN07;DC SYS B</t>
  </si>
  <si>
    <t xml:space="preserve">GLWTO1;DC SYS01</t>
  </si>
  <si>
    <t xml:space="preserve">GLWTW1;DC SYS01</t>
  </si>
  <si>
    <t xml:space="preserve">GRSTB1;DC SYS01</t>
  </si>
  <si>
    <t xml:space="preserve">GWK;DC SYS01</t>
  </si>
  <si>
    <t xml:space="preserve">HHD;DC SYS01</t>
  </si>
  <si>
    <t xml:space="preserve">HLDA11;DC SYS01</t>
  </si>
  <si>
    <t xml:space="preserve">HLDA12;DC SYS01</t>
  </si>
  <si>
    <t xml:space="preserve">HLWN02;DC SYS01</t>
  </si>
  <si>
    <t xml:space="preserve">HRWN02;DC SYS01</t>
  </si>
  <si>
    <t xml:space="preserve">HTE;DC SYS01</t>
  </si>
  <si>
    <t xml:space="preserve">IGNN01;DC SYS01</t>
  </si>
  <si>
    <t xml:space="preserve">INVN41;DC SYS01</t>
  </si>
  <si>
    <t xml:space="preserve">INVTL1;DC SYS01</t>
  </si>
  <si>
    <t xml:space="preserve">IODN01;DC SYS01</t>
  </si>
  <si>
    <t xml:space="preserve">IODTA1;DC SYS01</t>
  </si>
  <si>
    <t xml:space="preserve">IPWTN1;DC SYS01</t>
  </si>
  <si>
    <t xml:space="preserve">IVER02; DC SYS01</t>
  </si>
  <si>
    <t xml:space="preserve">KLNN01;DC SYS01</t>
  </si>
  <si>
    <t xml:space="preserve">KNLTS1;DC SYS01</t>
  </si>
  <si>
    <t xml:space="preserve">LCT;DC SYS01</t>
  </si>
  <si>
    <t xml:space="preserve">LDMS13;DC SYS01 A</t>
  </si>
  <si>
    <t xml:space="preserve">LDMS13;DC SYS01 B</t>
  </si>
  <si>
    <t xml:space="preserve">LDSCD2;DC SYS A</t>
  </si>
  <si>
    <t xml:space="preserve">LDSCD2;DC SYS B</t>
  </si>
  <si>
    <t xml:space="preserve">LDSN14; DC SYS01</t>
  </si>
  <si>
    <t xml:space="preserve">LDSTS1;DC SYS01</t>
  </si>
  <si>
    <t xml:space="preserve">LIVN01;DC SYS01</t>
  </si>
  <si>
    <t xml:space="preserve">LLDTE1;DC SYS01</t>
  </si>
  <si>
    <t xml:space="preserve">LMSCN2;DC SYS01</t>
  </si>
  <si>
    <t xml:space="preserve">LPLTB1;DC SYS01</t>
  </si>
  <si>
    <t xml:space="preserve">LPLTK1;DC SYS01</t>
  </si>
  <si>
    <t xml:space="preserve">LSWN01;DC SYS01</t>
  </si>
  <si>
    <t xml:space="preserve">LTNDN1;DC SYS01</t>
  </si>
  <si>
    <t xml:space="preserve">MCRCD2;DC SYS01 [Rect1&amp;2]</t>
  </si>
  <si>
    <t xml:space="preserve">MCRCD2;DC SYS02 [Rect 3&amp;4]</t>
  </si>
  <si>
    <t xml:space="preserve">MCRCD2;DC SYS03 [Rect5]</t>
  </si>
  <si>
    <t xml:space="preserve">MCRN11;DC SYS01a</t>
  </si>
  <si>
    <t xml:space="preserve">MCRN11;DC SYS01b</t>
  </si>
  <si>
    <t xml:space="preserve">MCRN12;DC SYS01 A</t>
  </si>
  <si>
    <t xml:space="preserve">MCRN12;DC SYS01 B</t>
  </si>
  <si>
    <t xml:space="preserve">MDBTD1;DC SYS01</t>
  </si>
  <si>
    <t xml:space="preserve">MDE;DC SYS01</t>
  </si>
  <si>
    <t xml:space="preserve">MDFTB1;DC SYS01</t>
  </si>
  <si>
    <t xml:space="preserve">MKSTN1;DC SYS01</t>
  </si>
  <si>
    <t xml:space="preserve">NBYCD1;DC SYS01</t>
  </si>
  <si>
    <t xml:space="preserve">NECCD1;DC SYS01</t>
  </si>
  <si>
    <t xml:space="preserve">NGM;DC SYS03</t>
  </si>
  <si>
    <t xml:space="preserve">NGMTL1;DC SYS01</t>
  </si>
  <si>
    <t xml:space="preserve">NRWN51;DC SYS01</t>
  </si>
  <si>
    <t xml:space="preserve">NRWTN1;DC SYS01</t>
  </si>
  <si>
    <t xml:space="preserve">NULTB1;DC SYS01</t>
  </si>
  <si>
    <t xml:space="preserve">NWCN05;DC SYS01a</t>
  </si>
  <si>
    <t xml:space="preserve">NWCN05;DC SYS01b</t>
  </si>
  <si>
    <t xml:space="preserve">NWCNY1;DC SYS01</t>
  </si>
  <si>
    <t xml:space="preserve">NWPDN1;DC SYS01</t>
  </si>
  <si>
    <t xml:space="preserve">OHB;DC SYS01;PSU1</t>
  </si>
  <si>
    <t xml:space="preserve">OHB;DC SYS02;PSU2</t>
  </si>
  <si>
    <t xml:space="preserve">OKNN01-DCSYS01a</t>
  </si>
  <si>
    <t xml:space="preserve">OKNN01-DCSYS01b</t>
  </si>
  <si>
    <t xml:space="preserve">PCOTN1;DC SYS A;FLAG</t>
  </si>
  <si>
    <t xml:space="preserve">PCOTN1;DC SYS A;GEMINI</t>
  </si>
  <si>
    <t xml:space="preserve">PCOTN1;DC SYS B;FLAG</t>
  </si>
  <si>
    <t xml:space="preserve">PCOTN1;DC SYS B;GEMINI</t>
  </si>
  <si>
    <t xml:space="preserve">PLY-DCSYS01a</t>
  </si>
  <si>
    <t xml:space="preserve">PLY-DCSYS01b</t>
  </si>
  <si>
    <t xml:space="preserve">PNRTN1;DC SYS01</t>
  </si>
  <si>
    <t xml:space="preserve">POLN02-DCSYS01a</t>
  </si>
  <si>
    <t xml:space="preserve">POLN02-DCSYS01b</t>
  </si>
  <si>
    <t xml:space="preserve">PRDTB1;DC SYS01</t>
  </si>
  <si>
    <t xml:space="preserve">PRLN02;DC SYS01</t>
  </si>
  <si>
    <t xml:space="preserve">PTBTN1;DC SYS01</t>
  </si>
  <si>
    <t xml:space="preserve">PTHTL1;DC SYS01</t>
  </si>
  <si>
    <t xml:space="preserve">PTMDN1;DC SYS01</t>
  </si>
  <si>
    <t xml:space="preserve">PTMN03;DC SYS01</t>
  </si>
  <si>
    <t xml:space="preserve">RATE02;DC SYS01</t>
  </si>
  <si>
    <t xml:space="preserve">RATE02;DC SYS02</t>
  </si>
  <si>
    <t xml:space="preserve">RCR;DC SYS01</t>
  </si>
  <si>
    <t xml:space="preserve">RDGCD2;DC SYS01</t>
  </si>
  <si>
    <t xml:space="preserve">RDG;DC SYS01</t>
  </si>
  <si>
    <t xml:space="preserve">RFDN11;DC SYS01</t>
  </si>
  <si>
    <t xml:space="preserve">SBHN01;DC SYS01</t>
  </si>
  <si>
    <t xml:space="preserve">SDN;DC SYS01</t>
  </si>
  <si>
    <t xml:space="preserve">SDNN06;DC SYS02</t>
  </si>
  <si>
    <t xml:space="preserve">SDNN06;DC SYS03</t>
  </si>
  <si>
    <t xml:space="preserve">SDNN11;DC SYS01</t>
  </si>
  <si>
    <t xml:space="preserve">SDNN13;DC SYS01</t>
  </si>
  <si>
    <t xml:space="preserve">SHD;DC SYS01</t>
  </si>
  <si>
    <t xml:space="preserve">SHDTR1;DC SYS01</t>
  </si>
  <si>
    <t xml:space="preserve">SHTN03;DC SYS01</t>
  </si>
  <si>
    <t xml:space="preserve">SLO;DC SYS01</t>
  </si>
  <si>
    <t xml:space="preserve">SMHN02;DC SYS01</t>
  </si>
  <si>
    <t xml:space="preserve">SNDTM1;DC SYS01</t>
  </si>
  <si>
    <t xml:space="preserve">SOL;DC SYS01</t>
  </si>
  <si>
    <t xml:space="preserve">SOSTN1;DC SYS01</t>
  </si>
  <si>
    <t xml:space="preserve">SOT;DC SYS01</t>
  </si>
  <si>
    <t xml:space="preserve">SQYN01;DC SYS01</t>
  </si>
  <si>
    <t xml:space="preserve">SQYN01;DC SYS02</t>
  </si>
  <si>
    <t xml:space="preserve">SQYN01;DC SYS03</t>
  </si>
  <si>
    <t xml:space="preserve">SQYN02;DC SYS08a</t>
  </si>
  <si>
    <t xml:space="preserve">SQYN02;DC SYS08b</t>
  </si>
  <si>
    <t xml:space="preserve">SQYN02;DC SYS09a</t>
  </si>
  <si>
    <t xml:space="preserve">SQYN02;DC SYS09b</t>
  </si>
  <si>
    <t xml:space="preserve">STEDN1;DC SYS01</t>
  </si>
  <si>
    <t xml:space="preserve">STGCD1;DC SYS01</t>
  </si>
  <si>
    <t xml:space="preserve">SWNN03;DC SYS01</t>
  </si>
  <si>
    <t xml:space="preserve">SWY;DC SYS01</t>
  </si>
  <si>
    <t xml:space="preserve">TELHS1;DC SYS A;EXT ROOM</t>
  </si>
  <si>
    <t xml:space="preserve">TELHS1;DC SYS B;EXT ROOM</t>
  </si>
  <si>
    <t xml:space="preserve">TELHS1;SYS;A;DC PER02;9D</t>
  </si>
  <si>
    <t xml:space="preserve">TELHS1;SYS;B;DC PER03;1L</t>
  </si>
  <si>
    <t xml:space="preserve">TELHS2;DC SYS01</t>
  </si>
  <si>
    <t xml:space="preserve">TGY;DC SYSA</t>
  </si>
  <si>
    <t xml:space="preserve">TGY;DC SYSB **DO NOT CONNECT LOADS**</t>
  </si>
  <si>
    <t xml:space="preserve">THOTC1;DC SYS01</t>
  </si>
  <si>
    <t xml:space="preserve">TNTTN1-DCSYS01a</t>
  </si>
  <si>
    <t xml:space="preserve">TNTTN1-DCSYS01b</t>
  </si>
  <si>
    <t xml:space="preserve">TRON01;DC SYS01</t>
  </si>
  <si>
    <t xml:space="preserve">VHXN02;DC SYS01</t>
  </si>
  <si>
    <t xml:space="preserve">WADN01;DC SYS01</t>
  </si>
  <si>
    <t xml:space="preserve">WAHP; DC SYS A (Feeds WAHP06)</t>
  </si>
  <si>
    <t xml:space="preserve">WAHP; DC SYS B (Feeds WAHP06)</t>
  </si>
  <si>
    <t xml:space="preserve">WAHP;DC SYS A Tx</t>
  </si>
  <si>
    <t xml:space="preserve">WAHP;DC SYS B Tx</t>
  </si>
  <si>
    <t xml:space="preserve">WAIP;DC SYS01;GND</t>
  </si>
  <si>
    <t xml:space="preserve">WCKTR1;DCSYS01</t>
  </si>
  <si>
    <t xml:space="preserve">WHD;DC SYS01</t>
  </si>
  <si>
    <t xml:space="preserve">WHHN03;DC SYS01</t>
  </si>
  <si>
    <t xml:space="preserve">WKGN01;DC SYS01</t>
  </si>
  <si>
    <t xml:space="preserve">WONTL1; DC SYS02</t>
  </si>
  <si>
    <t xml:space="preserve">WTNTK1;DC SYS01</t>
  </si>
  <si>
    <t xml:space="preserve">WTT;DC SYS01</t>
  </si>
  <si>
    <t xml:space="preserve">WVHTF1;DCSys01</t>
  </si>
  <si>
    <t xml:space="preserve">YRK;DC SYS01</t>
  </si>
  <si>
    <t xml:space="preserve">YRKTH1; DC SYS01</t>
  </si>
  <si>
    <t xml:space="preserve">One year ago (for DC readings)</t>
  </si>
  <si>
    <t xml:space="preserve">Sys with reading over 1 year old</t>
  </si>
  <si>
    <t xml:space="preserve">BOXI</t>
  </si>
  <si>
    <t xml:space="preserve">General</t>
  </si>
  <si>
    <t xml:space="preserve">Power</t>
  </si>
  <si>
    <t xml:space="preserve">Autonomy</t>
  </si>
  <si>
    <t xml:space="preserve">Cooling</t>
  </si>
  <si>
    <t xml:space="preserve">System Name</t>
  </si>
  <si>
    <t xml:space="preserve">City</t>
  </si>
  <si>
    <t xml:space="preserve">Equipment Area Function</t>
  </si>
  <si>
    <t xml:space="preserve">Equipment Area Code</t>
  </si>
  <si>
    <t xml:space="preserve">Manufacturer</t>
  </si>
  <si>
    <t xml:space="preserve">Module Size Amps</t>
  </si>
  <si>
    <t xml:space="preserve">Installed Modules</t>
  </si>
  <si>
    <t xml:space="preserve">Actual Load Amps</t>
  </si>
  <si>
    <t xml:space="preserve">Actual Load kW</t>
  </si>
  <si>
    <t xml:space="preserve">Reading Date</t>
  </si>
  <si>
    <t xml:space="preserve">Max Agreed DC Ouput at 80% of N kW</t>
  </si>
  <si>
    <t xml:space="preserve">Available DC Output @ 80% of N kW</t>
  </si>
  <si>
    <t xml:space="preserve">Max DC Output Inc. Full Batt Recharge kW</t>
  </si>
  <si>
    <t xml:space="preserve">Available DC Output inc. Full Batt Recharge kW</t>
  </si>
  <si>
    <t xml:space="preserve">48V Strings</t>
  </si>
  <si>
    <t xml:space="preserve">Maker</t>
  </si>
  <si>
    <t xml:space="preserve">Model</t>
  </si>
  <si>
    <t xml:space="preserve">Battery Autonomy kW</t>
  </si>
  <si>
    <t xml:space="preserve">Autonomy Remaining kW</t>
  </si>
  <si>
    <t xml:space="preserve">AHU Num Installed</t>
  </si>
  <si>
    <t xml:space="preserve">AHU Sensible Cooling</t>
  </si>
  <si>
    <t xml:space="preserve">Agreed Operational Cooling Limit</t>
  </si>
  <si>
    <t xml:space="preserve">Cooling Remaining kW</t>
  </si>
  <si>
    <t xml:space="preserve">Available Suite Sections</t>
  </si>
  <si>
    <t xml:space="preserve">Limit To Growth</t>
  </si>
  <si>
    <t xml:space="preserve">kW
Load Remaining after total allocated
(80% of N)</t>
  </si>
  <si>
    <t xml:space="preserve">kW
Load Remaining after total allocated
(inc Full Batt recharge)</t>
  </si>
  <si>
    <t xml:space="preserve">%
Load Remaining after total allocated
(80% of N)</t>
  </si>
  <si>
    <t xml:space="preserve">%
Load Remaining after total allocated
(inc Full Batt recharge)</t>
  </si>
  <si>
    <t xml:space="preserve">Remaining Autonomy (after allocated load)</t>
  </si>
  <si>
    <t xml:space="preserve">% Autonomy Remaining</t>
  </si>
  <si>
    <t xml:space="preserve">Total Agreed Operational Cooling Limit</t>
  </si>
  <si>
    <t xml:space="preserve">Total Site Load
kW</t>
  </si>
  <si>
    <t xml:space="preserve">Total Cooling Remaining</t>
  </si>
  <si>
    <t xml:space="preserve">Remaining Cooling (after allocated load)</t>
  </si>
  <si>
    <t xml:space="preserve">% Cooling Remaining</t>
  </si>
  <si>
    <t xml:space="preserve">Capped</t>
  </si>
  <si>
    <t xml:space="preserve">Dual/Single</t>
  </si>
  <si>
    <t xml:space="preserve">Battery bracket removal</t>
  </si>
  <si>
    <t xml:space="preserve">Battery bracket remove</t>
  </si>
  <si>
    <t xml:space="preserve">ANGLIA</t>
  </si>
  <si>
    <t xml:space="preserve">ALDEBURGH</t>
  </si>
  <si>
    <t xml:space="preserve">GIS Migrated </t>
  </si>
  <si>
    <t xml:space="preserve">ABH</t>
  </si>
  <si>
    <t xml:space="preserve">Eaton Powerware APR48-ES</t>
  </si>
  <si>
    <t xml:space="preserve">3</t>
  </si>
  <si>
    <t xml:space="preserve">Yuasa</t>
  </si>
  <si>
    <t xml:space="preserve">EN480-2</t>
  </si>
  <si>
    <t xml:space="preserve">2</t>
  </si>
  <si>
    <t xml:space="preserve">10</t>
  </si>
  <si>
    <t xml:space="preserve">Single</t>
  </si>
  <si>
    <t xml:space="preserve">SCOTLAND</t>
  </si>
  <si>
    <t xml:space="preserve">ABERDEEN</t>
  </si>
  <si>
    <t xml:space="preserve">ABN</t>
  </si>
  <si>
    <t xml:space="preserve">PowerSafe</t>
  </si>
  <si>
    <t xml:space="preserve">DDm85-25</t>
  </si>
  <si>
    <t xml:space="preserve">30</t>
  </si>
  <si>
    <t xml:space="preserve">ABNTB1</t>
  </si>
  <si>
    <t xml:space="preserve">Eaton Powerware APR48</t>
  </si>
  <si>
    <t xml:space="preserve">DDm100-25</t>
  </si>
  <si>
    <t xml:space="preserve">4</t>
  </si>
  <si>
    <t xml:space="preserve">45</t>
  </si>
  <si>
    <t xml:space="preserve">ABNTD1</t>
  </si>
  <si>
    <t xml:space="preserve">DDm100-27</t>
  </si>
  <si>
    <t xml:space="preserve">60</t>
  </si>
  <si>
    <t xml:space="preserve">LONDON</t>
  </si>
  <si>
    <t xml:space="preserve">ACTN01</t>
  </si>
  <si>
    <t xml:space="preserve">5</t>
  </si>
  <si>
    <t xml:space="preserve">DDm125-33</t>
  </si>
  <si>
    <t xml:space="preserve">11</t>
  </si>
  <si>
    <t xml:space="preserve">747</t>
  </si>
  <si>
    <t xml:space="preserve">SCOTTISH HIGHLANDS &amp; ISLANDS </t>
  </si>
  <si>
    <t xml:space="preserve">ALNESS</t>
  </si>
  <si>
    <t xml:space="preserve">ANSTW1</t>
  </si>
  <si>
    <t xml:space="preserve">Power One PMP 10.48 SIC</t>
  </si>
  <si>
    <t xml:space="preserve">Enersys</t>
  </si>
  <si>
    <t xml:space="preserve">SBS C11F</t>
  </si>
  <si>
    <t xml:space="preserve">6.7</t>
  </si>
  <si>
    <t xml:space="preserve">SOUTH EAST</t>
  </si>
  <si>
    <t xml:space="preserve">ASHFORD</t>
  </si>
  <si>
    <t xml:space="preserve">ASH</t>
  </si>
  <si>
    <t xml:space="preserve">9</t>
  </si>
  <si>
    <t xml:space="preserve">12V155F</t>
  </si>
  <si>
    <t xml:space="preserve">13</t>
  </si>
  <si>
    <t xml:space="preserve">THAMES VALLEY</t>
  </si>
  <si>
    <t xml:space="preserve">AMERSHAM</t>
  </si>
  <si>
    <t xml:space="preserve">ASMN02</t>
  </si>
  <si>
    <t xml:space="preserve">Duvine DD686</t>
  </si>
  <si>
    <t xml:space="preserve">2DDm85-15</t>
  </si>
  <si>
    <t xml:space="preserve">150</t>
  </si>
  <si>
    <t xml:space="preserve">AYR</t>
  </si>
  <si>
    <t xml:space="preserve">AYRN01</t>
  </si>
  <si>
    <t xml:space="preserve">Power One PMP 11.48</t>
  </si>
  <si>
    <t xml:space="preserve">20</t>
  </si>
  <si>
    <t xml:space="preserve">SOUTH WEST</t>
  </si>
  <si>
    <t xml:space="preserve">BRISTOL</t>
  </si>
  <si>
    <t xml:space="preserve">AZTCD1</t>
  </si>
  <si>
    <t xml:space="preserve">6</t>
  </si>
  <si>
    <t xml:space="preserve">65</t>
  </si>
  <si>
    <t xml:space="preserve">MIDLANDS</t>
  </si>
  <si>
    <t xml:space="preserve">WEDNESBURY</t>
  </si>
  <si>
    <t xml:space="preserve">BCT</t>
  </si>
  <si>
    <t xml:space="preserve">7</t>
  </si>
  <si>
    <t xml:space="preserve">36</t>
  </si>
  <si>
    <t xml:space="preserve">BUDE</t>
  </si>
  <si>
    <t xml:space="preserve">BDEN02</t>
  </si>
  <si>
    <t xml:space="preserve">Eaton Powerware NPR.48</t>
  </si>
  <si>
    <t xml:space="preserve">BDEN06</t>
  </si>
  <si>
    <t xml:space="preserve">FIAMM</t>
  </si>
  <si>
    <t xml:space="preserve">2SLA1000</t>
  </si>
  <si>
    <t xml:space="preserve">114.42</t>
  </si>
  <si>
    <t xml:space="preserve">NORTHERN HOME COUNTIES</t>
  </si>
  <si>
    <t xml:space="preserve">BEDFORD</t>
  </si>
  <si>
    <t xml:space="preserve">GIS Migrated - Capped</t>
  </si>
  <si>
    <t xml:space="preserve">BDFN02</t>
  </si>
  <si>
    <t xml:space="preserve">215</t>
  </si>
  <si>
    <t xml:space="preserve">Dual</t>
  </si>
  <si>
    <t xml:space="preserve">NORTH EAST</t>
  </si>
  <si>
    <t xml:space="preserve">BRADFORD</t>
  </si>
  <si>
    <t xml:space="preserve">BFDTB1</t>
  </si>
  <si>
    <t xml:space="preserve">Power One PMP 25.48 V3.0</t>
  </si>
  <si>
    <t xml:space="preserve">2DDm50-13</t>
  </si>
  <si>
    <t xml:space="preserve">50</t>
  </si>
  <si>
    <t xml:space="preserve">NORTHERN IRELAND</t>
  </si>
  <si>
    <t xml:space="preserve">BELFAST</t>
  </si>
  <si>
    <t xml:space="preserve">BFEC01</t>
  </si>
  <si>
    <t xml:space="preserve">DDm100-33</t>
  </si>
  <si>
    <t xml:space="preserve">72</t>
  </si>
  <si>
    <t xml:space="preserve">BFTN03</t>
  </si>
  <si>
    <t xml:space="preserve">93</t>
  </si>
  <si>
    <t xml:space="preserve">BIRMINGHAM</t>
  </si>
  <si>
    <t xml:space="preserve">BHMN07</t>
  </si>
  <si>
    <t xml:space="preserve">12.6</t>
  </si>
  <si>
    <t xml:space="preserve">P Core use only</t>
  </si>
  <si>
    <t xml:space="preserve">BHMN05</t>
  </si>
  <si>
    <t xml:space="preserve">2CP2000</t>
  </si>
  <si>
    <t xml:space="preserve">110</t>
  </si>
  <si>
    <t xml:space="preserve">BHMN08</t>
  </si>
  <si>
    <t xml:space="preserve">BHMTF1</t>
  </si>
  <si>
    <t xml:space="preserve">120</t>
  </si>
  <si>
    <t xml:space="preserve">BOREHAMWOOD</t>
  </si>
  <si>
    <t xml:space="preserve">BHWCN1</t>
  </si>
  <si>
    <t xml:space="preserve">NORTH WEST</t>
  </si>
  <si>
    <t xml:space="preserve">BARROW-IN-FURNESS</t>
  </si>
  <si>
    <t xml:space="preserve">BIFTS1</t>
  </si>
  <si>
    <t xml:space="preserve">1</t>
  </si>
  <si>
    <t xml:space="preserve">Space; Power; Air Con</t>
  </si>
  <si>
    <t xml:space="preserve">BLACKBURN</t>
  </si>
  <si>
    <t xml:space="preserve">BKBN41</t>
  </si>
  <si>
    <t xml:space="preserve">BRACKNELL</t>
  </si>
  <si>
    <t xml:space="preserve">BKLN05</t>
  </si>
  <si>
    <t xml:space="preserve">12</t>
  </si>
  <si>
    <t xml:space="preserve">495</t>
  </si>
  <si>
    <t xml:space="preserve">BKLN05 Ext</t>
  </si>
  <si>
    <t xml:space="preserve">664</t>
  </si>
  <si>
    <t xml:space="preserve">Eaton Powerware HDR48-ES</t>
  </si>
  <si>
    <t xml:space="preserve">Redstream Optical Network Site</t>
  </si>
  <si>
    <t xml:space="preserve">BMGV03</t>
  </si>
  <si>
    <t xml:space="preserve">Dummy Type 100A</t>
  </si>
  <si>
    <t xml:space="preserve">90</t>
  </si>
  <si>
    <t xml:space="preserve">SOUTH</t>
  </si>
  <si>
    <t xml:space="preserve">BOURNEMOUTH</t>
  </si>
  <si>
    <t xml:space="preserve">BMTDN1</t>
  </si>
  <si>
    <t xml:space="preserve">Eltek E1333</t>
  </si>
  <si>
    <t xml:space="preserve">EN160</t>
  </si>
  <si>
    <t xml:space="preserve">15</t>
  </si>
  <si>
    <t xml:space="preserve">BLACKPOOL</t>
  </si>
  <si>
    <t xml:space="preserve">BPL</t>
  </si>
  <si>
    <t xml:space="preserve">12V101F (4 hour Rate)</t>
  </si>
  <si>
    <t xml:space="preserve">8</t>
  </si>
  <si>
    <t xml:space="preserve">BRECHIN</t>
  </si>
  <si>
    <t xml:space="preserve">BRETS1</t>
  </si>
  <si>
    <t xml:space="preserve">Powec Dummy 20A</t>
  </si>
  <si>
    <t xml:space="preserve">12V100F</t>
  </si>
  <si>
    <t xml:space="preserve">BRORA</t>
  </si>
  <si>
    <t xml:space="preserve">BRRTS1</t>
  </si>
  <si>
    <t xml:space="preserve">BASINGSTOKE</t>
  </si>
  <si>
    <t xml:space="preserve">BSG</t>
  </si>
  <si>
    <t xml:space="preserve">44</t>
  </si>
  <si>
    <t xml:space="preserve">BSHN07</t>
  </si>
  <si>
    <t xml:space="preserve">135</t>
  </si>
  <si>
    <t xml:space="preserve">BSHN03</t>
  </si>
  <si>
    <t xml:space="preserve">540</t>
  </si>
  <si>
    <t xml:space="preserve">BRENTFORD</t>
  </si>
  <si>
    <t xml:space="preserve">BTFTB1</t>
  </si>
  <si>
    <t xml:space="preserve">186</t>
  </si>
  <si>
    <t xml:space="preserve">BTLCD1</t>
  </si>
  <si>
    <t xml:space="preserve">117</t>
  </si>
  <si>
    <t xml:space="preserve">DC Dist</t>
  </si>
  <si>
    <t xml:space="preserve">BTLN08</t>
  </si>
  <si>
    <t xml:space="preserve">126</t>
  </si>
  <si>
    <t xml:space="preserve">BTLN09</t>
  </si>
  <si>
    <t xml:space="preserve">142</t>
  </si>
  <si>
    <t xml:space="preserve">BRIGHTON</t>
  </si>
  <si>
    <t xml:space="preserve">BTN</t>
  </si>
  <si>
    <t xml:space="preserve">DDm85-33</t>
  </si>
  <si>
    <t xml:space="preserve">80</t>
  </si>
  <si>
    <t xml:space="preserve">BARTON</t>
  </si>
  <si>
    <t xml:space="preserve">BTNW01</t>
  </si>
  <si>
    <t xml:space="preserve">9.2</t>
  </si>
  <si>
    <t xml:space="preserve">GLASGOW</t>
  </si>
  <si>
    <t xml:space="preserve">BTRTP1</t>
  </si>
  <si>
    <t xml:space="preserve">BALLYWATER</t>
  </si>
  <si>
    <t xml:space="preserve">BYR</t>
  </si>
  <si>
    <t xml:space="preserve">CAMBRIDGE</t>
  </si>
  <si>
    <t xml:space="preserve">CAMN02</t>
  </si>
  <si>
    <t xml:space="preserve">CAMN41</t>
  </si>
  <si>
    <t xml:space="preserve">CANTERBURY</t>
  </si>
  <si>
    <t xml:space="preserve">CBY</t>
  </si>
  <si>
    <t xml:space="preserve">2DDm85-13</t>
  </si>
  <si>
    <t xml:space="preserve">22.5</t>
  </si>
  <si>
    <t xml:space="preserve">WALES</t>
  </si>
  <si>
    <t xml:space="preserve">CARDIFF</t>
  </si>
  <si>
    <t xml:space="preserve">CDFN02</t>
  </si>
  <si>
    <t xml:space="preserve">STOKE-ON-TRENT</t>
  </si>
  <si>
    <t xml:space="preserve">CELL01</t>
  </si>
  <si>
    <t xml:space="preserve">CHELMSFORD</t>
  </si>
  <si>
    <t xml:space="preserve">CFDTN1</t>
  </si>
  <si>
    <t xml:space="preserve">22</t>
  </si>
  <si>
    <t xml:space="preserve">CHESTERFIELD</t>
  </si>
  <si>
    <t xml:space="preserve">CHDCD1</t>
  </si>
  <si>
    <t xml:space="preserve">CHELTENHAM</t>
  </si>
  <si>
    <t xml:space="preserve">CHMN21</t>
  </si>
  <si>
    <t xml:space="preserve">CHTN07</t>
  </si>
  <si>
    <t xml:space="preserve">240</t>
  </si>
  <si>
    <t xml:space="preserve">CHTTN3</t>
  </si>
  <si>
    <t xml:space="preserve">262</t>
  </si>
  <si>
    <t xml:space="preserve">CREWKERNE</t>
  </si>
  <si>
    <t xml:space="preserve">CKNN03</t>
  </si>
  <si>
    <t xml:space="preserve">COVENTRY</t>
  </si>
  <si>
    <t xml:space="preserve">COV</t>
  </si>
  <si>
    <t xml:space="preserve">COWLEY</t>
  </si>
  <si>
    <t xml:space="preserve">COWL02</t>
  </si>
  <si>
    <t xml:space="preserve">Eaton Powerware APR48-3G</t>
  </si>
  <si>
    <t xml:space="preserve">12V105F</t>
  </si>
  <si>
    <t xml:space="preserve">14</t>
  </si>
  <si>
    <t xml:space="preserve">CARLISLE</t>
  </si>
  <si>
    <t xml:space="preserve">CSLN13</t>
  </si>
  <si>
    <t xml:space="preserve">40</t>
  </si>
  <si>
    <t xml:space="preserve">CREDITON</t>
  </si>
  <si>
    <t xml:space="preserve">CTNN01</t>
  </si>
  <si>
    <t xml:space="preserve">66</t>
  </si>
  <si>
    <t xml:space="preserve">CHESTER</t>
  </si>
  <si>
    <t xml:space="preserve">CTRTK1</t>
  </si>
  <si>
    <t xml:space="preserve">CTRTS1</t>
  </si>
  <si>
    <t xml:space="preserve">25</t>
  </si>
  <si>
    <t xml:space="preserve">CROYDON</t>
  </si>
  <si>
    <t xml:space="preserve">CYNTN2(EXT'N)</t>
  </si>
  <si>
    <t xml:space="preserve">DERBY</t>
  </si>
  <si>
    <t xml:space="preserve">DBY</t>
  </si>
  <si>
    <t xml:space="preserve">2SLA1500</t>
  </si>
  <si>
    <t xml:space="preserve">43</t>
  </si>
  <si>
    <t xml:space="preserve">DIDCOT</t>
  </si>
  <si>
    <t xml:space="preserve">DCT</t>
  </si>
  <si>
    <t xml:space="preserve">DUMFRIES</t>
  </si>
  <si>
    <t xml:space="preserve">DFSN01</t>
  </si>
  <si>
    <t xml:space="preserve">SBS XL 150F-FT </t>
  </si>
  <si>
    <t xml:space="preserve">DFSNC1</t>
  </si>
  <si>
    <t xml:space="preserve">SBS 12V100F</t>
  </si>
  <si>
    <t xml:space="preserve">DOUGLAS</t>
  </si>
  <si>
    <t xml:space="preserve">DGS</t>
  </si>
  <si>
    <t xml:space="preserve">12v170FS</t>
  </si>
  <si>
    <t xml:space="preserve">DURHAM</t>
  </si>
  <si>
    <t xml:space="preserve">DHMNU1</t>
  </si>
  <si>
    <t xml:space="preserve">DKTN08</t>
  </si>
  <si>
    <t xml:space="preserve">200</t>
  </si>
  <si>
    <t xml:space="preserve">DUNDONALD</t>
  </si>
  <si>
    <t xml:space="preserve">DLD</t>
  </si>
  <si>
    <t xml:space="preserve">DARLINGTON</t>
  </si>
  <si>
    <t xml:space="preserve">DLNTC1</t>
  </si>
  <si>
    <t xml:space="preserve">DUNDEE</t>
  </si>
  <si>
    <t xml:space="preserve">DNDN71</t>
  </si>
  <si>
    <t xml:space="preserve">DNDTC1</t>
  </si>
  <si>
    <t xml:space="preserve">DUNFERMLINE</t>
  </si>
  <si>
    <t xml:space="preserve">DNFNP1</t>
  </si>
  <si>
    <t xml:space="preserve">DONCASTER</t>
  </si>
  <si>
    <t xml:space="preserve">DONTN1</t>
  </si>
  <si>
    <t xml:space="preserve">26</t>
  </si>
  <si>
    <t xml:space="preserve">DEVIZES</t>
  </si>
  <si>
    <t xml:space="preserve">DVSTB1</t>
  </si>
  <si>
    <t xml:space="preserve">12V190F</t>
  </si>
  <si>
    <t xml:space="preserve">MOUNT EAGLE</t>
  </si>
  <si>
    <t xml:space="preserve">DWLTM1</t>
  </si>
  <si>
    <t xml:space="preserve">Eltek FLATPACK2-1800</t>
  </si>
  <si>
    <t xml:space="preserve">0</t>
  </si>
  <si>
    <t xml:space="preserve">Space; Air Con</t>
  </si>
  <si>
    <t xml:space="preserve">ECCLES</t>
  </si>
  <si>
    <t xml:space="preserve">EBCTC1</t>
  </si>
  <si>
    <t xml:space="preserve">4.5</t>
  </si>
  <si>
    <t xml:space="preserve">EDINBURGH</t>
  </si>
  <si>
    <t xml:space="preserve">EDBN07</t>
  </si>
  <si>
    <t xml:space="preserve">DDm85-21</t>
  </si>
  <si>
    <t xml:space="preserve">EDBTG1</t>
  </si>
  <si>
    <t xml:space="preserve">140</t>
  </si>
  <si>
    <t xml:space="preserve">EDBTN1</t>
  </si>
  <si>
    <t xml:space="preserve">DDm125-27</t>
  </si>
  <si>
    <t xml:space="preserve">ELGIN</t>
  </si>
  <si>
    <t xml:space="preserve">EGNTM1</t>
  </si>
  <si>
    <t xml:space="preserve">EVESHAM</t>
  </si>
  <si>
    <t xml:space="preserve">EVMN01</t>
  </si>
  <si>
    <t xml:space="preserve">EXETER</t>
  </si>
  <si>
    <t xml:space="preserve">EXR</t>
  </si>
  <si>
    <t xml:space="preserve">67</t>
  </si>
  <si>
    <t xml:space="preserve">FOLKESTONE</t>
  </si>
  <si>
    <t xml:space="preserve">FKE</t>
  </si>
  <si>
    <t xml:space="preserve">DDm125-25</t>
  </si>
  <si>
    <t xml:space="preserve">MORPETH</t>
  </si>
  <si>
    <t xml:space="preserve">FLNTT1</t>
  </si>
  <si>
    <t xml:space="preserve">FRIMLEY</t>
  </si>
  <si>
    <t xml:space="preserve">FMYN31</t>
  </si>
  <si>
    <t xml:space="preserve">FRADDON</t>
  </si>
  <si>
    <t xml:space="preserve">FRNN03</t>
  </si>
  <si>
    <t xml:space="preserve">GLOUCESTER</t>
  </si>
  <si>
    <t xml:space="preserve">GCRTB1</t>
  </si>
  <si>
    <t xml:space="preserve">GUILDFORD</t>
  </si>
  <si>
    <t xml:space="preserve">GFDCD1</t>
  </si>
  <si>
    <t xml:space="preserve">GLWN07</t>
  </si>
  <si>
    <t xml:space="preserve">GLWTO1</t>
  </si>
  <si>
    <t xml:space="preserve">GLWTW1</t>
  </si>
  <si>
    <t xml:space="preserve">84</t>
  </si>
  <si>
    <t xml:space="preserve">GLENROTHES</t>
  </si>
  <si>
    <t xml:space="preserve">GRSTB1</t>
  </si>
  <si>
    <t xml:space="preserve">CRAWLEY</t>
  </si>
  <si>
    <t xml:space="preserve">GWK</t>
  </si>
  <si>
    <t xml:space="preserve">Eaton Powerware APR48 - 3G</t>
  </si>
  <si>
    <t xml:space="preserve">16</t>
  </si>
  <si>
    <t xml:space="preserve">HEMEL HEMPSTEAD</t>
  </si>
  <si>
    <t xml:space="preserve">HHD</t>
  </si>
  <si>
    <t xml:space="preserve">DDm85-27</t>
  </si>
  <si>
    <t xml:space="preserve">HILLINGDON</t>
  </si>
  <si>
    <t xml:space="preserve">HLDA11</t>
  </si>
  <si>
    <t xml:space="preserve">HLDA12</t>
  </si>
  <si>
    <t xml:space="preserve">HARLOW</t>
  </si>
  <si>
    <t xml:space="preserve">HLWN02</t>
  </si>
  <si>
    <t xml:space="preserve">HOUNSLOW</t>
  </si>
  <si>
    <t xml:space="preserve">HRWN02</t>
  </si>
  <si>
    <t xml:space="preserve">HARROGATE</t>
  </si>
  <si>
    <t xml:space="preserve">HTE</t>
  </si>
  <si>
    <t xml:space="preserve">IGNN01</t>
  </si>
  <si>
    <t xml:space="preserve">98</t>
  </si>
  <si>
    <t xml:space="preserve">DC Power</t>
  </si>
  <si>
    <t xml:space="preserve">INVERNESS</t>
  </si>
  <si>
    <t xml:space="preserve">INVN41</t>
  </si>
  <si>
    <t xml:space="preserve">INVTL1</t>
  </si>
  <si>
    <t xml:space="preserve">Planned closure</t>
  </si>
  <si>
    <t xml:space="preserve">IODN01</t>
  </si>
  <si>
    <t xml:space="preserve">IODTA1</t>
  </si>
  <si>
    <t xml:space="preserve">SBS EON 1800</t>
  </si>
  <si>
    <t xml:space="preserve">81</t>
  </si>
  <si>
    <t xml:space="preserve">IPSWICH</t>
  </si>
  <si>
    <t xml:space="preserve">IPWTN1</t>
  </si>
  <si>
    <t xml:space="preserve">IVER</t>
  </si>
  <si>
    <t xml:space="preserve">IVER02</t>
  </si>
  <si>
    <t xml:space="preserve">12V101F (2 Hour rate)</t>
  </si>
  <si>
    <t xml:space="preserve">Space; Power; Autonomy</t>
  </si>
  <si>
    <t xml:space="preserve">KINGS LYNN</t>
  </si>
  <si>
    <t xml:space="preserve">KLNN01</t>
  </si>
  <si>
    <t xml:space="preserve">KENDAL</t>
  </si>
  <si>
    <t xml:space="preserve">KNLTS1</t>
  </si>
  <si>
    <t xml:space="preserve">LEICESTER</t>
  </si>
  <si>
    <t xml:space="preserve">LCT</t>
  </si>
  <si>
    <t xml:space="preserve">2CP3000</t>
  </si>
  <si>
    <t xml:space="preserve">LEEDS</t>
  </si>
  <si>
    <t xml:space="preserve">CLOSED</t>
  </si>
  <si>
    <t xml:space="preserve">LDMS13</t>
  </si>
  <si>
    <t xml:space="preserve">32</t>
  </si>
  <si>
    <t xml:space="preserve">LDSCD2</t>
  </si>
  <si>
    <t xml:space="preserve">260</t>
  </si>
  <si>
    <t xml:space="preserve">LDSN14</t>
  </si>
  <si>
    <t xml:space="preserve">LDSTS1</t>
  </si>
  <si>
    <t xml:space="preserve">180</t>
  </si>
  <si>
    <t xml:space="preserve">LIVINGSTON</t>
  </si>
  <si>
    <t xml:space="preserve">LIVN01</t>
  </si>
  <si>
    <t xml:space="preserve">PRESTON</t>
  </si>
  <si>
    <t xml:space="preserve">LLDTE1</t>
  </si>
  <si>
    <t xml:space="preserve">LEAMINGTON SPA</t>
  </si>
  <si>
    <t xml:space="preserve">LMSCN2</t>
  </si>
  <si>
    <t xml:space="preserve">28</t>
  </si>
  <si>
    <t xml:space="preserve">PRESCOT</t>
  </si>
  <si>
    <t xml:space="preserve">LPLTB1</t>
  </si>
  <si>
    <t xml:space="preserve">LIVERPOOL</t>
  </si>
  <si>
    <t xml:space="preserve">LPLTK1</t>
  </si>
  <si>
    <t xml:space="preserve">LSWN01</t>
  </si>
  <si>
    <t xml:space="preserve">DDm125-33 (2hr rate)</t>
  </si>
  <si>
    <t xml:space="preserve">95</t>
  </si>
  <si>
    <t xml:space="preserve">Power; Autonomy</t>
  </si>
  <si>
    <t xml:space="preserve">LUTON</t>
  </si>
  <si>
    <t xml:space="preserve">LTNDN1</t>
  </si>
  <si>
    <t xml:space="preserve">MANCHESTER</t>
  </si>
  <si>
    <t xml:space="preserve">MCRCD2</t>
  </si>
  <si>
    <t xml:space="preserve">Chloride</t>
  </si>
  <si>
    <t xml:space="preserve">VH34</t>
  </si>
  <si>
    <t xml:space="preserve">MCRN11</t>
  </si>
  <si>
    <t xml:space="preserve">Planned Closure</t>
  </si>
  <si>
    <t xml:space="preserve">MCRN12</t>
  </si>
  <si>
    <t xml:space="preserve">500</t>
  </si>
  <si>
    <t xml:space="preserve">MIDDLESBROUGH</t>
  </si>
  <si>
    <t xml:space="preserve">MDBTD1</t>
  </si>
  <si>
    <t xml:space="preserve">Power One PMP 25.48</t>
  </si>
  <si>
    <t xml:space="preserve">MAIDSTONE</t>
  </si>
  <si>
    <t xml:space="preserve">MDE</t>
  </si>
  <si>
    <t xml:space="preserve">MACDUFF</t>
  </si>
  <si>
    <t xml:space="preserve">MDFTB1</t>
  </si>
  <si>
    <t xml:space="preserve">MILTON KEYNES</t>
  </si>
  <si>
    <t xml:space="preserve">MKSTN1</t>
  </si>
  <si>
    <t xml:space="preserve">NEWBURY</t>
  </si>
  <si>
    <t xml:space="preserve">NBYCD1</t>
  </si>
  <si>
    <t xml:space="preserve">2CP1000 </t>
  </si>
  <si>
    <t xml:space="preserve">GIS MIGRATING</t>
  </si>
  <si>
    <t xml:space="preserve">NECCD1</t>
  </si>
  <si>
    <t xml:space="preserve">NOTTINGHAM</t>
  </si>
  <si>
    <t xml:space="preserve">NGM</t>
  </si>
  <si>
    <t xml:space="preserve">2CP1400</t>
  </si>
  <si>
    <t xml:space="preserve">133</t>
  </si>
  <si>
    <t xml:space="preserve">NGMTL1</t>
  </si>
  <si>
    <t xml:space="preserve">NORWICH</t>
  </si>
  <si>
    <t xml:space="preserve">NRWN51</t>
  </si>
  <si>
    <t xml:space="preserve">NRWTN1</t>
  </si>
  <si>
    <t xml:space="preserve">NEWCASTLE-UNDER-LYME</t>
  </si>
  <si>
    <t xml:space="preserve">NULTB1</t>
  </si>
  <si>
    <t xml:space="preserve">NEWCASTLE</t>
  </si>
  <si>
    <t xml:space="preserve">NWCN05</t>
  </si>
  <si>
    <t xml:space="preserve">NORTH SHIELDS</t>
  </si>
  <si>
    <t xml:space="preserve">NWCNY1</t>
  </si>
  <si>
    <t xml:space="preserve">Eaton Powerware R2948</t>
  </si>
  <si>
    <t xml:space="preserve">NEWPORT</t>
  </si>
  <si>
    <t xml:space="preserve">NWPDN1</t>
  </si>
  <si>
    <t xml:space="preserve">EN320</t>
  </si>
  <si>
    <t xml:space="preserve">SWANSEA</t>
  </si>
  <si>
    <t xml:space="preserve">OHB</t>
  </si>
  <si>
    <t xml:space="preserve">OKEHAMPTON</t>
  </si>
  <si>
    <t xml:space="preserve">OKNN01</t>
  </si>
  <si>
    <t xml:space="preserve">52</t>
  </si>
  <si>
    <t xml:space="preserve">PENZANCE</t>
  </si>
  <si>
    <t xml:space="preserve">PCOTN1</t>
  </si>
  <si>
    <t xml:space="preserve">PLYMOUTH</t>
  </si>
  <si>
    <t xml:space="preserve">PLY</t>
  </si>
  <si>
    <t xml:space="preserve">133.1</t>
  </si>
  <si>
    <t xml:space="preserve">PENRITH</t>
  </si>
  <si>
    <t xml:space="preserve">PNRTN1</t>
  </si>
  <si>
    <t xml:space="preserve">Harmer &amp; Simmons SC3A/50/100</t>
  </si>
  <si>
    <t xml:space="preserve">2V460</t>
  </si>
  <si>
    <t xml:space="preserve">POOLE</t>
  </si>
  <si>
    <t xml:space="preserve">POLN02</t>
  </si>
  <si>
    <t xml:space="preserve">PETERHEAD</t>
  </si>
  <si>
    <t xml:space="preserve">PRDTB1</t>
  </si>
  <si>
    <t xml:space="preserve">12V92F</t>
  </si>
  <si>
    <t xml:space="preserve">PRLN02</t>
  </si>
  <si>
    <t xml:space="preserve">PETERBOROUGH</t>
  </si>
  <si>
    <t xml:space="preserve">PTBTN1</t>
  </si>
  <si>
    <t xml:space="preserve">Space; Autonomy</t>
  </si>
  <si>
    <t xml:space="preserve">PERTH</t>
  </si>
  <si>
    <t xml:space="preserve">PTHTL1</t>
  </si>
  <si>
    <t xml:space="preserve">PORTSMOUTH</t>
  </si>
  <si>
    <t xml:space="preserve">PTMDN1</t>
  </si>
  <si>
    <t xml:space="preserve">2CP650</t>
  </si>
  <si>
    <t xml:space="preserve">PTMN03</t>
  </si>
  <si>
    <t xml:space="preserve">RATCLIFFE ON SOAR</t>
  </si>
  <si>
    <t xml:space="preserve">RATE02</t>
  </si>
  <si>
    <t xml:space="preserve">Advance MRF2800</t>
  </si>
  <si>
    <t xml:space="preserve">ROCHESTER</t>
  </si>
  <si>
    <t xml:space="preserve">RCR</t>
  </si>
  <si>
    <t xml:space="preserve">READING</t>
  </si>
  <si>
    <t xml:space="preserve">RDGCD2</t>
  </si>
  <si>
    <t xml:space="preserve">42</t>
  </si>
  <si>
    <t xml:space="preserve">RDG</t>
  </si>
  <si>
    <t xml:space="preserve">48</t>
  </si>
  <si>
    <t xml:space="preserve">ROMFORD</t>
  </si>
  <si>
    <t xml:space="preserve">RFDN11</t>
  </si>
  <si>
    <t xml:space="preserve">SCARBOROUGH</t>
  </si>
  <si>
    <t xml:space="preserve">SBHN01</t>
  </si>
  <si>
    <t xml:space="preserve">SWINDON</t>
  </si>
  <si>
    <t xml:space="preserve">SDN</t>
  </si>
  <si>
    <t xml:space="preserve">83</t>
  </si>
  <si>
    <t xml:space="preserve">SDNN06</t>
  </si>
  <si>
    <t xml:space="preserve">DDm100-33 (2 Hour rate)</t>
  </si>
  <si>
    <t xml:space="preserve">548</t>
  </si>
  <si>
    <t xml:space="preserve">SDNN13</t>
  </si>
  <si>
    <t xml:space="preserve">DDm85-21(2 Hour Rate)</t>
  </si>
  <si>
    <t xml:space="preserve">SHEFFIELD</t>
  </si>
  <si>
    <t xml:space="preserve">SHD</t>
  </si>
  <si>
    <t xml:space="preserve">SHDTR1</t>
  </si>
  <si>
    <t xml:space="preserve">SOUTHAMPTON</t>
  </si>
  <si>
    <t xml:space="preserve">SHTN03</t>
  </si>
  <si>
    <t xml:space="preserve">112.5</t>
  </si>
  <si>
    <t xml:space="preserve">SLOUGH</t>
  </si>
  <si>
    <t xml:space="preserve">SLO</t>
  </si>
  <si>
    <t xml:space="preserve">SMHN02</t>
  </si>
  <si>
    <t xml:space="preserve">SUNDERLAND</t>
  </si>
  <si>
    <t xml:space="preserve">SNDTM1</t>
  </si>
  <si>
    <t xml:space="preserve">SOLIHULL</t>
  </si>
  <si>
    <t xml:space="preserve">SOLN02</t>
  </si>
  <si>
    <t xml:space="preserve">SOUTHEND</t>
  </si>
  <si>
    <t xml:space="preserve">SOSTN1</t>
  </si>
  <si>
    <t xml:space="preserve">STOKE</t>
  </si>
  <si>
    <t xml:space="preserve">SOT</t>
  </si>
  <si>
    <t xml:space="preserve">24</t>
  </si>
  <si>
    <t xml:space="preserve">SQYN01</t>
  </si>
  <si>
    <t xml:space="preserve">250</t>
  </si>
  <si>
    <t xml:space="preserve">SQYN02</t>
  </si>
  <si>
    <t xml:space="preserve">498</t>
  </si>
  <si>
    <t xml:space="preserve">STEVENAGE</t>
  </si>
  <si>
    <t xml:space="preserve">STEDN1</t>
  </si>
  <si>
    <t xml:space="preserve">SBS480 EON</t>
  </si>
  <si>
    <t xml:space="preserve">STIRLING</t>
  </si>
  <si>
    <t xml:space="preserve">STGCD1</t>
  </si>
  <si>
    <t xml:space="preserve">SWNN03</t>
  </si>
  <si>
    <t xml:space="preserve">SHREWSBURY</t>
  </si>
  <si>
    <t xml:space="preserve">SWY</t>
  </si>
  <si>
    <t xml:space="preserve">2SLA2000</t>
  </si>
  <si>
    <t xml:space="preserve">40.5</t>
  </si>
  <si>
    <t xml:space="preserve">TELHS1</t>
  </si>
  <si>
    <t xml:space="preserve">Benning Tebechop 2700</t>
  </si>
  <si>
    <t xml:space="preserve">34</t>
  </si>
  <si>
    <t xml:space="preserve">TELHS2</t>
  </si>
  <si>
    <t xml:space="preserve">12UMTB160</t>
  </si>
  <si>
    <t xml:space="preserve">18</t>
  </si>
  <si>
    <t xml:space="preserve">TGYN04</t>
  </si>
  <si>
    <t xml:space="preserve">22.2</t>
  </si>
  <si>
    <t xml:space="preserve">P Core use only, Power</t>
  </si>
  <si>
    <t xml:space="preserve">THURSO</t>
  </si>
  <si>
    <t xml:space="preserve">THOTC1</t>
  </si>
  <si>
    <t xml:space="preserve">TAUNTON</t>
  </si>
  <si>
    <t xml:space="preserve">TNTTN1</t>
  </si>
  <si>
    <t xml:space="preserve">TRURO</t>
  </si>
  <si>
    <t xml:space="preserve">TRON01</t>
  </si>
  <si>
    <t xml:space="preserve">VAUXHALL</t>
  </si>
  <si>
    <t xml:space="preserve">VHXN02</t>
  </si>
  <si>
    <t xml:space="preserve">WADN01</t>
  </si>
  <si>
    <t xml:space="preserve">WATFORD</t>
  </si>
  <si>
    <t xml:space="preserve">WAHP06</t>
  </si>
  <si>
    <t xml:space="preserve">Power;Autonomy</t>
  </si>
  <si>
    <t xml:space="preserve">WAHP03</t>
  </si>
  <si>
    <t xml:space="preserve">WAIP06</t>
  </si>
  <si>
    <t xml:space="preserve">12V125F</t>
  </si>
  <si>
    <t xml:space="preserve">WICK</t>
  </si>
  <si>
    <t xml:space="preserve">WCKTR1</t>
  </si>
  <si>
    <t xml:space="preserve">WHITEHEAD</t>
  </si>
  <si>
    <t xml:space="preserve">WHD</t>
  </si>
  <si>
    <t xml:space="preserve">Duvine Dummy 20A</t>
  </si>
  <si>
    <t xml:space="preserve">Space; Power</t>
  </si>
  <si>
    <t xml:space="preserve">KIDLINGTON</t>
  </si>
  <si>
    <t xml:space="preserve">WHHN03</t>
  </si>
  <si>
    <t xml:space="preserve">WOKING</t>
  </si>
  <si>
    <t xml:space="preserve">WKGN01</t>
  </si>
  <si>
    <t xml:space="preserve">88</t>
  </si>
  <si>
    <t xml:space="preserve">WORKINGTON</t>
  </si>
  <si>
    <t xml:space="preserve">WONTL1</t>
  </si>
  <si>
    <t xml:space="preserve">WARRINGTON</t>
  </si>
  <si>
    <t xml:space="preserve">WTNTK1</t>
  </si>
  <si>
    <t xml:space="preserve">94</t>
  </si>
  <si>
    <t xml:space="preserve">WINTERTON</t>
  </si>
  <si>
    <t xml:space="preserve">WTT</t>
  </si>
  <si>
    <t xml:space="preserve">37.8</t>
  </si>
  <si>
    <t xml:space="preserve">WOLVERHAMPTON</t>
  </si>
  <si>
    <t xml:space="preserve">WVHTF1</t>
  </si>
  <si>
    <t xml:space="preserve">14.8</t>
  </si>
  <si>
    <t xml:space="preserve">YORK</t>
  </si>
  <si>
    <t xml:space="preserve">YRK</t>
  </si>
  <si>
    <t xml:space="preserve">YRKTH1</t>
  </si>
  <si>
    <t xml:space="preserve">CYNTN2</t>
  </si>
  <si>
    <t xml:space="preserve">VHXINT</t>
  </si>
  <si>
    <t xml:space="preserve"> </t>
  </si>
  <si>
    <t xml:space="preserve">232</t>
  </si>
  <si>
    <t xml:space="preserve">BSHN08</t>
  </si>
  <si>
    <t xml:space="preserve">LCT EXT (1st Floor)</t>
  </si>
  <si>
    <t xml:space="preserve">10.25</t>
  </si>
  <si>
    <t xml:space="preserve">TGY</t>
  </si>
  <si>
    <t xml:space="preserve">55</t>
  </si>
  <si>
    <t xml:space="preserve">TGYN03</t>
  </si>
  <si>
    <t xml:space="preserve">64</t>
  </si>
  <si>
    <t xml:space="preserve">LDSN15</t>
  </si>
  <si>
    <t xml:space="preserve">BYR[cabin]</t>
  </si>
  <si>
    <t xml:space="preserve">AUCHTERAW</t>
  </si>
  <si>
    <t xml:space="preserve">FTATA1</t>
  </si>
  <si>
    <t xml:space="preserve">EDBCD1</t>
  </si>
  <si>
    <t xml:space="preserve">Audit</t>
  </si>
  <si>
    <t xml:space="preserve">FALKIRK</t>
  </si>
  <si>
    <t xml:space="preserve">FKKB21 </t>
  </si>
  <si>
    <t xml:space="preserve">AZTCD2</t>
  </si>
  <si>
    <t xml:space="preserve">594</t>
  </si>
  <si>
    <t xml:space="preserve">SDNN11</t>
  </si>
  <si>
    <t xml:space="preserve">Site</t>
  </si>
  <si>
    <t xml:space="preserve">Suite sections</t>
  </si>
  <si>
    <t xml:space="preserve">Number of
 cabs</t>
  </si>
  <si>
    <t xml:space="preserve">Cells this colour either require a selection to be made, or for a new load to be entered, all other cells will auto fill out.</t>
  </si>
  <si>
    <t xml:space="preserve">If a site is capped all cells will automatically turn this color with white text when you select the site</t>
  </si>
  <si>
    <t xml:space="preserve">Blue text</t>
  </si>
  <si>
    <t xml:space="preserve">This is a dual system, use site check - dual for this site</t>
  </si>
  <si>
    <t xml:space="preserve">Systems</t>
  </si>
  <si>
    <t xml:space="preserve">Total Allocated 
Load kW</t>
  </si>
  <si>
    <t xml:space="preserve">New load
(kW)</t>
  </si>
  <si>
    <t xml:space="preserve">Capped?</t>
  </si>
  <si>
    <t xml:space="preserve">Reason</t>
  </si>
  <si>
    <t xml:space="preserve">Distribution</t>
  </si>
  <si>
    <t xml:space="preserve">System</t>
  </si>
  <si>
    <t xml:space="preserve">Existing Load A</t>
  </si>
  <si>
    <t xml:space="preserve">Existing Load B</t>
  </si>
  <si>
    <t xml:space="preserve">Max A</t>
  </si>
  <si>
    <t xml:space="preserve">Max B</t>
  </si>
  <si>
    <t xml:space="preserve">Pairs of breakers spare</t>
  </si>
  <si>
    <t xml:space="preserve">Updated including allocated</t>
  </si>
  <si>
    <t xml:space="preserve">Spare positions</t>
  </si>
  <si>
    <t xml:space="preserve">Potential 
new load</t>
  </si>
  <si>
    <t xml:space="preserve">Load A</t>
  </si>
  <si>
    <t xml:space="preserve">Load B</t>
  </si>
  <si>
    <t xml:space="preserve">90% Max</t>
  </si>
  <si>
    <t xml:space="preserve">75% Max</t>
  </si>
  <si>
    <t xml:space="preserve">&gt;75%</t>
  </si>
  <si>
    <t xml:space="preserve">Dual DC Power System Capacity and Autonomy Checker</t>
  </si>
  <si>
    <t xml:space="preserve">Site Select : </t>
  </si>
  <si>
    <t xml:space="preserve">Select which site with dual systems you need to check</t>
  </si>
  <si>
    <t xml:space="preserve">Site Load : </t>
  </si>
  <si>
    <t xml:space="preserve">Site total (A+B loads)</t>
  </si>
  <si>
    <t xml:space="preserve">Auto calculated</t>
  </si>
  <si>
    <t xml:space="preserve">Allocated load : </t>
  </si>
  <si>
    <t xml:space="preserve">Allocated load from Crown (A+B system)</t>
  </si>
  <si>
    <t xml:space="preserve">as above</t>
  </si>
  <si>
    <t xml:space="preserve">Future Load: </t>
  </si>
  <si>
    <t xml:space="preserve">Enter power requirements in Amps for future required (leave blank if not required)</t>
  </si>
  <si>
    <t xml:space="preserve">Power System A</t>
  </si>
  <si>
    <t xml:space="preserve">Power System B</t>
  </si>
  <si>
    <t xml:space="preserve">System names :</t>
  </si>
  <si>
    <t xml:space="preserve">Load reading :</t>
  </si>
  <si>
    <t xml:space="preserve">Allocated load :</t>
  </si>
  <si>
    <t xml:space="preserve">Allocated load in Crown</t>
  </si>
  <si>
    <t xml:space="preserve">Rect Type :</t>
  </si>
  <si>
    <t xml:space="preserve">Qty of Rect Fitted :</t>
  </si>
  <si>
    <t xml:space="preserve">Cells will highlight red if different between systems</t>
  </si>
  <si>
    <t xml:space="preserve">Existing Load in Amps :</t>
  </si>
  <si>
    <t xml:space="preserve">New System Load Amps (Inc Future &amp; New Loads) :</t>
  </si>
  <si>
    <t xml:space="preserve">System Load :</t>
  </si>
  <si>
    <t xml:space="preserve">Battery Strings Fitted :</t>
  </si>
  <si>
    <t xml:space="preserve">Enter number of battery strings fitted to the system</t>
  </si>
  <si>
    <t xml:space="preserve">Battery Type :</t>
  </si>
  <si>
    <t xml:space="preserve">Select battery type from drop down list</t>
  </si>
  <si>
    <t xml:space="preserve">Battery Recharge Required : </t>
  </si>
  <si>
    <r>
      <rPr>
        <sz val="10"/>
        <color rgb="FF000000"/>
        <rFont val="Arial"/>
        <family val="2"/>
        <charset val="1"/>
      </rPr>
      <t xml:space="preserve">Auto calculated (</t>
    </r>
    <r>
      <rPr>
        <b val="true"/>
        <sz val="10"/>
        <color rgb="FFFF0000"/>
        <rFont val="Arial"/>
        <family val="2"/>
        <charset val="1"/>
      </rPr>
      <t xml:space="preserve">if cell is RED additional rectifier recharge is required</t>
    </r>
    <r>
      <rPr>
        <sz val="10"/>
        <color rgb="FF000000"/>
        <rFont val="Arial"/>
        <family val="2"/>
        <charset val="1"/>
      </rPr>
      <t xml:space="preserve">)</t>
    </r>
  </si>
  <si>
    <t xml:space="preserve">Required Load (Amps) :</t>
  </si>
  <si>
    <t xml:space="preserve">Available Rectifier Load Capacity</t>
  </si>
  <si>
    <t xml:space="preserve">Additional Rect Required</t>
  </si>
  <si>
    <t xml:space="preserve">Amps :</t>
  </si>
  <si>
    <t xml:space="preserve">kW :</t>
  </si>
  <si>
    <t xml:space="preserve">A System Capacity Remaining</t>
  </si>
  <si>
    <t xml:space="preserve">Combined System Capacity Remaining</t>
  </si>
  <si>
    <t xml:space="preserve">B System Capacity Remaining</t>
  </si>
  <si>
    <t xml:space="preserve">Percentage :</t>
  </si>
  <si>
    <t xml:space="preserve">90% Capacity limit exceeded if cells are red, additional build required</t>
  </si>
  <si>
    <t xml:space="preserve">Allowing for 10% for aging (Falcon) - Normal Running</t>
  </si>
  <si>
    <t xml:space="preserve">Time (Hours) :</t>
  </si>
  <si>
    <t xml:space="preserve">1 hr</t>
  </si>
  <si>
    <t xml:space="preserve">2 hrs</t>
  </si>
  <si>
    <t xml:space="preserve">3 hrs</t>
  </si>
  <si>
    <t xml:space="preserve">4 hrs</t>
  </si>
  <si>
    <t xml:space="preserve"> System A Amps :</t>
  </si>
  <si>
    <t xml:space="preserve">System A kW :</t>
  </si>
  <si>
    <t xml:space="preserve"> System B Amps :</t>
  </si>
  <si>
    <t xml:space="preserve">System B kW :</t>
  </si>
  <si>
    <r>
      <rPr>
        <b val="true"/>
        <sz val="12"/>
        <color rgb="FFFFFFFF"/>
        <rFont val="Arial"/>
        <family val="2"/>
        <charset val="1"/>
      </rPr>
      <t xml:space="preserve">Allowing for 10% for aging (Falcon) -</t>
    </r>
    <r>
      <rPr>
        <b val="true"/>
        <sz val="12"/>
        <rFont val="Arial"/>
        <family val="2"/>
        <charset val="1"/>
      </rPr>
      <t xml:space="preserve"> Fail Over Only Minimum 2 Hours Autonomy</t>
    </r>
  </si>
  <si>
    <t xml:space="preserve">System A Amps :</t>
  </si>
  <si>
    <t xml:space="preserve">System B Amps :</t>
  </si>
  <si>
    <t xml:space="preserve">Reading calculator</t>
  </si>
  <si>
    <t xml:space="preserve">A</t>
  </si>
  <si>
    <t xml:space="preserve">kW</t>
  </si>
  <si>
    <t xml:space="preserve">Red text</t>
  </si>
  <si>
    <t xml:space="preserve">for provisional loads to be discussed</t>
  </si>
  <si>
    <t xml:space="preserve">Cell comments</t>
  </si>
  <si>
    <t xml:space="preserve">Add for load readings etc, if new updated add as a reply on existing comment</t>
  </si>
  <si>
    <t xml:space="preserve">Op-Ex</t>
  </si>
  <si>
    <t xml:space="preserve">Total Allocated Load
A</t>
  </si>
  <si>
    <t xml:space="preserve">Cab ID + equipment +
[Initials]
e.g. A01 7210 [DF]</t>
  </si>
  <si>
    <t xml:space="preserve">Allocated Load
kW</t>
  </si>
  <si>
    <t xml:space="preserve">Allocated Load
kW
Sheet2</t>
  </si>
  <si>
    <t xml:space="preserve">B03a Nokia 7210</t>
  </si>
  <si>
    <t xml:space="preserve">Ciena 6500-14 - G1</t>
  </si>
  <si>
    <t xml:space="preserve">Ciena 6500-14 - H1</t>
  </si>
  <si>
    <t xml:space="preserve">Ciena 6500-14 - E1</t>
  </si>
  <si>
    <t xml:space="preserve">6500-14 B09</t>
  </si>
  <si>
    <t xml:space="preserve">EF1e Alcatel 7210</t>
  </si>
  <si>
    <t xml:space="preserve">6500-14 E01</t>
  </si>
  <si>
    <t xml:space="preserve">CD04 Alcatel 7210</t>
  </si>
  <si>
    <t xml:space="preserve">OPEX</t>
  </si>
  <si>
    <t xml:space="preserve">AS/AT19 RA</t>
  </si>
  <si>
    <t xml:space="preserve">AS/AT13-17 Op-Ex</t>
  </si>
  <si>
    <t xml:space="preserve">ASAT11 Alcatel 7210</t>
  </si>
  <si>
    <t xml:space="preserve">ASAT12 Alcatel 7210</t>
  </si>
  <si>
    <t xml:space="preserve"> AL08  Cisco ASA-5585</t>
  </si>
  <si>
    <t xml:space="preserve">AG 3a BT EAD</t>
  </si>
  <si>
    <t xml:space="preserve">A04 Ciena 6500-7 slot</t>
  </si>
  <si>
    <t xml:space="preserve">C14 BT EAD</t>
  </si>
  <si>
    <t xml:space="preserve">HJ01 RA</t>
  </si>
  <si>
    <t xml:space="preserve">L08 Nokia1830</t>
  </si>
  <si>
    <t xml:space="preserve">LM04 Alcatel 7210</t>
  </si>
  <si>
    <t xml:space="preserve">TU08 Alcatel 7210 </t>
  </si>
  <si>
    <t xml:space="preserve">NP07 BT EAD</t>
  </si>
  <si>
    <t xml:space="preserve">J02 6500-14</t>
  </si>
  <si>
    <t xml:space="preserve">E05 6500-14</t>
  </si>
  <si>
    <t xml:space="preserve">A3 Ciena RLS R4</t>
  </si>
  <si>
    <t xml:space="preserve">AB4 Ciena Waveserver 5</t>
  </si>
  <si>
    <t xml:space="preserve">BD08 PE7750</t>
  </si>
  <si>
    <t xml:space="preserve">BF06 PX</t>
  </si>
  <si>
    <t xml:space="preserve">BF08 RA</t>
  </si>
  <si>
    <t xml:space="preserve">BF03 WS&amp;RLS</t>
  </si>
  <si>
    <t xml:space="preserve">BF04 WS&amp;RLS</t>
  </si>
  <si>
    <t xml:space="preserve">BF05 WS&amp;RLS</t>
  </si>
  <si>
    <t xml:space="preserve">BB01 BT EAD</t>
  </si>
  <si>
    <t xml:space="preserve">BDBE08 WS 5</t>
  </si>
  <si>
    <t xml:space="preserve">AL02 Nokia ESA400</t>
  </si>
  <si>
    <t xml:space="preserve">BH4 Nokia 7210 SAS SX</t>
  </si>
  <si>
    <t xml:space="preserve">AL02 Nokia ESA401</t>
  </si>
  <si>
    <t xml:space="preserve">C/CC04 RA</t>
  </si>
  <si>
    <t xml:space="preserve">C/CC 03 Alcatel 7210 </t>
  </si>
  <si>
    <t xml:space="preserve">B11 6500&amp;SAS SX</t>
  </si>
  <si>
    <t xml:space="preserve">B8 RLS &amp; Waveserver</t>
  </si>
  <si>
    <t xml:space="preserve">B9 RLS &amp; Waveserver</t>
  </si>
  <si>
    <t xml:space="preserve">Nokia 7750 SR2s_C2</t>
  </si>
  <si>
    <t xml:space="preserve">BC03 RA</t>
  </si>
  <si>
    <t xml:space="preserve">D04 6500-14</t>
  </si>
  <si>
    <t xml:space="preserve">2 x 6500-14 B08</t>
  </si>
  <si>
    <t xml:space="preserve">BC04 Alcatel 7210</t>
  </si>
  <si>
    <t xml:space="preserve">L07 RLS&amp; Waveserver</t>
  </si>
  <si>
    <t xml:space="preserve">L08 RLS&amp; Waveserver</t>
  </si>
  <si>
    <t xml:space="preserve">L06 IGW</t>
  </si>
  <si>
    <t xml:space="preserve">Nokia 7750 SR2s_L5</t>
  </si>
  <si>
    <t xml:space="preserve">ANAP1 Alcatel 7210</t>
  </si>
  <si>
    <t xml:space="preserve">D2 PX</t>
  </si>
  <si>
    <t xml:space="preserve">D3 RA</t>
  </si>
  <si>
    <t xml:space="preserve">D5 Util</t>
  </si>
  <si>
    <t xml:space="preserve">C2 Op-Ex</t>
  </si>
  <si>
    <t xml:space="preserve">C3 Op-Ex</t>
  </si>
  <si>
    <t xml:space="preserve">C5 Op-Ex</t>
  </si>
  <si>
    <t xml:space="preserve">C06 WS5 &amp; ai </t>
  </si>
  <si>
    <t xml:space="preserve">D6 Nokia 7210 SAS SX</t>
  </si>
  <si>
    <t xml:space="preserve">AB01 RA</t>
  </si>
  <si>
    <t xml:space="preserve">B05 MSP7750 PE</t>
  </si>
  <si>
    <t xml:space="preserve">Ciena 6500-14 BC06</t>
  </si>
  <si>
    <t xml:space="preserve">Facebook BQBR09</t>
  </si>
  <si>
    <t xml:space="preserve">Netflix BNBP12</t>
  </si>
  <si>
    <t xml:space="preserve">Google BLBM14</t>
  </si>
  <si>
    <t xml:space="preserve">AKAMAI BL13</t>
  </si>
  <si>
    <t xml:space="preserve">AKAMAI BE09</t>
  </si>
  <si>
    <t xml:space="preserve">IGW BNBP7</t>
  </si>
  <si>
    <t xml:space="preserve">VSS DC&amp;DF1,2,4</t>
  </si>
  <si>
    <t xml:space="preserve">Group DE/DD</t>
  </si>
  <si>
    <t xml:space="preserve">DG1 RA</t>
  </si>
  <si>
    <t xml:space="preserve">DG4 Op-Ex</t>
  </si>
  <si>
    <t xml:space="preserve">DG5 Op-Ex</t>
  </si>
  <si>
    <t xml:space="preserve">DG6 Op-Ex</t>
  </si>
  <si>
    <t xml:space="preserve">DG8 M-PE</t>
  </si>
  <si>
    <t xml:space="preserve">DG9 M-PE</t>
  </si>
  <si>
    <t xml:space="preserve">DF8 IGW+WSaI</t>
  </si>
  <si>
    <t xml:space="preserve">DF9 7750 SR7s</t>
  </si>
  <si>
    <t xml:space="preserve">DF10 Utility Cab</t>
  </si>
  <si>
    <t xml:space="preserve">ACAD04 Alcatel 7210</t>
  </si>
  <si>
    <t xml:space="preserve">ACAD05 Alcatel 7210</t>
  </si>
  <si>
    <t xml:space="preserve">ACAD06 Alcatel 7210</t>
  </si>
  <si>
    <t xml:space="preserve">BEBF12 Nokia 7210 SAS SX
</t>
  </si>
  <si>
    <t xml:space="preserve">BE08 QWILT</t>
  </si>
  <si>
    <t xml:space="preserve">BN14 SKY/AKAMAI</t>
  </si>
  <si>
    <t xml:space="preserve">BEBF14 WAVESERVER</t>
  </si>
  <si>
    <t xml:space="preserve">DG2 PX</t>
  </si>
  <si>
    <t xml:space="preserve">DE05 BT UTILITY</t>
  </si>
  <si>
    <t xml:space="preserve">G04 CPL</t>
  </si>
  <si>
    <t xml:space="preserve">DE4 UTILITY RACK</t>
  </si>
  <si>
    <t xml:space="preserve">Ciena 6500 7Slot D04</t>
  </si>
  <si>
    <t xml:space="preserve">A02 Ciena 6500-7 slot</t>
  </si>
  <si>
    <t xml:space="preserve">FG15 Alcatel 7210 </t>
  </si>
  <si>
    <t xml:space="preserve">FG16 ADVA XG120</t>
  </si>
  <si>
    <t xml:space="preserve">Nokia 7750 SR2s_F13</t>
  </si>
  <si>
    <t xml:space="preserve">A2 RA</t>
  </si>
  <si>
    <t xml:space="preserve">A3 PX</t>
  </si>
  <si>
    <t xml:space="preserve">B2 Op-Ex</t>
  </si>
  <si>
    <t xml:space="preserve">B3 Op-Ex</t>
  </si>
  <si>
    <t xml:space="preserve">B5 Op-Ex</t>
  </si>
  <si>
    <t xml:space="preserve">B6 Op-Ex</t>
  </si>
  <si>
    <t xml:space="preserve">B7 Util rack</t>
  </si>
  <si>
    <t xml:space="preserve">A6 IGW+Wsai</t>
  </si>
  <si>
    <t xml:space="preserve">A7 Netflix</t>
  </si>
  <si>
    <t xml:space="preserve">Sky</t>
  </si>
  <si>
    <t xml:space="preserve">HomeBB DNS B7</t>
  </si>
  <si>
    <t xml:space="preserve">WS5</t>
  </si>
  <si>
    <t xml:space="preserve">A10 Nokia 7750SR7s</t>
  </si>
  <si>
    <t xml:space="preserve">A9 QWILT</t>
  </si>
  <si>
    <t xml:space="preserve">A4 Cisco</t>
  </si>
  <si>
    <t xml:space="preserve">E9 - Facebook</t>
  </si>
  <si>
    <t xml:space="preserve">E10 - Facebook</t>
  </si>
  <si>
    <t xml:space="preserve">Google</t>
  </si>
  <si>
    <t xml:space="preserve">B10 Nokia 7210 SAS SX </t>
  </si>
  <si>
    <t xml:space="preserve">CA17 6500-7</t>
  </si>
  <si>
    <t xml:space="preserve">CC12 6500-14</t>
  </si>
  <si>
    <t xml:space="preserve">MSPP</t>
  </si>
  <si>
    <t xml:space="preserve">Virgin media NTE BH18</t>
  </si>
  <si>
    <t xml:space="preserve">Cisco 6300 C02</t>
  </si>
  <si>
    <t xml:space="preserve">Cisco 6300 C04</t>
  </si>
  <si>
    <t xml:space="preserve">AA02 RA</t>
  </si>
  <si>
    <t xml:space="preserve">AA07 Netflix</t>
  </si>
  <si>
    <t xml:space="preserve">AA06 Akamai</t>
  </si>
  <si>
    <t xml:space="preserve">AB02-06 Op-Ex</t>
  </si>
  <si>
    <t xml:space="preserve">A03 BT EAD</t>
  </si>
  <si>
    <t xml:space="preserve">AA9 BNG</t>
  </si>
  <si>
    <t xml:space="preserve">AA5 Facebook</t>
  </si>
  <si>
    <t xml:space="preserve">AZ10 Alcatel 7210</t>
  </si>
  <si>
    <t xml:space="preserve">AB 7 QWILT</t>
  </si>
  <si>
    <t xml:space="preserve">AA10 Google</t>
  </si>
  <si>
    <t xml:space="preserve">IGW NCS-57C3</t>
  </si>
  <si>
    <t xml:space="preserve">Nokia ESA400 AA11</t>
  </si>
  <si>
    <t xml:space="preserve">Nokia 1830 ILA</t>
  </si>
  <si>
    <t xml:space="preserve">BC09 BT ADVA</t>
  </si>
  <si>
    <t xml:space="preserve">CG05 Nokia 1830</t>
  </si>
  <si>
    <t xml:space="preserve">CTCU4 Alcatel 7210</t>
  </si>
  <si>
    <t xml:space="preserve">AM</t>
  </si>
  <si>
    <t xml:space="preserve">A02 RA</t>
  </si>
  <si>
    <t xml:space="preserve">A04 PX</t>
  </si>
  <si>
    <t xml:space="preserve">B02 to 5 Opex</t>
  </si>
  <si>
    <t xml:space="preserve">B08 Akamai</t>
  </si>
  <si>
    <t xml:space="preserve">B07 IGW</t>
  </si>
  <si>
    <t xml:space="preserve">C11 to 26 Amitie</t>
  </si>
  <si>
    <t xml:space="preserve">B10 BNG</t>
  </si>
  <si>
    <t xml:space="preserve">A10 Google</t>
  </si>
  <si>
    <t xml:space="preserve">Broadband Capacity</t>
  </si>
  <si>
    <t xml:space="preserve">A11 QWILT</t>
  </si>
  <si>
    <t xml:space="preserve">B24 Ciena6500 R8</t>
  </si>
  <si>
    <t xml:space="preserve">B13 Nokia SEGGW ESA400</t>
  </si>
  <si>
    <t xml:space="preserve">A5 Utility</t>
  </si>
  <si>
    <t xml:space="preserve">B22  Waverserver_5</t>
  </si>
  <si>
    <t xml:space="preserve">A8 Facebook</t>
  </si>
  <si>
    <t xml:space="preserve">B14 Nokia 7210 SAS SX </t>
  </si>
  <si>
    <t xml:space="preserve">YZ02 RA</t>
  </si>
  <si>
    <t xml:space="preserve">YZ04 Alcatel 7210</t>
  </si>
  <si>
    <t xml:space="preserve">Nokia 7750 SR2s_Y5</t>
  </si>
  <si>
    <t xml:space="preserve">G11 ADVA XG120</t>
  </si>
  <si>
    <t xml:space="preserve">DE09 Alcatel 7210 </t>
  </si>
  <si>
    <t xml:space="preserve">JK08 Alcatel 7210</t>
  </si>
  <si>
    <t xml:space="preserve">C05 Nokia 1830</t>
  </si>
  <si>
    <t xml:space="preserve">GH5 7210 SAS SX</t>
  </si>
  <si>
    <t xml:space="preserve">JK04 DCN</t>
  </si>
  <si>
    <t xml:space="preserve">G06 Ciena 5171</t>
  </si>
  <si>
    <t xml:space="preserve">BT EAD AMAN07</t>
  </si>
  <si>
    <t xml:space="preserve">BT EAD ST04</t>
  </si>
  <si>
    <t xml:space="preserve">EF03 Alcatel 7210</t>
  </si>
  <si>
    <t xml:space="preserve">EF04 Alcatel 7210</t>
  </si>
  <si>
    <t xml:space="preserve">EF05 Alcatel 7210</t>
  </si>
  <si>
    <t xml:space="preserve">EF07 Alcatel 7210</t>
  </si>
  <si>
    <t xml:space="preserve">Ciena 6500 AA AB 02</t>
  </si>
  <si>
    <t xml:space="preserve">NOKIA 7250 A5</t>
  </si>
  <si>
    <t xml:space="preserve">NOKIA 7250 A6</t>
  </si>
  <si>
    <t xml:space="preserve">7750 12B AN10</t>
  </si>
  <si>
    <t xml:space="preserve">BD09 RA</t>
  </si>
  <si>
    <t xml:space="preserve"> BD06 Op-Ex</t>
  </si>
  <si>
    <t xml:space="preserve"> BD05 Op-Ex</t>
  </si>
  <si>
    <t xml:space="preserve"> BD04 Op-Ex</t>
  </si>
  <si>
    <t xml:space="preserve">BE9 7750 SR7s</t>
  </si>
  <si>
    <t xml:space="preserve">BE1 Nokia 7210 SAS SX</t>
  </si>
  <si>
    <t xml:space="preserve">E&amp;F 1-6 Amitie</t>
  </si>
  <si>
    <t xml:space="preserve">CD5 Ciena 6500 R8</t>
  </si>
  <si>
    <t xml:space="preserve">AB04 Opex</t>
  </si>
  <si>
    <t xml:space="preserve">AB05 Opex</t>
  </si>
  <si>
    <t xml:space="preserve">AB06 Opex</t>
  </si>
  <si>
    <t xml:space="preserve">EF1 Alcatel 7210 </t>
  </si>
  <si>
    <t xml:space="preserve">AJ05  Cisco ASA-5585</t>
  </si>
  <si>
    <t xml:space="preserve">P0 BT EAD</t>
  </si>
  <si>
    <t xml:space="preserve">Ciena 6500 14 D05</t>
  </si>
  <si>
    <t xml:space="preserve">S&amp;T 1-6 Amitie</t>
  </si>
  <si>
    <t xml:space="preserve">CD01 Ciena 6500 R8</t>
  </si>
  <si>
    <t xml:space="preserve">EF10 RA</t>
  </si>
  <si>
    <t xml:space="preserve">IJ08 Alcatel 7210 </t>
  </si>
  <si>
    <t xml:space="preserve">E10 BT EAD</t>
  </si>
  <si>
    <t xml:space="preserve">BA05 Alcatel 7210</t>
  </si>
  <si>
    <t xml:space="preserve">TU01 Alcatel 7210</t>
  </si>
  <si>
    <t xml:space="preserve">E1 WAVESERVER</t>
  </si>
  <si>
    <t xml:space="preserve">BT OSA AB08</t>
  </si>
  <si>
    <t xml:space="preserve">h</t>
  </si>
  <si>
    <t xml:space="preserve">ST04 RA</t>
  </si>
  <si>
    <t xml:space="preserve">ST05 Alcatel 7210</t>
  </si>
  <si>
    <t xml:space="preserve">ST07 Alcate 7210</t>
  </si>
  <si>
    <t xml:space="preserve">A04 BT EAD</t>
  </si>
  <si>
    <t xml:space="preserve">DE06 RA</t>
  </si>
  <si>
    <t xml:space="preserve">Marconi MSPP 1684 C04</t>
  </si>
  <si>
    <t xml:space="preserve">B03 Ciena 6500-7</t>
  </si>
  <si>
    <t xml:space="preserve">A03 CIENA 6500-14 SLOT</t>
  </si>
  <si>
    <t xml:space="preserve">A7 Ciena 6500</t>
  </si>
  <si>
    <t xml:space="preserve">BA02 RA</t>
  </si>
  <si>
    <t xml:space="preserve">BA03 PX</t>
  </si>
  <si>
    <t xml:space="preserve">BB02 Op-EX</t>
  </si>
  <si>
    <t xml:space="preserve">BB03 Op-Ex</t>
  </si>
  <si>
    <t xml:space="preserve">BB04 IGW</t>
  </si>
  <si>
    <t xml:space="preserve">BA06 QWILT</t>
  </si>
  <si>
    <t xml:space="preserve">CDN Move</t>
  </si>
  <si>
    <t xml:space="preserve">BA7 Akamai</t>
  </si>
  <si>
    <t xml:space="preserve">BA9 FACEBOOK</t>
  </si>
  <si>
    <t xml:space="preserve">BA10 FACEBOOK</t>
  </si>
  <si>
    <t xml:space="preserve">BA11 Google</t>
  </si>
  <si>
    <t xml:space="preserve">BB11 Nokia SecGW</t>
  </si>
  <si>
    <t xml:space="preserve">BB10 Nokia SecGW ESA400</t>
  </si>
  <si>
    <t xml:space="preserve">BB9 Nokia RR &amp; Cisco RR</t>
  </si>
  <si>
    <t xml:space="preserve">BB7 Nokia 7210 SAS SX</t>
  </si>
  <si>
    <t xml:space="preserve">JK03 DL360</t>
  </si>
  <si>
    <t xml:space="preserve">A02 Op-EX</t>
  </si>
  <si>
    <t xml:space="preserve">Netflix</t>
  </si>
  <si>
    <t xml:space="preserve">AB05 Alcatel 7210</t>
  </si>
  <si>
    <t xml:space="preserve">QWILT</t>
  </si>
  <si>
    <t xml:space="preserve">Security &amp; Misc XY1</t>
  </si>
  <si>
    <t xml:space="preserve">JK03 DL361</t>
  </si>
  <si>
    <t xml:space="preserve">A02 Ciena 6500 - 7 Slot</t>
  </si>
  <si>
    <t xml:space="preserve">AB02 XG210</t>
  </si>
  <si>
    <t xml:space="preserve">PN02 Utility Cab</t>
  </si>
  <si>
    <t xml:space="preserve">LM06 BT OSA NTE</t>
  </si>
  <si>
    <t xml:space="preserve">J&amp;K 1-6 Amitie</t>
  </si>
  <si>
    <t xml:space="preserve">G&amp;H 1-6 Amitie</t>
  </si>
  <si>
    <t xml:space="preserve">Ciena 6500 D04</t>
  </si>
  <si>
    <t xml:space="preserve">B18 RA</t>
  </si>
  <si>
    <t xml:space="preserve">AB30a CIENA 5171</t>
  </si>
  <si>
    <t xml:space="preserve">ADVA XG120 H7</t>
  </si>
  <si>
    <t xml:space="preserve">HH/HJ 10 Wsai</t>
  </si>
  <si>
    <t xml:space="preserve">HH/HJ 11 Wsai</t>
  </si>
  <si>
    <t xml:space="preserve">HH/HJ09 RA</t>
  </si>
  <si>
    <t xml:space="preserve">AE01 Alcatel 7210</t>
  </si>
  <si>
    <t xml:space="preserve">HH/JJ08 BT OSA</t>
  </si>
  <si>
    <t xml:space="preserve">J22 PX</t>
  </si>
  <si>
    <t xml:space="preserve">CD25 Opex</t>
  </si>
  <si>
    <t xml:space="preserve">CD26 Opex</t>
  </si>
  <si>
    <t xml:space="preserve">CD22 RA</t>
  </si>
  <si>
    <t xml:space="preserve">Alcatel 7210 CD29</t>
  </si>
  <si>
    <t xml:space="preserve">CD27 Alcatel 7210 </t>
  </si>
  <si>
    <t xml:space="preserve">CD30 Ciena 6500</t>
  </si>
  <si>
    <t xml:space="preserve">CD23 PX</t>
  </si>
  <si>
    <t xml:space="preserve">RLS &amp; WAVESERVER AA22</t>
  </si>
  <si>
    <t xml:space="preserve">WAVESERVER 5 AA23</t>
  </si>
  <si>
    <t xml:space="preserve">E28 Nokia 7210 SAS SX</t>
  </si>
  <si>
    <t xml:space="preserve">CD27 Alcatel 7211</t>
  </si>
  <si>
    <t xml:space="preserve">KL06 RA</t>
  </si>
  <si>
    <t xml:space="preserve">LK07 Alcatel 7210 </t>
  </si>
  <si>
    <t xml:space="preserve">GH11 Alcatel 7210</t>
  </si>
  <si>
    <t xml:space="preserve">CD03 Cisco ISR 4331</t>
  </si>
  <si>
    <t xml:space="preserve">A04 Ciena 6500-7</t>
  </si>
  <si>
    <t xml:space="preserve">A06 MSPP 1684</t>
  </si>
  <si>
    <t xml:space="preserve">LO1  BT Utility</t>
  </si>
  <si>
    <t xml:space="preserve">CD02 ALCATEL 7210 SAS SX</t>
  </si>
  <si>
    <t xml:space="preserve">CD08 BT EAD</t>
  </si>
  <si>
    <t xml:space="preserve">AB04 Alcatel 7210</t>
  </si>
  <si>
    <t xml:space="preserve">KJ03 RA</t>
  </si>
  <si>
    <t xml:space="preserve">G14 BT EAD</t>
  </si>
  <si>
    <t xml:space="preserve">JK04 Alcatel 7210</t>
  </si>
  <si>
    <t xml:space="preserve">C03 BT EAD[KA7]</t>
  </si>
  <si>
    <t xml:space="preserve">Nokia 7750 SR2s_JK6</t>
  </si>
  <si>
    <t xml:space="preserve">CD05 Ciena 6500</t>
  </si>
  <si>
    <t xml:space="preserve">JK14 RA</t>
  </si>
  <si>
    <t xml:space="preserve">JK13 7210</t>
  </si>
  <si>
    <t xml:space="preserve">GH17 Alcatel 7210</t>
  </si>
  <si>
    <t xml:space="preserve">EF04 RA</t>
  </si>
  <si>
    <t xml:space="preserve">C03 Ciena 6500-14 SLOT</t>
  </si>
  <si>
    <t xml:space="preserve">D04 MSPP 1684</t>
  </si>
  <si>
    <t xml:space="preserve">C08 Ciena 6500-14 SLOT</t>
  </si>
  <si>
    <t xml:space="preserve">HJ05 RA</t>
  </si>
  <si>
    <t xml:space="preserve">HJ08 Opex</t>
  </si>
  <si>
    <t xml:space="preserve">MN01 BT EAD</t>
  </si>
  <si>
    <t xml:space="preserve">MN02 RLS&amp; WSai</t>
  </si>
  <si>
    <t xml:space="preserve">AB07 WSai 5</t>
  </si>
  <si>
    <t xml:space="preserve">RQ03 RA</t>
  </si>
  <si>
    <t xml:space="preserve">BT OSA ORMT_SAP_220412_32_11408314</t>
  </si>
  <si>
    <t xml:space="preserve">RQ06 CIENA 6500-14 SLOT</t>
  </si>
  <si>
    <t xml:space="preserve">K03 Ciena 6500</t>
  </si>
  <si>
    <t xml:space="preserve">BA03 MDCN</t>
  </si>
  <si>
    <t xml:space="preserve">ST07 Alcatel 7210 </t>
  </si>
  <si>
    <t xml:space="preserve">  NP03  Cisco ASA-5585</t>
  </si>
  <si>
    <t xml:space="preserve">BA4 IGW</t>
  </si>
  <si>
    <t xml:space="preserve">BA5 IGW</t>
  </si>
  <si>
    <t xml:space="preserve">Nokia 7750 SR2s_BA6</t>
  </si>
  <si>
    <t xml:space="preserve">XY2 RA</t>
  </si>
  <si>
    <t xml:space="preserve">ABAC02-06 Op-Ex</t>
  </si>
  <si>
    <t xml:space="preserve">Netflix TU9</t>
  </si>
  <si>
    <t xml:space="preserve">Google TU5</t>
  </si>
  <si>
    <t xml:space="preserve">HomeBB DNS XY05</t>
  </si>
  <si>
    <t xml:space="preserve">AB7 WS5 &amp; ai</t>
  </si>
  <si>
    <t xml:space="preserve">VW04 Alcatel 7210</t>
  </si>
  <si>
    <t xml:space="preserve">VW05 Alcatel 7210</t>
  </si>
  <si>
    <t xml:space="preserve">X6 QWILT</t>
  </si>
  <si>
    <t xml:space="preserve">CD06 Juniper SRX 4200</t>
  </si>
  <si>
    <t xml:space="preserve">Nokia 7750 SR-7s AB13</t>
  </si>
  <si>
    <t xml:space="preserve">G15 BT OSA</t>
  </si>
  <si>
    <t xml:space="preserve">Facebook TU7</t>
  </si>
  <si>
    <t xml:space="preserve">Facebook TU8</t>
  </si>
  <si>
    <t xml:space="preserve">Akamai Rack V08</t>
  </si>
  <si>
    <t xml:space="preserve">XY7 Nokia 7210 SAS SX</t>
  </si>
  <si>
    <t xml:space="preserve">NRA34 Ciena 5142</t>
  </si>
  <si>
    <t xml:space="preserve">H19 RA</t>
  </si>
  <si>
    <t xml:space="preserve">PQ11 Ciena 6500</t>
  </si>
  <si>
    <t xml:space="preserve">P03 BT OSA</t>
  </si>
  <si>
    <t xml:space="preserve">H20 Alcatel 7210</t>
  </si>
  <si>
    <t xml:space="preserve">Nokia 7750 SR2s_H21</t>
  </si>
  <si>
    <t xml:space="preserve">ASAT02 Alcatel 7210</t>
  </si>
  <si>
    <t xml:space="preserve">PQ09 RA</t>
  </si>
  <si>
    <t xml:space="preserve">Ciena 6500 N08</t>
  </si>
  <si>
    <t xml:space="preserve">A06 RA</t>
  </si>
  <si>
    <t xml:space="preserve">RS07 Polatis</t>
  </si>
  <si>
    <t xml:space="preserve">RS08 Polatis</t>
  </si>
  <si>
    <t xml:space="preserve">GF06 Alcatel7210 SAS X</t>
  </si>
  <si>
    <t xml:space="preserve">DE09 Alcatel 7210</t>
  </si>
  <si>
    <t xml:space="preserve">WACS CoLo</t>
  </si>
  <si>
    <t xml:space="preserve">F03 Ciena 6500-14 slot</t>
  </si>
  <si>
    <t xml:space="preserve">DE07 Alcatel 7210</t>
  </si>
  <si>
    <t xml:space="preserve">T06 Ciena 5142</t>
  </si>
  <si>
    <t xml:space="preserve">T6 WS5 &amp; ai</t>
  </si>
  <si>
    <t xml:space="preserve">VW2 RA</t>
  </si>
  <si>
    <t xml:space="preserve">TU2 Op-Ex</t>
  </si>
  <si>
    <t xml:space="preserve">TU3 Op-Ex</t>
  </si>
  <si>
    <t xml:space="preserve">TU5 Op-Ex</t>
  </si>
  <si>
    <t xml:space="preserve">NOKIA SEGW V6</t>
  </si>
  <si>
    <t xml:space="preserve">V05 DCN</t>
  </si>
  <si>
    <t xml:space="preserve">T07 RLS &amp; Waveserver</t>
  </si>
  <si>
    <t xml:space="preserve">VW7 Nokia 7210 SAS SX</t>
  </si>
  <si>
    <t xml:space="preserve">KL14 Alcatel 7210</t>
  </si>
  <si>
    <t xml:space="preserve">KL15 Alcatel 7210</t>
  </si>
  <si>
    <t xml:space="preserve">CC04,6&amp;7Op-ex</t>
  </si>
  <si>
    <t xml:space="preserve">CC10 RA</t>
  </si>
  <si>
    <t xml:space="preserve">CA6 Akamai</t>
  </si>
  <si>
    <t xml:space="preserve">AB05 BT EAD</t>
  </si>
  <si>
    <t xml:space="preserve">CH01 IGW+WSaI</t>
  </si>
  <si>
    <t xml:space="preserve">CF5Facebook</t>
  </si>
  <si>
    <t xml:space="preserve">CF2 Netflix</t>
  </si>
  <si>
    <t xml:space="preserve">CF4 Akamai</t>
  </si>
  <si>
    <t xml:space="preserve">CF1 Google</t>
  </si>
  <si>
    <t xml:space="preserve"> CH2 7750 SR7s</t>
  </si>
  <si>
    <t xml:space="preserve">CE1 AWS</t>
  </si>
  <si>
    <t xml:space="preserve">CCCD2 WS5</t>
  </si>
  <si>
    <t xml:space="preserve">CE2 QWILT</t>
  </si>
  <si>
    <t xml:space="preserve">cc03 SECGW</t>
  </si>
  <si>
    <t xml:space="preserve">BJ03 Alcatel 7210 SAS SX</t>
  </si>
  <si>
    <t xml:space="preserve">BJ05 Alcatel 7210 SAS SX</t>
  </si>
  <si>
    <t xml:space="preserve">BJ06 Alcatel 7210 SAS SX</t>
  </si>
  <si>
    <t xml:space="preserve">CH08 AWS</t>
  </si>
  <si>
    <t xml:space="preserve">CF6Facebook</t>
  </si>
  <si>
    <t xml:space="preserve">CC03 SECGW</t>
  </si>
  <si>
    <t xml:space="preserve">E10 ADVA XG210</t>
  </si>
  <si>
    <t xml:space="preserve">D09 ADVA FSP 3000</t>
  </si>
  <si>
    <t xml:space="preserve">Nokia 7750 SR2s_H9</t>
  </si>
  <si>
    <t xml:space="preserve">C05 CIENA 6500 - 14 SLOT</t>
  </si>
  <si>
    <t xml:space="preserve">QR01 Alcatel 7210</t>
  </si>
  <si>
    <t xml:space="preserve">Nokia ILA E04</t>
  </si>
  <si>
    <t xml:space="preserve">LLMM01 Alcatel 7210</t>
  </si>
  <si>
    <t xml:space="preserve">BC07 RA</t>
  </si>
  <si>
    <t xml:space="preserve">LM01 Alcatel 7210</t>
  </si>
  <si>
    <t xml:space="preserve">AB05 RA</t>
  </si>
  <si>
    <t xml:space="preserve">M01 RA</t>
  </si>
  <si>
    <t xml:space="preserve">P01-03 Op Ex</t>
  </si>
  <si>
    <t xml:space="preserve">MN02 Alcatel 7210</t>
  </si>
  <si>
    <t xml:space="preserve">E15 IGW</t>
  </si>
  <si>
    <t xml:space="preserve">K02, XG210 </t>
  </si>
  <si>
    <t xml:space="preserve">Ciena 14Slot - B4</t>
  </si>
  <si>
    <t xml:space="preserve">E13 IGW</t>
  </si>
  <si>
    <t xml:space="preserve">J04 Nokia 1830</t>
  </si>
  <si>
    <t xml:space="preserve">G06 RA</t>
  </si>
  <si>
    <t xml:space="preserve">AC03 6500-7</t>
  </si>
  <si>
    <t xml:space="preserve">TU07 Polatis</t>
  </si>
  <si>
    <t xml:space="preserve">S02 RA</t>
  </si>
  <si>
    <t xml:space="preserve">W&amp;X 1-6 Amitie</t>
  </si>
  <si>
    <t xml:space="preserve">ST03 Utility Cab</t>
  </si>
  <si>
    <t xml:space="preserve">EF09 BT NTE</t>
  </si>
  <si>
    <t xml:space="preserve">U7 Ciena 6500 R8</t>
  </si>
  <si>
    <t xml:space="preserve">EF13 BT EAD</t>
  </si>
  <si>
    <t xml:space="preserve">E12 Ciena 6500 R8</t>
  </si>
  <si>
    <t xml:space="preserve">E14 NOKIA 7750 SR12E(RA)</t>
  </si>
  <si>
    <t xml:space="preserve">EF10 Alcatel 7210</t>
  </si>
  <si>
    <t xml:space="preserve">A03 CIENA 6500- 7 SLOT</t>
  </si>
  <si>
    <t xml:space="preserve">E03 AWS</t>
  </si>
  <si>
    <t xml:space="preserve">E4 Utility Cab</t>
  </si>
  <si>
    <t xml:space="preserve">M5 CISCO</t>
  </si>
  <si>
    <t xml:space="preserve">BC7 Alcatel 7210</t>
  </si>
  <si>
    <t xml:space="preserve">A02 BT Utility</t>
  </si>
  <si>
    <t xml:space="preserve">6500-14 D04</t>
  </si>
  <si>
    <t xml:space="preserve">UV02 RA</t>
  </si>
  <si>
    <t xml:space="preserve">UV03 Alcatel 7210</t>
  </si>
  <si>
    <t xml:space="preserve">Nokia 7750 SR2s_VU5</t>
  </si>
  <si>
    <t xml:space="preserve">LM04 RA</t>
  </si>
  <si>
    <t xml:space="preserve">LM05 Alcatel 7210</t>
  </si>
  <si>
    <t xml:space="preserve">AA 1-6,AB+AC4-6 Amitie </t>
  </si>
  <si>
    <t xml:space="preserve">Nokia 7750 SR 2s_X3</t>
  </si>
  <si>
    <t xml:space="preserve">H06 CIENA 6500</t>
  </si>
  <si>
    <t xml:space="preserve">Q2-7,C11-16 Amitie</t>
  </si>
  <si>
    <t xml:space="preserve">HomeBB DNS YZ15</t>
  </si>
  <si>
    <t xml:space="preserve">Nokia ILA M12</t>
  </si>
  <si>
    <t xml:space="preserve">CD02 ESA400</t>
  </si>
  <si>
    <t xml:space="preserve">CD05 Alcatel 7210</t>
  </si>
  <si>
    <t xml:space="preserve">UV4 MSP7750 PE</t>
  </si>
  <si>
    <t xml:space="preserve">V6 Ciena 5410</t>
  </si>
  <si>
    <t xml:space="preserve">V7 Ciena 6500</t>
  </si>
  <si>
    <t xml:space="preserve">V8 Ciena 6500</t>
  </si>
  <si>
    <t xml:space="preserve">Z11 RA</t>
  </si>
  <si>
    <t xml:space="preserve">Z12 PX</t>
  </si>
  <si>
    <t xml:space="preserve">WX10 Op-EX</t>
  </si>
  <si>
    <t xml:space="preserve">WX12 Op-EX</t>
  </si>
  <si>
    <t xml:space="preserve">WX9 Op-EX</t>
  </si>
  <si>
    <t xml:space="preserve">UV1 Waveserver</t>
  </si>
  <si>
    <t xml:space="preserve">D8 Facebook server</t>
  </si>
  <si>
    <t xml:space="preserve">T02 Alcatel 7210</t>
  </si>
  <si>
    <t xml:space="preserve">MN06 RA</t>
  </si>
  <si>
    <t xml:space="preserve">M5a IGW</t>
  </si>
  <si>
    <t xml:space="preserve">M5 IGW</t>
  </si>
  <si>
    <t xml:space="preserve">AN/AP02 RA</t>
  </si>
  <si>
    <t xml:space="preserve">AN/AP03 Alcatel 7210</t>
  </si>
  <si>
    <t xml:space="preserve">Nokia 7750 SR2s_AN/AP5</t>
  </si>
  <si>
    <t xml:space="preserve">N5 Nokia 1830 ILA</t>
  </si>
  <si>
    <t xml:space="preserve">AB03 BT EAD</t>
  </si>
  <si>
    <t xml:space="preserve">Nokia 7750 SR2s_A5</t>
  </si>
  <si>
    <t xml:space="preserve">WAVESERVER_B5A</t>
  </si>
  <si>
    <t xml:space="preserve">FG03 Bt Util</t>
  </si>
  <si>
    <t xml:space="preserve">FG05 Alcatel 7210</t>
  </si>
  <si>
    <t xml:space="preserve">HJ08 Alcatel 7210</t>
  </si>
  <si>
    <t xml:space="preserve">NP07 Alcatel 7210 SAS-SX</t>
  </si>
  <si>
    <t xml:space="preserve">Alcatel 7210 BE7</t>
  </si>
  <si>
    <t xml:space="preserve">Alcatel 7210 BE9</t>
  </si>
  <si>
    <t xml:space="preserve">GB02 RA</t>
  </si>
  <si>
    <t xml:space="preserve">GB05 Op-ex</t>
  </si>
  <si>
    <t xml:space="preserve">GB10 ESA</t>
  </si>
  <si>
    <t xml:space="preserve">GB07 Op-ex </t>
  </si>
  <si>
    <t xml:space="preserve">GB09 Op-Ex</t>
  </si>
  <si>
    <t xml:space="preserve">GC02 IGW+WSaI</t>
  </si>
  <si>
    <t xml:space="preserve">GC03 QWILT</t>
  </si>
  <si>
    <t xml:space="preserve">GB12 7750SR7</t>
  </si>
  <si>
    <t xml:space="preserve">GC05 Waveserver 5</t>
  </si>
  <si>
    <t xml:space="preserve">JA6 Netflix</t>
  </si>
  <si>
    <t xml:space="preserve">JLJM01 EXFO BV-110</t>
  </si>
  <si>
    <t xml:space="preserve">JN04 Juniper SRX 4200</t>
  </si>
  <si>
    <t xml:space="preserve">JQ4 Nokia 7750 SR-7B</t>
  </si>
  <si>
    <t xml:space="preserve">JQ5 Nokia 7750 SR-7B</t>
  </si>
  <si>
    <t xml:space="preserve">JS3 Nokia 7750 SR-2s</t>
  </si>
  <si>
    <t xml:space="preserve">HJ4 Nokia 7210 SAS SX </t>
  </si>
  <si>
    <t xml:space="preserve">JH01 RA</t>
  </si>
  <si>
    <t xml:space="preserve">D5 BT EAD</t>
  </si>
  <si>
    <t xml:space="preserve">EF07 BT EAD</t>
  </si>
  <si>
    <t xml:space="preserve">Alcatel 7210 D3</t>
  </si>
  <si>
    <t xml:space="preserve">12/13 G Juniper</t>
  </si>
  <si>
    <t xml:space="preserve">BC01 PX</t>
  </si>
  <si>
    <t xml:space="preserve">BC02 Op-Ex</t>
  </si>
  <si>
    <t xml:space="preserve">BC03 Op-Ex</t>
  </si>
  <si>
    <t xml:space="preserve">BC04 Op-Ex</t>
  </si>
  <si>
    <t xml:space="preserve">Waveserver 5 AB4</t>
  </si>
  <si>
    <t xml:space="preserve">AB5 Nokia 7210 SAS SX </t>
  </si>
  <si>
    <t xml:space="preserve">K&amp;L 1-6 Amitie</t>
  </si>
  <si>
    <t xml:space="preserve">E11 Utility Cab</t>
  </si>
  <si>
    <t xml:space="preserve">DA/DB05 RA</t>
  </si>
  <si>
    <t xml:space="preserve">CD10 ISR 4331</t>
  </si>
  <si>
    <t xml:space="preserve">DA/DB04 Alcatel 7210</t>
  </si>
  <si>
    <t xml:space="preserve">CD04 BT EAD</t>
  </si>
  <si>
    <t xml:space="preserve">3Q RA</t>
  </si>
  <si>
    <t xml:space="preserve">3Z BNG</t>
  </si>
  <si>
    <t xml:space="preserve">1S WS&amp;RLS</t>
  </si>
  <si>
    <t xml:space="preserve">3J WS&amp;RLS</t>
  </si>
  <si>
    <t xml:space="preserve">PX 5/6Q</t>
  </si>
  <si>
    <t xml:space="preserve">IGW 5/6K</t>
  </si>
  <si>
    <t xml:space="preserve">HomeBB DNS 5/6H</t>
  </si>
  <si>
    <t xml:space="preserve">1T WS&amp;RLS</t>
  </si>
  <si>
    <t xml:space="preserve">1V WS&amp;RLS</t>
  </si>
  <si>
    <t xml:space="preserve">5/6E Netflix</t>
  </si>
  <si>
    <t xml:space="preserve">1AA Nokia 7210 SAS SX</t>
  </si>
  <si>
    <t xml:space="preserve">20B FACEBOOK</t>
  </si>
  <si>
    <t xml:space="preserve">20C FACEBOOK</t>
  </si>
  <si>
    <t xml:space="preserve">20/21E QWILT</t>
  </si>
  <si>
    <t xml:space="preserve">20/21F NOKIA7750 SR-7S</t>
  </si>
  <si>
    <t xml:space="preserve">WS5 20/21G</t>
  </si>
  <si>
    <t xml:space="preserve">C05 Ciena 6500-14 slot</t>
  </si>
  <si>
    <t xml:space="preserve">NP11 Alcatel 7210</t>
  </si>
  <si>
    <t xml:space="preserve">EF19 RA</t>
  </si>
  <si>
    <t xml:space="preserve">P03 BT EAD</t>
  </si>
  <si>
    <t xml:space="preserve">D06 Ciena 6500</t>
  </si>
  <si>
    <t xml:space="preserve">L01 RA</t>
  </si>
  <si>
    <t xml:space="preserve">L02 Alcatel 7210 </t>
  </si>
  <si>
    <t xml:space="preserve">Nokia 7750 SR2s_EF32</t>
  </si>
  <si>
    <t xml:space="preserve">SR02 Alcatel 7210</t>
  </si>
  <si>
    <t xml:space="preserve">AB06 RA</t>
  </si>
  <si>
    <t xml:space="preserve">LM01 Alcatel 7210 </t>
  </si>
  <si>
    <t xml:space="preserve">D06 CIENA 6500</t>
  </si>
  <si>
    <t xml:space="preserve">Dist (new dist added to bottom of list)</t>
  </si>
  <si>
    <t xml:space="preserve">Site copy</t>
  </si>
  <si>
    <t xml:space="preserve">Spare Positions</t>
  </si>
  <si>
    <t xml:space="preserve">Comment
ORMT Ref
Project Ref
Suite &amp; Rack Ref
Initials</t>
  </si>
  <si>
    <t xml:space="preserve">Total Allocated kW
DC Dist</t>
  </si>
  <si>
    <t xml:space="preserve">Total Allocated A
DC Dist</t>
  </si>
  <si>
    <t xml:space="preserve">Allocated Load
kW
Site check</t>
  </si>
  <si>
    <t xml:space="preserve">Allocated Load
A
Site check</t>
  </si>
  <si>
    <t xml:space="preserve">Updated A</t>
  </si>
  <si>
    <t xml:space="preserve">Updated B</t>
  </si>
  <si>
    <t xml:space="preserve">6500-14 B08</t>
  </si>
  <si>
    <t xml:space="preserve">AB7 QWILT</t>
  </si>
  <si>
    <t xml:space="preserve">AB1 Waveserver</t>
  </si>
  <si>
    <t xml:space="preserve">EF05 Alcatel 7210 </t>
  </si>
  <si>
    <t xml:space="preserve">IODN02</t>
  </si>
  <si>
    <t xml:space="preserve">MN02 Op-ex</t>
  </si>
  <si>
    <t xml:space="preserve">MN02 RLS&amp;WAVESERVER</t>
  </si>
  <si>
    <t xml:space="preserve">GF06 Alcatel7210 sas x</t>
  </si>
  <si>
    <t xml:space="preserve">RS07 polatis </t>
  </si>
  <si>
    <t xml:space="preserve">LSWN02</t>
  </si>
  <si>
    <t xml:space="preserve">b</t>
  </si>
  <si>
    <t xml:space="preserve">GB03 PX</t>
  </si>
  <si>
    <t xml:space="preserve">GB10 ESA400</t>
  </si>
  <si>
    <t xml:space="preserve">JMJL01 EXFO BV-110</t>
  </si>
  <si>
    <t xml:space="preserve">VXHINT</t>
  </si>
  <si>
    <t xml:space="preserve">Wavesever20/21G</t>
  </si>
  <si>
    <t xml:space="preserve">1S to V Op-Ex</t>
  </si>
  <si>
    <t xml:space="preserve">3K Op-Ex</t>
  </si>
  <si>
    <t xml:space="preserve">BTNW02</t>
  </si>
  <si>
    <t xml:space="preserve">IJ05 Alcatel 7210</t>
  </si>
  <si>
    <t xml:space="preserve">BMGV02</t>
  </si>
  <si>
    <t xml:space="preserve">C6 WS5 &amp; ai </t>
  </si>
  <si>
    <t xml:space="preserve">CELL02</t>
  </si>
  <si>
    <t xml:space="preserve">AB 02  XG210</t>
  </si>
  <si>
    <t xml:space="preserve">BA4 IGW,BA5 IGW</t>
  </si>
  <si>
    <t xml:space="preserve">I</t>
  </si>
  <si>
    <t xml:space="preserve">Facebook</t>
  </si>
  <si>
    <t xml:space="preserve">Util rack</t>
  </si>
  <si>
    <t xml:space="preserve">Home BB</t>
  </si>
  <si>
    <t xml:space="preserve">FG03 BT Util</t>
  </si>
  <si>
    <t xml:space="preserve">LDSCD1</t>
  </si>
  <si>
    <t xml:space="preserve">XY06 Nokia 7750SR7s</t>
  </si>
  <si>
    <t xml:space="preserve">C13 6500-32</t>
  </si>
  <si>
    <t xml:space="preserve">G15 BTOSA</t>
  </si>
  <si>
    <t xml:space="preserve">XY05 HPDL360S</t>
  </si>
  <si>
    <t xml:space="preserve">Netflix TU12</t>
  </si>
  <si>
    <t xml:space="preserve">E15 IGW, E13 IGW</t>
  </si>
  <si>
    <t xml:space="preserve">K02,XG210 </t>
  </si>
  <si>
    <t xml:space="preserve">DE3 UTILITY RACK</t>
  </si>
  <si>
    <t xml:space="preserve">CSL</t>
  </si>
  <si>
    <t xml:space="preserve">Ciena 6500 14 D09</t>
  </si>
  <si>
    <t xml:space="preserve">D5 Ciena 6500</t>
  </si>
  <si>
    <t xml:space="preserve">GF04 Ciena 6500 </t>
  </si>
  <si>
    <t xml:space="preserve">CC04 to 07 Op-ex</t>
  </si>
  <si>
    <t xml:space="preserve">CH2 7750 SR7s</t>
  </si>
  <si>
    <t xml:space="preserve">CA2 AKAMAI</t>
  </si>
  <si>
    <t xml:space="preserve">CCCD2 Wavesever</t>
  </si>
  <si>
    <t xml:space="preserve">CH4 Nokia 7210 SAS SX </t>
  </si>
  <si>
    <t xml:space="preserve">TU06 WS&amp;RSL</t>
  </si>
  <si>
    <t xml:space="preserve">TU07 WS&amp;RSL</t>
  </si>
  <si>
    <t xml:space="preserve">BF07 PX</t>
  </si>
  <si>
    <t xml:space="preserve">BF03 Op Ex</t>
  </si>
  <si>
    <t xml:space="preserve">BF04 Op Ex</t>
  </si>
  <si>
    <t xml:space="preserve">BF05 Op Ex</t>
  </si>
  <si>
    <t xml:space="preserve">BDBE08 Waveserver</t>
  </si>
  <si>
    <t xml:space="preserve">AGAH03</t>
  </si>
  <si>
    <t xml:space="preserve">Ciena 6500-14</t>
  </si>
  <si>
    <t xml:space="preserve">A04 6500-14</t>
  </si>
  <si>
    <t xml:space="preserve">Ciena 6500 7Slot A04</t>
  </si>
  <si>
    <t xml:space="preserve">BA6 QWILT</t>
  </si>
  <si>
    <t xml:space="preserve">BA7 Akami</t>
  </si>
  <si>
    <t xml:space="preserve">BB09 Nokia RR 7 Cisco RR</t>
  </si>
  <si>
    <t xml:space="preserve">CD30 Ciena 6500 </t>
  </si>
  <si>
    <t xml:space="preserve">Alcatel 7210 CD28</t>
  </si>
  <si>
    <t xml:space="preserve">GH01 Alcatel 7210</t>
  </si>
  <si>
    <t xml:space="preserve">6500-14 G03</t>
  </si>
  <si>
    <t xml:space="preserve">RQ06 CIENA 6500-14SLOT</t>
  </si>
  <si>
    <t xml:space="preserve">Alcatel 7210 DE07</t>
  </si>
  <si>
    <t xml:space="preserve">TU08 Alcatel 7210</t>
  </si>
  <si>
    <t xml:space="preserve">BTLCD2</t>
  </si>
  <si>
    <t xml:space="preserve">AC11 QWILT</t>
  </si>
  <si>
    <t xml:space="preserve">B13 ESA400</t>
  </si>
  <si>
    <t xml:space="preserve">BDEN07</t>
  </si>
  <si>
    <t xml:space="preserve">A 1 to 7 Amitie</t>
  </si>
  <si>
    <t xml:space="preserve">S&amp;T 1 to 6 Amitie</t>
  </si>
  <si>
    <t xml:space="preserve">CKKN03</t>
  </si>
  <si>
    <t xml:space="preserve">EXRN03</t>
  </si>
  <si>
    <t xml:space="preserve">G&amp;H 1 to 6 Amitie</t>
  </si>
  <si>
    <t xml:space="preserve">J&amp;K 1 to 6 Amitie</t>
  </si>
  <si>
    <t xml:space="preserve">W&amp;X 1 to 6 Amitie</t>
  </si>
  <si>
    <t xml:space="preserve"> UV07 Ciena 6500 R8</t>
  </si>
  <si>
    <t xml:space="preserve">PCOTN2</t>
  </si>
  <si>
    <t xml:space="preserve">PCOTN3</t>
  </si>
  <si>
    <t xml:space="preserve">PCOTN4</t>
  </si>
  <si>
    <t xml:space="preserve">V8 iena 6500</t>
  </si>
  <si>
    <t xml:space="preserve">CD03 Alcatel 7210</t>
  </si>
  <si>
    <t xml:space="preserve">CD2 Nokia 7750 SR12e ESA </t>
  </si>
  <si>
    <t xml:space="preserve">YZ15 Home BB</t>
  </si>
  <si>
    <t xml:space="preserve">QR03 to 09 Amitie</t>
  </si>
  <si>
    <t xml:space="preserve">BE/BF 15 Waveserver 5</t>
  </si>
  <si>
    <t xml:space="preserve">CC/CD 07 HPE DL 380</t>
  </si>
  <si>
    <t xml:space="preserve">VSS DC/DB&amp;DF1,2,4</t>
  </si>
  <si>
    <t xml:space="preserve">DC10 DALI</t>
  </si>
  <si>
    <t xml:space="preserve">Alcatel &amp; Ciena Y2</t>
  </si>
  <si>
    <t xml:space="preserve">EF13 RA</t>
  </si>
  <si>
    <t xml:space="preserve">E11 Ciena 6500 R8</t>
  </si>
  <si>
    <t xml:space="preserve">RDGCD1</t>
  </si>
  <si>
    <t xml:space="preserve">A09 QWILT</t>
  </si>
  <si>
    <t xml:space="preserve">Nokia SEGW</t>
  </si>
  <si>
    <t xml:space="preserve">B13 Nokia SEGGW ESA</t>
  </si>
  <si>
    <t xml:space="preserve">XY 05 BT EAD</t>
  </si>
  <si>
    <t xml:space="preserve">AB7 W5</t>
  </si>
  <si>
    <t xml:space="preserve">T06 W5</t>
  </si>
  <si>
    <t xml:space="preserve">M5a IGW, M5 IGW</t>
  </si>
  <si>
    <t xml:space="preserve">Allocated</t>
  </si>
  <si>
    <t xml:space="preserve">Updated</t>
  </si>
  <si>
    <t xml:space="preserve">Single DC Power System Capacity and Autonomy Checker</t>
  </si>
  <si>
    <t xml:space="preserve">System :</t>
  </si>
  <si>
    <t xml:space="preserve">Select rectifier module type from drop down list</t>
  </si>
  <si>
    <t xml:space="preserve">Enter number of rectifier module fitted to the system</t>
  </si>
  <si>
    <t xml:space="preserve">Existing Load (Amps) :</t>
  </si>
  <si>
    <t xml:space="preserve">Enter desired system load, this can be existing load or existing load plus any new requirement</t>
  </si>
  <si>
    <t xml:space="preserve">Allocated load (Amps) :</t>
  </si>
  <si>
    <t xml:space="preserve">Enter power requirements for new kit required (leave blank if not required)</t>
  </si>
  <si>
    <t xml:space="preserve">Future Kit (Amps):</t>
  </si>
  <si>
    <t xml:space="preserve">Enter power requirements for future required (leave blank if not required)</t>
  </si>
  <si>
    <t xml:space="preserve">System Load Amps :</t>
  </si>
  <si>
    <t xml:space="preserve">System Load (kW) :</t>
  </si>
  <si>
    <t xml:space="preserve">Required Load inc Full Battery Recharge (Amps) :</t>
  </si>
  <si>
    <t xml:space="preserve">Available Rectifier Load Capacity (inc full batt recharge)</t>
  </si>
  <si>
    <t xml:space="preserve">Available Rectifier Load Capacity @ 80% of N</t>
  </si>
  <si>
    <t xml:space="preserve">Additional Rect Required 
@ 80% of N</t>
  </si>
  <si>
    <t xml:space="preserve">Capacity Remaining</t>
  </si>
  <si>
    <t xml:space="preserve">Capacity Remaining @ 80% of N</t>
  </si>
  <si>
    <t xml:space="preserve">90% Capacity limit exceeded if cell is red, additional build required</t>
  </si>
  <si>
    <t xml:space="preserve">Allowing for 10% for aging</t>
  </si>
  <si>
    <t xml:space="preserve">Allowing 20% for aging</t>
  </si>
  <si>
    <t xml:space="preserve">Issue</t>
  </si>
  <si>
    <t xml:space="preserve">Date raised</t>
  </si>
  <si>
    <t xml:space="preserve">Resolution</t>
  </si>
  <si>
    <t xml:space="preserve">Sites with dual systems</t>
  </si>
  <si>
    <t xml:space="preserve">System A</t>
  </si>
  <si>
    <t xml:space="preserve">System B</t>
  </si>
  <si>
    <t xml:space="preserve">Single systems</t>
  </si>
  <si>
    <t xml:space="preserve">CTTN01</t>
  </si>
  <si>
    <t xml:space="preserve">BRN;DC SYS01</t>
  </si>
  <si>
    <t xml:space="preserve">PCOTN1_Flag</t>
  </si>
  <si>
    <t xml:space="preserve">PCOTN1_Gemini</t>
  </si>
  <si>
    <t xml:space="preserve">SQYN02 - SYS8</t>
  </si>
  <si>
    <t xml:space="preserve">SQYN02;DC SYS08A</t>
  </si>
  <si>
    <t xml:space="preserve">SQYN02;DC SYS08B</t>
  </si>
  <si>
    <t xml:space="preserve">SQYN02 - SYS9</t>
  </si>
  <si>
    <t xml:space="preserve">MCRCD2;DC SYS03 [Rect5] (Decommissioned)</t>
  </si>
  <si>
    <t xml:space="preserve">SHTN03;DC SYS02</t>
  </si>
  <si>
    <t xml:space="preserve">Rectifier Model</t>
  </si>
  <si>
    <t xml:space="preserve">Output (Amps)</t>
  </si>
  <si>
    <t xml:space="preserve">80% N</t>
  </si>
  <si>
    <t xml:space="preserve">Advance TRE 1500</t>
  </si>
  <si>
    <t xml:space="preserve">Advance TRE 2100</t>
  </si>
  <si>
    <t xml:space="preserve">Eaton APR48-3G</t>
  </si>
  <si>
    <t xml:space="preserve">Eaton R2948</t>
  </si>
  <si>
    <t xml:space="preserve">Eltek Flatpack 1500</t>
  </si>
  <si>
    <t xml:space="preserve">Eltek Flatpack2 - 1800</t>
  </si>
  <si>
    <t xml:space="preserve">Power One PMP 13.48</t>
  </si>
  <si>
    <t xml:space="preserve">Power One PMP 16.48</t>
  </si>
  <si>
    <t xml:space="preserve">Switchtec E1333</t>
  </si>
  <si>
    <t xml:space="preserve">Switchtec E2733</t>
  </si>
  <si>
    <t xml:space="preserve">Benning Tebechop 15000 48-225</t>
  </si>
  <si>
    <t xml:space="preserve">Nortel Helios 100</t>
  </si>
  <si>
    <t xml:space="preserve">Constant Power </t>
  </si>
  <si>
    <t xml:space="preserve">Watts/Cell to 1.8VPC </t>
  </si>
  <si>
    <t xml:space="preserve">Amps / String (allow 20% aging)</t>
  </si>
  <si>
    <t xml:space="preserve">kW / String (allow 20% aging)</t>
  </si>
  <si>
    <t xml:space="preserve">Battery Type</t>
  </si>
  <si>
    <t xml:space="preserve">1 hr2</t>
  </si>
  <si>
    <t xml:space="preserve">2 hrs3</t>
  </si>
  <si>
    <t xml:space="preserve">3 hrs4</t>
  </si>
  <si>
    <t xml:space="preserve">4 hrs5</t>
  </si>
  <si>
    <t xml:space="preserve">1 hr6</t>
  </si>
  <si>
    <t xml:space="preserve">2 hrs7</t>
  </si>
  <si>
    <t xml:space="preserve">3 hrs8</t>
  </si>
  <si>
    <t xml:space="preserve">4 hrs9</t>
  </si>
  <si>
    <t xml:space="preserve">Ah Rating</t>
  </si>
  <si>
    <t xml:space="preserve">Recharge</t>
  </si>
  <si>
    <t xml:space="preserve">Temp</t>
  </si>
  <si>
    <t xml:space="preserve">2DDm50-09</t>
  </si>
  <si>
    <t xml:space="preserve">DDm50-17</t>
  </si>
  <si>
    <t xml:space="preserve">DDm100-21</t>
  </si>
  <si>
    <t xml:space="preserve">12V101F</t>
  </si>
  <si>
    <t xml:space="preserve">2V500/6</t>
  </si>
  <si>
    <t xml:space="preserve">SBS680</t>
  </si>
  <si>
    <t xml:space="preserve">SBS480</t>
  </si>
  <si>
    <t xml:space="preserve">SBS XL 150F-FT</t>
  </si>
  <si>
    <t xml:space="preserve">SBS XL 170F-FT</t>
  </si>
  <si>
    <t xml:space="preserve">SBS EON 2700</t>
  </si>
  <si>
    <t xml:space="preserve">6V165/6</t>
  </si>
  <si>
    <t xml:space="preserve">12UTMB160</t>
  </si>
  <si>
    <t xml:space="preserve">2SLA800</t>
  </si>
  <si>
    <t xml:space="preserve">2CP1000</t>
  </si>
  <si>
    <t xml:space="preserve">2CP1600</t>
  </si>
  <si>
    <t xml:space="preserve">2CP1200</t>
  </si>
  <si>
    <t xml:space="preserve">VH57</t>
  </si>
  <si>
    <t xml:space="preserve">EN160-6</t>
  </si>
  <si>
    <t xml:space="preserve">EN320-2</t>
  </si>
  <si>
    <t xml:space="preserve">SYS A</t>
  </si>
  <si>
    <t xml:space="preserve">SYS B</t>
  </si>
  <si>
    <t xml:space="preserve">SYS A&amp;B</t>
  </si>
  <si>
    <t xml:space="preserve">Amps / String (allow 10% aging)</t>
  </si>
  <si>
    <t xml:space="preserve">kW / String (allow 10% aging)</t>
  </si>
  <si>
    <t xml:space="preserve">AHU</t>
  </si>
  <si>
    <t xml:space="preserve">Number of</t>
  </si>
  <si>
    <t xml:space="preserve">Room Total</t>
  </si>
  <si>
    <t xml:space="preserve">Total</t>
  </si>
  <si>
    <t xml:space="preserve">Agreed 75%</t>
  </si>
  <si>
    <t xml:space="preserve">TGYN02</t>
  </si>
  <si>
    <t xml:space="preserve">CYNTN2 EXT</t>
  </si>
  <si>
    <t xml:space="preserve">LCT EXT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</si>
</sst>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0%"/>
    <numFmt numFmtId="166" formatCode="0.0"/>
    <numFmt numFmtId="167" formatCode="m/d/yyyy"/>
    <numFmt numFmtId="168" formatCode="General"/>
    <numFmt numFmtId="169" formatCode="@"/>
    <numFmt numFmtId="170" formatCode="0.00"/>
    <numFmt numFmtId="171" formatCode="#,##0.0"/>
    <numFmt numFmtId="172" formatCode="#,##0.0_ ;[RED]\-#,##0.0\ "/>
    <numFmt numFmtId="173" formatCode="m\/d\/yyyy"/>
    <numFmt numFmtId="174" formatCode="0"/>
    <numFmt numFmtId="175" formatCode="0&quot; A&quot;"/>
    <numFmt numFmtId="176" formatCode="0.0&quot; kW&quot;"/>
    <numFmt numFmtId="177" formatCode="0&quot; kW&quot;"/>
    <numFmt numFmtId="178" formatCode="0.0&quot; A&quot;"/>
    <numFmt numFmtId="179" formatCode="0.0%"/>
  </numFmts>
  <fonts count="4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C000"/>
      <name val="Arial"/>
      <family val="2"/>
      <charset val="1"/>
    </font>
    <font>
      <b val="true"/>
      <sz val="11"/>
      <color rgb="FF92D05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333333"/>
      <name val="Arial"/>
      <family val="2"/>
      <charset val="1"/>
    </font>
    <font>
      <sz val="9"/>
      <color rgb="FFFFFFFF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i val="true"/>
      <sz val="10"/>
      <color rgb="FF00B0F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0D0D0D"/>
      <name val="Arial"/>
      <family val="2"/>
      <charset val="1"/>
    </font>
    <font>
      <sz val="9"/>
      <color rgb="FF181717"/>
      <name val="Arial"/>
      <family val="2"/>
      <charset val="1"/>
    </font>
    <font>
      <sz val="9"/>
      <color rgb="FF00B0F0"/>
      <name val="Arial"/>
      <family val="2"/>
      <charset val="1"/>
    </font>
    <font>
      <sz val="10"/>
      <color rgb="FF0D0D0D"/>
      <name val="Arial"/>
      <family val="2"/>
      <charset val="1"/>
    </font>
    <font>
      <sz val="11"/>
      <color rgb="FF444444"/>
      <name val="Aptos Narrow"/>
      <family val="2"/>
      <charset val="1"/>
    </font>
    <font>
      <sz val="10"/>
      <color rgb="FF181717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16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231F20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D966"/>
      </patternFill>
    </fill>
    <fill>
      <patternFill patternType="solid">
        <fgColor rgb="FF00B0F0"/>
        <bgColor rgb="FF0070C0"/>
      </patternFill>
    </fill>
    <fill>
      <patternFill patternType="solid">
        <fgColor rgb="FFBF9000"/>
        <bgColor rgb="FFC55A11"/>
      </patternFill>
    </fill>
    <fill>
      <patternFill patternType="solid">
        <fgColor rgb="FF806000"/>
        <bgColor rgb="FF993300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7F7F7"/>
      </patternFill>
    </fill>
    <fill>
      <patternFill patternType="solid">
        <fgColor rgb="FFFFD966"/>
        <bgColor rgb="FFFFE699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DC3E6"/>
      </patternFill>
    </fill>
    <fill>
      <patternFill patternType="solid">
        <fgColor rgb="FFC9C9C9"/>
        <bgColor rgb="FFCAC9D9"/>
      </patternFill>
    </fill>
    <fill>
      <patternFill patternType="solid">
        <fgColor rgb="FFF4B183"/>
        <bgColor rgb="FFFFC7CE"/>
      </patternFill>
    </fill>
    <fill>
      <patternFill patternType="solid">
        <fgColor rgb="FF8497B0"/>
        <bgColor rgb="FF8FAADC"/>
      </patternFill>
    </fill>
    <fill>
      <patternFill patternType="solid">
        <fgColor rgb="FFC55A11"/>
        <bgColor rgb="FF806000"/>
      </patternFill>
    </fill>
    <fill>
      <patternFill patternType="solid">
        <fgColor rgb="FFF7F7F7"/>
        <bgColor rgb="FFFFFFFF"/>
      </patternFill>
    </fill>
    <fill>
      <patternFill patternType="solid">
        <fgColor rgb="FFBFBFBF"/>
        <bgColor rgb="FFC9C9C9"/>
      </patternFill>
    </fill>
    <fill>
      <patternFill patternType="solid">
        <fgColor rgb="FFFFE699"/>
        <bgColor rgb="FFFFD966"/>
      </patternFill>
    </fill>
    <fill>
      <patternFill patternType="solid">
        <fgColor rgb="FFFF7453"/>
        <bgColor rgb="FFC55A11"/>
      </patternFill>
    </fill>
    <fill>
      <patternFill patternType="solid">
        <fgColor rgb="FF7030A0"/>
        <bgColor rgb="FF993366"/>
      </patternFill>
    </fill>
    <fill>
      <patternFill patternType="solid">
        <fgColor rgb="FF92D050"/>
        <bgColor rgb="FFA9D18E"/>
      </patternFill>
    </fill>
    <fill>
      <patternFill patternType="solid">
        <fgColor rgb="FF000000"/>
        <bgColor rgb="FF0D0D0D"/>
      </patternFill>
    </fill>
    <fill>
      <patternFill patternType="solid">
        <fgColor rgb="FFFF0000"/>
        <bgColor rgb="FFC00000"/>
      </patternFill>
    </fill>
    <fill>
      <patternFill patternType="solid">
        <fgColor rgb="FFEDEDED"/>
        <bgColor rgb="FFE7E6E6"/>
      </patternFill>
    </fill>
    <fill>
      <patternFill patternType="solid">
        <fgColor rgb="FF9DC3E6"/>
        <bgColor rgb="FF8FAADC"/>
      </patternFill>
    </fill>
    <fill>
      <patternFill patternType="solid">
        <fgColor rgb="FF0070C0"/>
        <bgColor rgb="FF008080"/>
      </patternFill>
    </fill>
    <fill>
      <patternFill patternType="solid">
        <fgColor rgb="FFE7E6E6"/>
        <bgColor rgb="FFEDEDED"/>
      </patternFill>
    </fill>
    <fill>
      <patternFill patternType="solid">
        <fgColor rgb="FFFFC000"/>
        <bgColor rgb="FFFFD96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9" fillId="5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7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8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2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1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17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1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3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23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7" fontId="23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3" fillId="17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0" borderId="0" xfId="2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5" fontId="23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1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3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6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6" fillId="1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7" fillId="0" borderId="0" xfId="2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23" fillId="2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1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5" fillId="2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1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9" fillId="0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2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2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4" xfId="2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5" xfId="2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6" xfId="2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7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5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2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30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31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7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2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32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1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3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33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4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34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6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32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0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0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30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2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32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31" fillId="1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6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5" fillId="2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35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6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36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0" fillId="2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2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1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2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6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2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5" fillId="17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4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17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2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2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0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1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2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2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17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7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2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1" fillId="2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1" fillId="1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32" fillId="2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7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3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6" fillId="1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16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16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6" fillId="17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17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23" fillId="16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21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5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2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1" borderId="1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9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5" fillId="2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4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13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13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13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22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7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2" borderId="1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7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2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4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4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5" fillId="0" borderId="1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2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4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4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5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5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2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4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2 2" xfId="22"/>
    <cellStyle name="Percent 2" xfId="23"/>
  </cellStyles>
  <dxfs count="135">
    <dxf>
      <font>
        <color rgb="00FFFFFF"/>
      </font>
      <fill>
        <patternFill>
          <bgColor rgb="FF00B0F0"/>
        </patternFill>
      </fill>
    </dxf>
    <dxf>
      <font>
        <b val="1"/>
        <i val="0"/>
        <color rgb="FFFFFFFF"/>
      </font>
      <fill>
        <patternFill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 val="1"/>
        <i val="0"/>
        <color rgb="FFFFFFFF"/>
      </font>
      <fill>
        <patternFill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 val="1"/>
        <i val="0"/>
        <color rgb="FFFFFFFF"/>
      </font>
      <fill>
        <patternFill>
          <bgColor rgb="FF0070C0"/>
        </patternFill>
      </fill>
    </dxf>
    <dxf>
      <font>
        <b val="1"/>
        <i val="0"/>
        <color rgb="FFFFFFFF"/>
      </font>
      <fill>
        <patternFill>
          <bgColor rgb="FF0070C0"/>
        </patternFill>
      </fill>
    </dxf>
    <dxf>
      <font>
        <color rgb="FFFFFFFF"/>
      </font>
    </dxf>
    <dxf>
      <font>
        <b val="1"/>
        <i val="0"/>
        <color rgb="FFFFFFFF"/>
      </font>
      <fill>
        <patternFill>
          <bgColor rgb="FF2E75B6"/>
        </patternFill>
      </fill>
    </dxf>
    <dxf>
      <font>
        <b val="1"/>
        <i val="0"/>
        <color rgb="FFFFFFFF"/>
      </font>
      <fill>
        <patternFill>
          <bgColor rgb="FF2E75B6"/>
        </patternFill>
      </fill>
    </dxf>
    <dxf>
      <font>
        <color rgb="FFFFFFFF"/>
      </font>
    </dxf>
    <dxf>
      <font>
        <b val="1"/>
        <i val="0"/>
        <color rgb="FFFFFFFF"/>
      </font>
      <fill>
        <patternFill>
          <bgColor rgb="FF2E75B6"/>
        </patternFill>
      </fill>
    </dxf>
    <dxf>
      <font>
        <b val="1"/>
        <i val="0"/>
        <color rgb="FFFFFFFF"/>
      </font>
      <fill>
        <patternFill>
          <bgColor rgb="FF2E75B6"/>
        </patternFill>
      </fill>
    </dxf>
    <dxf>
      <font>
        <b val="1"/>
        <i val="0"/>
        <color rgb="FFFFFFFF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</dxf>
    <dxf>
      <fill>
        <patternFill>
          <bgColor rgb="FFFFFF00"/>
        </patternFill>
      </fill>
    </dxf>
    <dxf>
      <font>
        <b val="1"/>
        <i val="1"/>
        <color rgb="FF00B0F0"/>
      </font>
    </dxf>
    <dxf>
      <font>
        <b val="1"/>
        <i val="1"/>
        <color rgb="FF00B0F0"/>
      </font>
    </dxf>
    <dxf>
      <font>
        <b val="1"/>
        <i val="1"/>
        <color rgb="FF00B0F0"/>
      </font>
    </dxf>
    <dxf>
      <font>
        <b val="1"/>
        <i val="0"/>
        <color rgb="FFFFFFFF"/>
      </font>
      <fill>
        <patternFill>
          <bgColor rgb="FFFF7453"/>
        </patternFill>
      </fill>
    </dxf>
    <dxf>
      <font>
        <b val="1"/>
        <i val="0"/>
        <color rgb="FFFFFFFF"/>
      </font>
      <fill>
        <patternFill>
          <bgColor rgb="FFFF7453"/>
        </patternFill>
      </fill>
    </dxf>
    <dxf>
      <font>
        <b val="1"/>
        <i val="0"/>
        <color rgb="FFFFFFFF"/>
      </font>
      <fill>
        <patternFill>
          <bgColor rgb="FFFF7453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00FFFFFF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b val="1"/>
        <i val="0"/>
        <color rgb="FFFFFFFF"/>
      </font>
      <fill>
        <patternFill>
          <bgColor rgb="FF2E75B6"/>
        </patternFill>
      </fill>
    </dxf>
    <dxf>
      <font>
        <color rgb="FFD9D9D9"/>
      </font>
    </dxf>
    <dxf>
      <font>
        <b val="1"/>
        <i val="0"/>
        <color rgb="FFFFFFFF"/>
      </font>
      <fill>
        <patternFill>
          <bgColor rgb="FF2E75B6"/>
        </patternFill>
      </fill>
    </dxf>
    <dxf>
      <font>
        <b val="1"/>
        <i val="0"/>
        <color rgb="FFFFFFFF"/>
      </font>
      <fill>
        <patternFill>
          <bgColor rgb="FF2E75B6"/>
        </patternFill>
      </fill>
    </dxf>
    <dxf>
      <font>
        <b val="1"/>
        <i val="1"/>
        <color rgb="FF00B0F0"/>
      </font>
    </dxf>
    <dxf>
      <font>
        <b val="1"/>
        <i val="0"/>
        <color rgb="FFFFFFFF"/>
      </font>
      <fill>
        <patternFill>
          <bgColor rgb="FFFF7453"/>
        </patternFill>
      </fill>
    </dxf>
    <dxf>
      <fill>
        <patternFill>
          <bgColor rgb="FFFFFF00"/>
        </patternFill>
      </fill>
    </dxf>
    <dxf>
      <fill>
        <patternFill>
          <bgColor rgb="00FFFFFF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00FFFFFF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ont>
        <color rgb="00FFFFFF"/>
      </font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ont>
        <color rgb="00FFFFFF"/>
      </font>
      <fill>
        <patternFill>
          <bgColor rgb="FF92D050"/>
        </patternFill>
      </fill>
    </dxf>
    <dxf>
      <font>
        <strike val="0"/>
        <color rgb="00FFFFFF"/>
      </font>
      <fill>
        <patternFill>
          <bgColor rgb="FFF4B183"/>
        </patternFill>
      </fill>
    </dxf>
    <dxf>
      <fill>
        <patternFill>
          <bgColor rgb="FF92D050"/>
        </patternFill>
      </fill>
    </dxf>
    <dxf>
      <font>
        <strike val="0"/>
        <color rgb="00FFFFFF"/>
      </font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00FFFFFF"/>
      </font>
      <fill>
        <patternFill>
          <bgColor rgb="FFF4B183"/>
        </patternFill>
      </fill>
    </dxf>
    <dxf>
      <fill>
        <patternFill>
          <bgColor rgb="FF92D050"/>
        </patternFill>
      </fill>
    </dxf>
    <dxf>
      <font>
        <color rgb="00FFFFFF"/>
      </font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ont>
        <color rgb="00FFFFFF"/>
      </font>
      <fill>
        <patternFill>
          <bgColor rgb="FF92D050"/>
        </patternFill>
      </fill>
    </dxf>
    <dxf>
      <font>
        <color rgb="00FFFFFF"/>
      </font>
      <fill>
        <patternFill>
          <bgColor rgb="FFF4B183"/>
        </patternFill>
      </fill>
    </dxf>
    <dxf>
      <fill>
        <patternFill>
          <bgColor rgb="FFFBE5D6"/>
        </patternFill>
      </fill>
    </dxf>
    <dxf>
      <fill>
        <patternFill>
          <bgColor rgb="FFC0000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ill>
        <patternFill>
          <bgColor rgb="FFF4B183"/>
        </patternFill>
      </fill>
    </dxf>
    <dxf>
      <fill>
        <patternFill>
          <bgColor rgb="FF92D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00FFFFFF"/>
      </font>
      <fill>
        <patternFill>
          <bgColor rgb="FFF4B183"/>
        </patternFill>
      </fill>
    </dxf>
    <dxf>
      <font>
        <color rgb="00FFFFFF"/>
      </font>
      <fill>
        <patternFill>
          <bgColor rgb="FFF4B183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D0D0D"/>
      <rgbColor rgb="FF806000"/>
      <rgbColor rgb="FF800080"/>
      <rgbColor rgb="FF008080"/>
      <rgbColor rgb="FFBFBFBF"/>
      <rgbColor rgb="FFA9D18E"/>
      <rgbColor rgb="FF8FAADC"/>
      <rgbColor rgb="FF7030A0"/>
      <rgbColor rgb="FFF7F7F7"/>
      <rgbColor rgb="FFEDEDED"/>
      <rgbColor rgb="FF660066"/>
      <rgbColor rgb="FFFF7453"/>
      <rgbColor rgb="FF0070C0"/>
      <rgbColor rgb="FFCAC9D9"/>
      <rgbColor rgb="FF000080"/>
      <rgbColor rgb="FFFF00FF"/>
      <rgbColor rgb="FFFFD966"/>
      <rgbColor rgb="FF00FFFF"/>
      <rgbColor rgb="FF800080"/>
      <rgbColor rgb="FFC00000"/>
      <rgbColor rgb="FF008080"/>
      <rgbColor rgb="FF0000FF"/>
      <rgbColor rgb="FF00B0F0"/>
      <rgbColor rgb="FFE7E6E6"/>
      <rgbColor rgb="FFDDDDDD"/>
      <rgbColor rgb="FFFFE699"/>
      <rgbColor rgb="FF9DC3E6"/>
      <rgbColor rgb="FFF4B183"/>
      <rgbColor rgb="FFC9C9C9"/>
      <rgbColor rgb="FFFFC7CE"/>
      <rgbColor rgb="FF2E75B6"/>
      <rgbColor rgb="FFD9D9D9"/>
      <rgbColor rgb="FF92D050"/>
      <rgbColor rgb="FFFFC000"/>
      <rgbColor rgb="FFBF9000"/>
      <rgbColor rgb="FFC55A11"/>
      <rgbColor rgb="FFFBE5D6"/>
      <rgbColor rgb="FF8497B0"/>
      <rgbColor rgb="FF003366"/>
      <rgbColor rgb="FF339966"/>
      <rgbColor rgb="FF181717"/>
      <rgbColor rgb="FF231F20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externalLink" Target="externalLinks/externalLink1.xml"/><Relationship Id="rId18" Type="http://schemas.openxmlformats.org/officeDocument/2006/relationships/externalLink" Target="externalLinks/externalLink2.xml"/><Relationship Id="rId19" Type="http://schemas.openxmlformats.org/officeDocument/2006/relationships/externalLink" Target="externalLinks/externalLink3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opt/projects/Raw/projects/vodafone-pov-3/structured-data-poc/Crown%20Data%20and%20Archive/Crown%20dist%20data%20links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opt/projects/Raw/projects/vodafone-pov-3/structured-data-poc/Crown%20Data%20and%20Archive/Tests/Dual%20and%20PCore%20Pwr%20Systems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 standalone="yes"?>
<externalLink xmlns="http://schemas.openxmlformats.org/spreadsheetml/2006/main"><externalBook xmlns:r="http://schemas.openxmlformats.org/officeDocument/2006/relationships" r:id="rId1"><sheetNames><sheetName val="Sheet1"/></sheetNames><sheetDataSet><sheetData sheetId="0"><row r="2"><cell r="A2" t="str"><v>CAMN02_SEC_WALL_CBDB_01</v></cell><cell r="B2" t="str"><v>CAMN02;DC SYS01</v></cell><cell r="C2" t="str"><v>CAMN02</v></cell><cell r="D2"><v>0</v></cell><cell r="E2"><v>0</v></cell><cell r="F2"><v>0</v></cell><cell r="G2"><v>300</v></cell><cell r="H2"><v>300</v></cell><cell r="I2"><v>0</v></cell><cell r="J2"><v>1</v></cell><cell r="K2"><v>0</v></cell><cell r="L2"><v>0</v></cell><cell r="M2"><v>0</v></cell><cell r="N2"><v>0</v></cell></row><row r="3"><cell r="A3" t="str"><v>CAMN02_SEC_WALL_CBDB_02</v></cell><cell r="B3" t="str"><v>CAMN02;DC SYS01</v></cell><cell r="C3" t="str"><v>CAMN02</v></cell><cell r="D3"><v>0</v></cell><cell r="E3"><v>0</v></cell><cell r="F3"><v>0</v></cell><cell r="G3"><v>300</v></cell><cell r="H3"><v>300</v></cell><cell r="I3"><v>0</v></cell><cell r="J3"><v>0</v></cell><cell r="K3"><v>0</v></cell><cell r="L3"><v>2</v></cell><cell r="M3"><v>0</v></cell><cell r="N3"><v>2</v></cell></row><row r="4"><cell r="A4" t="str"><v>CAMN02_SYS01_PER_01</v></cell><cell r="B4" t="str"><v>CAMN02;DC SYS01</v></cell><cell r="C4" t="str"><v>CAMN02</v></cell><cell r="D4"><v>0</v></cell><cell r="E4"><v>0</v></cell><cell r="F4"><v>0</v></cell><cell r="G4"><v>300</v></cell><cell r="H4"><v>300</v></cell><cell r="I4"><v>0</v></cell><cell r="J4"><v>8</v></cell><cell r="K4"><v>0</v></cell><cell r="L4"><v>0</v></cell><cell r="M4"><v>0</v></cell><cell r="N4"><v>0</v></cell></row><row r="5"><cell r="A5" t="str"><v>CAMN41_SEC_CBDB_BC01</v></cell><cell r="B5" t="str"><v>CAMN41;DC SYS01</v></cell><cell r="C5" t="str"><v>CAMN41</v></cell><cell r="D5"><v>40</v></cell><cell r="E5"><v>40</v></cell><cell r="F5"><v>44243</v></cell><cell r="G5"><v>300</v></cell><cell r="H5"><v>300</v></cell><cell r="I5"><v>8</v></cell><cell r="J5"><v>10</v></cell><cell r="K5"><v>1</v></cell><cell r="L5"><v>0</v></cell><cell r="M5"><v>0</v></cell><cell r="N5"><v>17</v></cell></row><row r="6"><cell r="A6" t="str"><v>CFDTN1_SEC_WALL_CBDB_1</v></cell><cell r="B6" t="str"><v>CFDTN1;DC SYS01</v></cell><cell r="C6" t="str"><v>CFDTN1</v></cell><cell r="D6"><v>0</v></cell><cell r="E6"><v>0</v></cell><cell r="F6"><v>45055</v></cell><cell r="G6"><v>50</v></cell><cell r="H6"><v>50</v></cell><cell r="I6"><v>0</v></cell><cell r="J6"><v>3</v></cell><cell r="K6"><v>0</v></cell><cell r="L6"><v>0</v></cell><cell r="M6"><v>0</v></cell><cell r="N6"><v>0</v></cell></row><row r="7"><cell r="A7" t="str"><v>CFDTN1_SEC_WALL_CBDB_2</v></cell><cell r="B7" t="str"><v>CFDTN1;DC SYS01</v></cell><cell r="C7" t="str"><v>CFDTN1</v></cell><cell r="D7"><v>0</v></cell><cell r="E7"><v>0</v></cell><cell r="F7"><v>45055</v></cell><cell r="G7"><v>100</v></cell><cell r="H7"><v>0</v></cell><cell r="I7"><v>0</v></cell><cell r="J7"><v>0</v></cell><cell r="K7"><v>0</v></cell><cell r="L7"><v>0</v></cell><cell r="M7"><v>0</v></cell><cell r="N7"><v>0</v></cell></row><row r="8"><cell r="A8" t="str"><v>CFDTN1_SEC_WALL_CBDB_3</v></cell><cell r="B8" t="str"><v>CFDTN1;DC SYS01</v></cell><cell r="C8" t="str"><v>CFDTN1</v></cell><cell r="D8"><v>0</v></cell><cell r="E8"><v>0</v></cell><cell r="F8"><v>45055</v></cell><cell r="G8"><v>0</v></cell><cell r="H8"><v>0</v></cell><cell r="I8"><v>0</v></cell><cell r="J8"><v>0</v></cell><cell r="K8"><v>0</v></cell><cell r="L8"><v>2</v></cell><cell r="M8"><v>0</v></cell><cell r="N8"><v>0</v></cell></row><row r="9"><cell r="A9" t="str"><v>CFDTN1_SEC_WALL_CBDB_4</v></cell><cell r="B9" t="str"><v>CFDTN1;DC SYS01</v></cell><cell r="C9" t="str"><v>CFDTN1</v></cell><cell r="D9"><v>0</v></cell><cell r="E9"><v>0</v></cell><cell r="F9"><v>45055</v></cell><cell r="G9"><v>375</v></cell><cell r="H9"><v>0</v></cell><cell r="I9"><v>0</v></cell><cell r="J9"><v>1</v></cell><cell r="K9"><v>0</v></cell><cell r="L9"><v>0</v></cell><cell r="M9"><v>0</v></cell><cell r="N9"><v>2</v></cell></row><row r="10"><cell r="A10" t="str"><v>CFDTN1_SYS01_PER_01</v></cell><cell r="B10" t="str"><v>CFDTN1;DC SYS01</v></cell><cell r="C10" t="str"><v>CFDTN1</v></cell><cell r="D10"><v>0</v></cell><cell r="E10"><v>0</v></cell><cell r="F10"><v>0</v></cell><cell r="G10"><v>300</v></cell><cell r="H10"><v>300</v></cell><cell r="I10"><v>0</v></cell><cell r="J10"><v>0</v></cell><cell r="K10"><v>0</v></cell><cell r="L10"><v>0</v></cell><cell r="M10"><v>0</v></cell><cell r="N10"><v>0</v></cell></row><row r="11"><cell r="A11" t="str"><v>KLNN01 DCDB01</v></cell><cell r="B11" t="str"><v>KLNN01;DC SYS01</v></cell><cell r="C11" t="str"><v>KLNN01</v></cell><cell r="D11" t="str"><v>EOS ONLY</v></cell></row><row r="12"><cell r="A12" t="str"><v>NRWN51_SEC_CBDB_BC01</v></cell><cell r="B12" t="str"><v>NRWN51;DC SYS01</v></cell><cell r="C12" t="str"><v>NRWN51</v></cell><cell r="D12"><v>20</v></cell><cell r="E12"><v>20</v></cell><cell r="F12"><v>44118</v></cell><cell r="G12"><v>300</v></cell><cell r="H12"><v>300</v></cell><cell r="I12"><v>10</v></cell><cell r="J12"><v>6</v></cell><cell r="K12"><v>4</v></cell><cell r="L12"><v>0</v></cell><cell r="M12"><v>0</v></cell><cell r="N12"><v>20</v></cell></row><row r="13"><cell r="A13" t="str"><v>NRW TN1_SEC_CBDB_P01</v></cell><cell r="B13" t="str"><v>NRWTN1;DC SYS01</v></cell><cell r="C13" t="str"><v>NRWTN1</v></cell><cell r="D13"><v>0</v></cell><cell r="E13"><v>0</v></cell><cell r="F13"><v>0</v></cell><cell r="G13"><v>300</v></cell><cell r="H13"><v>300</v></cell><cell r="I13"><v>0</v></cell><cell r="J13"><v>4</v></cell><cell r="K13"><v>0</v></cell><cell r="L13"><v>0</v></cell><cell r="M13"><v>0</v></cell><cell r="N13"><v>0</v></cell></row><row r="14"><cell r="A14" t="str"><v>NRW TN1_SEC_WALL_CBDB1</v></cell><cell r="B14" t="str"><v>NRWTN1;DC SYS01</v></cell><cell r="C14" t="str"><v>NRWTN1</v></cell><cell r="D14"><v>0</v></cell><cell r="E14"><v>0</v></cell><cell r="F14"><v>0</v></cell><cell r="G14"><v>80</v></cell><cell r="H14"><v>0</v></cell><cell r="I14"><v>0</v></cell><cell r="J14"><v>0</v></cell><cell r="K14"><v>0</v></cell><cell r="L14"><v>0</v></cell><cell r="M14"><v>0</v></cell><cell r="N14"><v>0</v></cell></row><row r="15"><cell r="A15" t="str"><v>NRW TN1_SEC_WALL_CBDB2</v></cell><cell r="B15" t="str"><v>NRWTN1;DC SYS01</v></cell><cell r="C15" t="str"><v>NRWTN1</v></cell><cell r="D15"><v>0</v></cell><cell r="E15"><v>0</v></cell><cell r="F15"><v>0</v></cell><cell r="G15"><v>300</v></cell><cell r="H15"><v>300</v></cell><cell r="I15"><v>0</v></cell><cell r="J15"><v>0</v></cell><cell r="K15"><v>0</v></cell><cell r="L15"><v>0</v></cell><cell r="M15"><v>0</v></cell><cell r="N15"><v>0</v></cell></row><row r="16"><cell r="A16" t="str"><v>NRWTN1_SYS01_PER01</v></cell><cell r="B16" t="str"><v>NRWTN1;DC SYS01</v></cell><cell r="C16" t="str"><v>NRWTN1</v></cell><cell r="D16"><v>0</v></cell><cell r="E16"><v>0</v></cell><cell r="F16"><v>0</v></cell><cell r="G16"><v>300</v></cell><cell r="H16"><v>300</v></cell><cell r="I16"><v>0</v></cell><cell r="J16"><v>2</v></cell><cell r="K16"><v>0</v></cell><cell r="L16"><v>0</v></cell><cell r="M16"><v>0</v></cell><cell r="N16"><v>0</v></cell></row><row r="17"><cell r="A17" t="str"><v>PTBTN1_SEC_DD770_DE16</v></cell><cell r="B17" t="str"><v>PTBTN1;DC SYS01</v></cell><cell r="C17" t="str"><v>PTBTN1</v></cell><cell r="D17"><v>85</v></cell><cell r="E17"><v>85</v></cell><cell r="F17"><v>45096</v></cell><cell r="G17"><v>300</v></cell><cell r="H17"><v>300</v></cell><cell r="I17"><v>0</v></cell><cell r="J17"><v>2</v></cell><cell r="K17"><v>0</v></cell><cell r="L17"><v>10</v></cell><cell r="M17"><v>9</v></cell><cell r="N17"><v>0</v></cell></row><row r="18"><cell r="A18" t="str"><v>PTBTN1_SEC_DD770_JH16</v></cell><cell r="B18" t="str"><v>PTBTN1;DC SYS01</v></cell><cell r="C18" t="str"><v>PTBTN1</v></cell><cell r="D18"><v>100</v></cell><cell r="E18"><v>105</v></cell><cell r="F18"><v>45096</v></cell><cell r="G18"><v>300</v></cell><cell r="H18"><v>300</v></cell><cell r="I18"><v>5</v></cell><cell r="J18"><v>1</v></cell><cell r="K18"><v>1</v></cell><cell r="L18"><v>10</v></cell><cell r="M18"><v>3</v></cell><cell r="N18"><v>0</v></cell></row><row r="19"><cell r="A19" t="str"><v>WTT_SEC_CBDB_01 - ignore</v></cell><cell r="B19" t="str"><v>WTT;DC SYS01</v></cell><cell r="C19" t="str"><v>WTT</v></cell><cell r="D19"><v>0</v></cell><cell r="E19"><v>0</v></cell><cell r="F19"><v>0</v></cell><cell r="G19"><v>300</v></cell><cell r="H19"><v>300</v></cell><cell r="I19"><v>0</v></cell><cell r="J19"><v>0</v></cell><cell r="K19"><v>0</v></cell><cell r="L19"><v>0</v></cell><cell r="M19"><v>0</v></cell><cell r="N19"><v>0</v></cell></row><row r="20"><cell r="A20" t="str"><v>WTT_SEC_CBDB_02 - ignore</v></cell><cell r="B20" t="str"><v>WTT;DC SYS01</v></cell><cell r="C20" t="str"><v>WTT</v></cell><cell r="D20"><v>0</v></cell><cell r="E20"><v>0</v></cell><cell r="F20"><v>0</v></cell><cell r="G20"><v>300</v></cell><cell r="H20"><v>300</v></cell><cell r="I20"><v>0</v></cell><cell r="J20"><v>0</v></cell><cell r="K20"><v>0</v></cell><cell r="L20"><v>0</v></cell><cell r="M20"><v>0</v></cell><cell r="N20"><v>0</v></cell></row><row r="21"><cell r="A21" t="str"><v>WTT_SEC_DCDB_CD10</v></cell><cell r="B21" t="str"><v>WTT;DC SYS01</v></cell><cell r="C21" t="str"><v>WTT</v></cell><cell r="D21"><v>25</v></cell><cell r="E21"><v>25</v></cell><cell r="F21"><v>45056</v></cell><cell r="G21"><v>300</v></cell><cell r="H21"><v>300</v></cell><cell r="I21"><v>0</v></cell><cell r="J21"><v>1</v></cell><cell r="K21"><v>5</v></cell><cell r="L21"><v>2</v></cell><cell r="M21"><v>0</v></cell><cell r="N21"><v>0</v></cell></row><row r="22"><cell r="A22" t="str"><v>BFTN03 - Ignore this line </v></cell><cell r="B22" t="str"><v>BFTN03;DC SYS01</v></cell><cell r="C22" t="str"><v>BFTN03</v></cell><cell r="D22" t="str"><v>No records</v></cell></row><row r="23"><cell r="A23" t="str"><v>ACTN01_PDU1A_B</v></cell><cell r="B23" t="str"><v>ACTN01;DC SYS01</v></cell><cell r="C23" t="str"><v>ACTN01</v></cell><cell r="D23"><v>204.47</v></cell><cell r="E23"><v>65.83</v></cell><cell r="F23"><v>45665</v></cell><cell r="G23"><v>360</v></cell><cell r="H23"><v>360</v></cell></row><row r="24"><cell r="A24" t="str"><v>ACTN01_SEC_CBDB_ALAM1_04 - CAPPED - Do not Allocate</v></cell><cell r="B24" t="str"><v>ACTN01;DC SYS01</v></cell><cell r="C24" t="str"><v>ACTN01</v></cell><cell r="D24"><v>260</v></cell><cell r="E24"><v>250</v></cell><cell r="F24"><v>44182</v></cell><cell r="G24"><v>300</v></cell><cell r="H24"><v>300</v></cell><cell r="I24"><v>0</v></cell><cell r="J24"><v>0</v></cell><cell r="K24"><v>0</v></cell><cell r="L24"><v>0</v></cell><cell r="M24"><v>0</v></cell><cell r="N24"><v>4</v></cell></row><row r="25"><cell r="A25" t="str"><v>ACTN01_SEC_DD770_ACAD1_01</v></cell><cell r="B25" t="str"><v>ACTN01;DC SYS01</v></cell><cell r="C25" t="str"><v>ACTN01</v></cell><cell r="D25"><v>100</v></cell><cell r="E25"><v>100</v></cell><cell r="F25"><v>45078</v></cell><cell r="G25"><v>300</v></cell><cell r="H25"><v>300</v></cell><cell r="I25"><v>1</v></cell><cell r="J25"><v>0</v></cell><cell r="K25"><v>0</v></cell><cell r="L25"><v>17</v></cell><cell r="M25"><v>8</v></cell><cell r="N25"><v>0</v></cell></row><row r="26"><cell r="A26" t="str"><v>ACTN01_SEC_DD770_AEAF1_02</v></cell><cell r="B26" t="str"><v>ACTN01;DC SYS01</v></cell><cell r="C26" t="str"><v>ACTN01</v></cell><cell r="D26"><v>140</v></cell><cell r="E26"><v>190</v></cell><cell r="F26"><v>45078</v></cell><cell r="G26"><v>300</v></cell><cell r="H26"><v>300</v></cell><cell r="I26"><v>3</v></cell><cell r="J26"><v>6</v></cell><cell r="K26"><v>0</v></cell><cell r="L26"><v>2</v></cell><cell r="M26"><v>12</v></cell><cell r="N26"><v>0</v></cell></row><row r="27"><cell r="A27" t="str"><v>ACTN01_SEC_DD770_AGAH1_03</v></cell><cell r="B27" t="str"><v>ACTN01;DC SYS01</v></cell><cell r="C27" t="str"><v>ACTN01</v></cell><cell r="D27"><v>110</v></cell><cell r="E27"><v>120</v></cell><cell r="F27"><v>45084</v></cell><cell r="G27"><v>300</v></cell><cell r="H27"><v>300</v></cell><cell r="I27"><v>5</v></cell><cell r="J27"><v>6</v></cell><cell r="K27"><v>0</v></cell><cell r="L27"><v>2</v></cell><cell r="M27"><v>10</v></cell><cell r="N27"><v>0</v></cell></row><row r="28"><cell r="A28" t="str"><v>ACTN01_SEC_DD770_ATAS1_05</v></cell><cell r="B28" t="str"><v>ACTN01;DC SYS01</v></cell><cell r="C28" t="str"><v>ACTN01</v></cell><cell r="D28"><v>74</v></cell><cell r="E28"><v>73</v></cell><cell r="F28"><v>45078</v></cell><cell r="G28"><v>200</v></cell><cell r="H28"><v>200</v></cell><cell r="I28"><v>0</v></cell><cell r="J28"><v>0</v></cell><cell r="K28"><v>4</v></cell><cell r="L28"><v>0</v></cell><cell r="M28"><v>0</v></cell><cell r="N28"><v>23</v></cell></row><row r="29"><cell r="A29" t="str"><v>BHWCN1_SYS_DCDB_WALL</v></cell><cell r="B29" t="str"><v>BHWCN1;DC SYS01</v></cell><cell r="C29" t="str"><v>BHWCN1</v></cell><cell r="D29" t="str"><v>90A</v></cell><cell r="E29" t="str"><v>90A</v></cell><cell r="F29"><v>42816</v></cell><cell r="G29"><v>375</v></cell><cell r="H29"><v>375</v></cell><cell r="I29"><v>0</v></cell><cell r="J29"><v>7</v></cell><cell r="K29"><v>1</v></cell><cell r="L29"><v>0</v></cell><cell r="M29"><v>1</v></cell><cell r="N29"><v>0</v></cell></row><row r="30"><cell r="A30" t="str"><v>BTFTB1_PDU1A_B</v></cell><cell r="B30" t="str"><v>BTFTB1;DC SYS02</v></cell><cell r="C30" t="str"><v>BTFTB1</v></cell><cell r="D30"><v>342.13</v></cell><cell r="E30"><v>313.81</v></cell><cell r="F30"><v>45665</v></cell><cell r="G30"><v>600</v></cell><cell r="H30"><v>600</v></cell></row><row r="31"><cell r="A31" t="str"><v>Capped_BTFTB1_SEC_DCDB_C11</v></cell><cell r="B31" t="str"><v>BTFTB1;DC SYS01</v></cell><cell r="C31" t="str"><v>BTFTB1</v></cell><cell r="D31"><v>250</v></cell><cell r="E31"><v>250</v></cell><cell r="F31"><v>44258</v></cell><cell r="G31"><v>300</v></cell><cell r="H31"><v>300</v></cell><cell r="I31"><v>0</v></cell><cell r="J31"><v>0</v></cell><cell r="K31"><v>0</v></cell><cell r="L31"><v>0</v></cell><cell r="M31"><v>6</v></cell><cell r="N31"><v>13</v></cell></row><row r="32"><cell r="A32" t="str"><v>Capped_BTFTB1_SEC_DCDB_Suite K14</v></cell><cell r="B32" t="str"><v>BTFTB1;DC SYS01</v></cell><cell r="C32" t="str"><v>BTFTB1</v></cell><cell r="D32"><v>250</v></cell><cell r="E32"><v>250</v></cell><cell r="F32"><v>44258</v></cell><cell r="G32"><v>300</v></cell><cell r="H32"><v>300</v></cell><cell r="I32"><v>0</v></cell><cell r="J32"><v>0</v></cell><cell r="K32"><v>0</v></cell><cell r="L32"><v>0</v></cell><cell r="M32"><v>0</v></cell><cell r="N32"><v>25</v></cell></row><row r="33"><cell r="A33" t="str"><v>CHTN07_SEC_DD770_00_AB09</v></cell><cell r="B33" t="str"><v>CHTN07;DC SYS01</v></cell><cell r="C33" t="str"><v>CHTN07</v></cell><cell r="D33"><v>50</v></cell><cell r="E33"><v>50</v></cell><cell r="F33"><v>44966</v></cell><cell r="G33"><v>300</v></cell><cell r="H33"><v>300</v></cell><cell r="I33"><v>5</v></cell><cell r="J33"><v>0</v></cell><cell r="K33"><v>6</v></cell><cell r="L33"><v>14</v></cell><cell r="M33"><v>12</v></cell><cell r="N33"><v>0</v></cell></row><row r="34"><cell r="A34" t="str"><v>CHTN07_SEC_DD770_01_CD09</v></cell><cell r="B34" t="str"><v>CHTN07;DC SYS01</v></cell><cell r="C34" t="str"><v>CHTN07</v></cell><cell r="D34"><v>90</v></cell><cell r="E34"><v>100</v></cell><cell r="F34"><v>45071</v></cell><cell r="G34"><v>300</v></cell><cell r="H34"><v>300</v></cell><cell r="I34"><v>1</v></cell><cell r="J34"><v>2</v></cell><cell r="K34"><v>0</v></cell><cell r="L34"><v>20</v></cell><cell r="M34"><v>12</v></cell><cell r="N34"><v>0</v></cell></row><row r="35"><cell r="A35" t="str"><v>CHTN07_SEC_DD770_02_JK01</v></cell><cell r="B35" t="str"><v>CHTN07;DC SYS01</v></cell><cell r="C35" t="str"><v>CHTN07</v></cell><cell r="D35"><v>80</v></cell><cell r="E35"><v>80</v></cell><cell r="F35"><v>44966</v></cell><cell r="G35"><v>300</v></cell><cell r="H35"><v>300</v></cell><cell r="I35"><v>4</v></cell><cell r="J35"><v>0</v></cell><cell r="K35"><v>0</v></cell><cell r="L35"><v>4</v></cell><cell r="M35"><v>11</v></cell><cell r="N35"><v>0</v></cell></row><row r="36"><cell r="A36" t="str"><v>CHTN07_SEC_DD770_03_YZ01</v></cell><cell r="B36" t="str"><v>CHTN07;DC SYS01</v></cell><cell r="C36" t="str"><v>CHTN07</v></cell><cell r="D36"><v>60</v></cell><cell r="E36"><v>60</v></cell><cell r="F36"><v>44966</v></cell><cell r="G36"><v>300</v></cell><cell r="H36"><v>300</v></cell><cell r="I36"><v>4</v></cell><cell r="J36"><v>4</v></cell><cell r="K36"><v>3</v></cell><cell r="L36"><v>6</v></cell><cell r="M36"><v>0</v></cell><cell r="N36"><v>20</v></cell></row><row r="37"><cell r="A37" t="str"><v>CHTN07_SEC_DD770_06_WALL_AM AN</v></cell><cell r="B37" t="str"><v>CHTN07;DC SYS01</v></cell><cell r="C37" t="str"><v>CHTN07</v></cell><cell r="D37"><v>10</v></cell><cell r="E37"><v>10</v></cell><cell r="F37"><v>44966</v></cell><cell r="G37"><v>250</v></cell><cell r="H37"><v>250</v></cell><cell r="I37"><v>0</v></cell><cell r="J37"><v>0</v></cell><cell r="K37"><v>4</v></cell><cell r="L37"><v>4</v></cell><cell r="M37"><v>6</v></cell><cell r="N37"><v>29</v></cell></row><row r="38"><cell r="A38" t="str"><v>CHTN07_SEC_DD770_AA AB01</v></cell><cell r="B38" t="str"><v>CHTN07;DC SYS01</v></cell><cell r="C38" t="str"><v>CHTN07</v></cell><cell r="D38"><v>180</v></cell><cell r="E38"><v>180</v></cell><cell r="F38"><v>44966</v></cell><cell r="G38"><v>300</v></cell><cell r="H38"><v>300</v></cell><cell r="I38"><v>7</v></cell><cell r="J38"><v>0</v></cell><cell r="K38"><v>5</v></cell><cell r="L38"><v>0</v></cell><cell r="M38"><v>0</v></cell><cell r="N38"><v>17</v></cell></row><row r="39"><cell r="A39" t="str"><v>CHTN07_SEC_DD770_AK00</v></cell><cell r="B39" t="str"><v>CHTN07;DC SYS01</v></cell><cell r="C39" t="str"><v>CHTN07</v></cell><cell r="D39"><v>320</v></cell><cell r="E39"><v>320</v></cell><cell r="F39"><v>44966</v></cell><cell r="G39"><v>300</v></cell><cell r="H39"><v>300</v></cell><cell r="I39"><v>3</v></cell><cell r="J39"><v>2</v></cell><cell r="K39"><v>0</v></cell><cell r="L39"><v>0</v></cell><cell r="M39"><v>5</v></cell><cell r="N39"><v>10</v></cell></row><row r="40"><cell r="A40" t="str"><v>CHTN07_SEC_DD770_NP01</v></cell><cell r="B40" t="str"><v>CHTN07;DC SYS01</v></cell><cell r="C40" t="str"><v>CHTN07</v></cell><cell r="D40"><v>50</v></cell><cell r="E40"><v>40</v></cell><cell r="F40"><v>44469</v></cell><cell r="G40"><v>300</v></cell><cell r="H40"><v>300</v></cell><cell r="I40"><v>1</v></cell><cell r="J40"><v>0</v></cell><cell r="K40"><v>0</v></cell><cell r="L40"><v>0</v></cell><cell r="M40"><v>4</v></cell><cell r="N40"><v>43</v></cell></row><row r="41"><cell r="A41" t="str"><v>CHTN07_SEC_DD770_UV01</v></cell><cell r="B41" t="str"><v>CHTN07;DC SYS01</v></cell><cell r="C41" t="str"><v>CHTN07</v></cell><cell r="D41"><v>120</v></cell><cell r="E41"><v>120</v></cell><cell r="F41"><v>44966</v></cell><cell r="G41"><v>300</v></cell><cell r="H41"><v>300</v></cell><cell r="I41"><v>0</v></cell><cell r="J41"><v>0</v></cell><cell r="K41"><v>11</v></cell><cell r="L41"><v>0</v></cell><cell r="M41"><v>3</v></cell><cell r="N41"><v>31</v></cell></row><row r="42"><cell r="A42" t="str"><v>CHTN07_SEC_DD770_WX01</v></cell><cell r="B42" t="str"><v>CHTN07;DC SYS01</v></cell><cell r="C42" t="str"><v>CHTN07</v></cell><cell r="D42"><v>100</v></cell><cell r="E42"><v>100</v></cell><cell r="F42"><v>44966</v></cell><cell r="G42"><v>300</v></cell><cell r="H42"><v>300</v></cell><cell r="I42"><v>3</v></cell><cell r="J42"><v>0</v></cell><cell r="K42"><v>0</v></cell><cell r="L42"><v>0</v></cell><cell r="M42"><v>3</v></cell><cell r="N42"><v>36</v></cell></row><row r="43"><cell r="A43" t="str"><v>CHTN07_SEC_WALL_Eaton_AG AH</v></cell><cell r="B43" t="str"><v>CHTN07;DC SYS01</v></cell><cell r="C43" t="str"><v>CHTN07</v></cell><cell r="D43" t="str"><v>N/A</v></cell><cell r="E43" t="str"><v>N/A</v></cell><cell r="F43"><v>44966</v></cell><cell r="G43"><v>300</v></cell><cell r="H43"><v>300</v></cell><cell r="I43"><v>8</v></cell><cell r="J43"><v>0</v></cell><cell r="K43"><v>30</v></cell><cell r="L43"><v>0</v></cell><cell r="M43"><v>0</v></cell><cell r="N43"><v>5</v></cell></row><row r="44"><cell r="A44" t="str"><v>CHTTN3_PDU1A_B</v></cell><cell r="B44" t="str"><v>CHTTN3;DC SYS01A</v></cell><cell r="C44" t="str"><v>CHTTN3</v></cell><cell r="D44"><v>252.67</v></cell><cell r="E44"><v>243.58</v></cell><cell r="F44"><v>45665</v></cell><cell r="G44"><v>600</v></cell><cell r="H44"><v>600</v></cell></row><row r="45"><cell r="A45" t="str"><v>CHTTN3_SEC_WALL_DCDB_ 02</v></cell><cell r="B45" t="str"><v>CHTTN3;DC SYS01A</v></cell><cell r="C45" t="str"><v>CHTTN3</v></cell><cell r="D45"><v>0</v></cell><cell r="E45"><v>0</v></cell><cell r="F45"><v>0</v></cell><cell r="G45"><v>300</v></cell><cell r="H45"><v>300</v></cell><cell r="I45"><v>0</v></cell><cell r="J45"><v>2</v></cell><cell r="K45"><v>0</v></cell><cell r="L45"><v>0</v></cell><cell r="M45"><v>0</v></cell><cell r="N45"><v>0</v></cell></row><row r="46"><cell r="A46" t="str"><v>CHTTN3_SEC_WALL_DCDB_ 04</v></cell><cell r="B46" t="str"><v>CHTTN3;DC SYS01A</v></cell><cell r="C46" t="str"><v>CHTTN3</v></cell><cell r="D46"><v>65</v></cell><cell r="E46"><v>75</v></cell><cell r="F46"><v>44967</v></cell><cell r="G46"><v>300</v></cell><cell r="H46"><v>300</v></cell><cell r="I46"><v>0</v></cell><cell r="J46"><v>0</v></cell><cell r="K46"><v>1</v></cell><cell r="L46"><v>1</v></cell><cell r="M46"><v>0</v></cell><cell r="N46"><v>37</v></cell></row><row r="47"><cell r="A47" t="str"><v>CYNTN2_SEC_DD770_BE08_DB1</v></cell><cell r="B47" t="str"><v>CYNTN2;DC SYS01</v></cell><cell r="C47" t="str"><v>CYNTN2</v></cell><cell r="D47"><v>125</v></cell><cell r="E47"><v>125</v></cell><cell r="F47"><v>45110</v></cell><cell r="G47"><v>300</v></cell><cell r="H47"><v>300</v></cell><cell r="I47"><v>0</v></cell><cell r="J47"><v>0</v></cell><cell r="K47"><v>0</v></cell><cell r="L47"><v>3</v></cell><cell r="M47"><v>4</v></cell><cell r="N47"><v>0</v></cell></row><row r="48"><cell r="A48" t="str"><v>CYNTN2_SEC_DD770_BG08_DB2</v></cell><cell r="B48" t="str"><v>CYNTN2;DC SYS01</v></cell><cell r="C48" t="str"><v>CYNTN2</v></cell><cell r="D48"><v>125</v></cell><cell r="E48"><v>126</v></cell><cell r="F48"><v>45110</v></cell><cell r="G48"><v>300</v></cell><cell r="H48"><v>300</v></cell><cell r="I48"><v>0</v></cell><cell r="J48"><v>1</v></cell><cell r="K48"><v>3</v></cell><cell r="L48"><v>6</v></cell><cell r="M48"><v>8</v></cell><cell r="N48"><v>0</v></cell></row><row r="49"><cell r="A49" t="str"><v>CYNTN2_SEC_DD770_BM02_DB5</v></cell><cell r="B49" t="str"><v>CYNTN2;DC SYS01</v></cell><cell r="C49" t="str"><v>CYNTN2</v></cell><cell r="D49"><v>150</v></cell><cell r="E49"><v>150</v></cell><cell r="F49"><v>45110</v></cell><cell r="G49"><v>300</v></cell><cell r="H49"><v>300</v></cell><cell r="I49"><v>0</v></cell><cell r="J49"><v>2</v></cell><cell r="K49"><v>1</v></cell><cell r="L49"><v>9</v></cell><cell r="M49"><v>8</v></cell><cell r="N49"><v>0</v></cell></row><row r="50"><cell r="A50" t="str"><v>CYNTN2_SEC_DD770_J01_DB3</v></cell><cell r="B50" t="str"><v>CYNTN2;DC SYS01</v></cell><cell r="C50" t="str"><v>CYNTN2</v></cell><cell r="D50"><v>90</v></cell><cell r="E50"><v>90</v></cell><cell r="F50"><v>45110</v></cell><cell r="G50"><v>250</v></cell><cell r="H50"><v>250</v></cell><cell r="I50"><v>0</v></cell><cell r="J50"><v>1</v></cell><cell r="K50"><v>0</v></cell><cell r="L50"><v>0</v></cell><cell r="M50"><v>0</v></cell><cell r="N50"><v>0</v></cell></row><row r="51"><cell r="A51" t="str"><v>Waddon_DCDB</v></cell><cell r="B51" t="str"><v>WADN01;DC SYS01</v></cell><cell r="C51" t="str"><v>WADN01</v></cell><cell r="D51"><v>0</v></cell><cell r="E51"><v>0</v></cell><cell r="F51"><v>0</v></cell><cell r="G51"><v>300</v></cell><cell r="H51"><v>300</v></cell><cell r="I51"><v>0</v></cell><cell r="J51"><v>0</v></cell><cell r="K51"><v>0</v></cell><cell r="L51"><v>0</v></cell><cell r="M51"><v>0</v></cell><cell r="N51"><v>0</v></cell></row><row r="52"><cell r="A52" t="str"><v>DKTN08_SEC_DD770_CD01_01</v></cell><cell r="B52" t="str"><v>DKTN08; DC SYS01</v></cell><cell r="C52" t="str"><v>DKTN08</v></cell><cell r="D52"><v>120</v></cell><cell r="E52"><v>140</v></cell><cell r="F52"><v>44105</v></cell><cell r="G52"><v>300</v></cell><cell r="H52"><v>300</v></cell><cell r="I52"><v>5</v></cell><cell r="J52"><v>6</v></cell><cell r="K52"><v>9</v></cell><cell r="L52"><v>4</v></cell><cell r="M52"><v>9</v></cell><cell r="N52"><v>0</v></cell></row><row r="53"><cell r="A53" t="str"><v>DKTN08_SEC_DD770_EF01_02</v></cell><cell r="B53" t="str"><v>DKTN08; DC SYS01</v></cell><cell r="C53" t="str"><v>DKTN08</v></cell><cell r="D53"><v>80</v></cell><cell r="E53"><v>80</v></cell><cell r="F53"><v>44105</v></cell><cell r="G53"><v>300</v></cell><cell r="H53"><v>300</v></cell><cell r="I53"><v>6</v></cell><cell r="J53"><v>6</v></cell><cell r="K53"><v>11</v></cell><cell r="L53"><v>8</v></cell><cell r="M53"><v>11</v></cell><cell r="N53"><v>0</v></cell></row><row r="54"><cell r="A54" t="str"><v>DKTN08_SEC_DD770_JK01_03</v></cell><cell r="B54" t="str"><v>DKTN08; DC SYS01</v></cell><cell r="C54" t="str"><v>DKTN08</v></cell><cell r="D54"><v>50</v></cell><cell r="E54"><v>60</v></cell><cell r="F54"><v>44105</v></cell><cell r="G54"><v>300</v></cell><cell r="H54"><v>300</v></cell><cell r="I54"><v>5</v></cell><cell r="J54"><v>5</v></cell><cell r="K54"><v>12</v></cell><cell r="L54"><v>14</v></cell><cell r="M54"><v>11</v></cell><cell r="N54"><v>12</v></cell></row><row r="55"><cell r="A55" t="str"><v>DKTN08_SEC_DD770_LM01_04</v></cell><cell r="B55" t="str"><v>DKTN08; DC SYS01</v></cell><cell r="C55" t="str"><v>DKTN08</v></cell><cell r="D55"><v>150</v></cell><cell r="E55"><v>170</v></cell><cell r="F55"><v>44105</v></cell><cell r="G55"><v>300</v></cell><cell r="H55"><v>300</v></cell><cell r="I55"><v>6</v></cell><cell r="J55"><v>4</v></cell><cell r="K55"><v>0</v></cell><cell r="L55"><v>1</v></cell><cell r="M55"><v>12</v></cell><cell r="N55"><v>0</v></cell></row><row r="56"><cell r="A56" t="str"><v>DKTN08_SEC_DD770_QR01_05</v></cell><cell r="B56" t="str"><v>DKTN08; DC SYS01</v></cell><cell r="C56" t="str"><v>DKTN08</v></cell><cell r="D56"><v>150</v></cell><cell r="E56"><v>130</v></cell><cell r="F56"><v>44105</v></cell><cell r="G56"><v>300</v></cell><cell r="H56"><v>300</v></cell><cell r="I56"><v>4</v></cell><cell r="J56"><v>0</v></cell><cell r="K56"><v>0</v></cell><cell r="L56"><v>21</v></cell><cell r="M56"><v>11</v></cell><cell r="N56"><v>0</v></cell></row><row r="57"><cell r="A57" t="str"><v>HRWN02_SEC_DD770_CD01</v></cell><cell r="B57" t="str"><v>HRWN02;DC SYS01</v></cell><cell r="C57" t="str"><v>HRWN02</v></cell><cell r="D57"><v>40</v></cell><cell r="E57"><v>30</v></cell><cell r="F57"><v>44105</v></cell><cell r="G57"><v>300</v></cell><cell r="H57"><v>300</v></cell><cell r="I57"><v>4</v></cell><cell r="J57"><v>1</v></cell><cell r="K57"><v>5</v></cell><cell r="L57"><v>9</v></cell><cell r="M57"><v>11</v></cell><cell r="N57"><v>0</v></cell></row><row r="58"><cell r="A58" t="str"><v>HRWN02_SEC_DD770_GH01</v></cell><cell r="B58" t="str"><v>HRWN02;DC SYS01</v></cell><cell r="C58" t="str"><v>HRWN02</v></cell><cell r="D58"><v>80</v></cell><cell r="E58"><v>100</v></cell><cell r="F58"><v>44105</v></cell><cell r="G58"><v>300</v></cell><cell r="H58"><v>300</v></cell><cell r="I58"><v>1</v></cell><cell r="J58"><v>0</v></cell><cell r="K58"><v>0</v></cell><cell r="L58"><v>11</v></cell><cell r="M58"><v>9</v></cell><cell r="N58"><v>0</v></cell></row><row r="59"><cell r="A59" t="str"><v>DCDB _C4.</v></cell><cell r="B59" t="str"><v>IODN01;DC SYS01</v></cell><cell r="C59" t="str"><v>IODN01</v></cell><cell r="D59"><v>105</v></cell><cell r="E59"><v>95</v></cell><cell r="F59"><v>44217</v></cell><cell r="G59"><v>300</v></cell><cell r="H59"><v>300</v></cell><cell r="I59"><v>2</v></cell><cell r="J59"><v>0</v></cell><cell r="K59"><v>0</v></cell><cell r="L59"><v>0</v></cell><cell r="M59"><v>2</v></cell><cell r="N59"><v>34</v></cell></row><row r="60"><cell r="A60" t="str"><v>DCDB _E04</v></cell><cell r="B60" t="str"><v>IODN01;DC SYS01</v></cell><cell r="C60" t="str"><v>IODN01</v></cell><cell r="D60"><v>25</v></cell><cell r="E60"><v>25</v></cell><cell r="F60"><v>44161</v></cell><cell r="G60"><v>300</v></cell><cell r="H60"><v>300</v></cell><cell r="I60"><v>2</v></cell><cell r="J60"><v>0</v></cell><cell r="K60"><v>0</v></cell><cell r="L60"><v>2</v></cell><cell r="M60"><v>2</v></cell><cell r="N60"><v>55</v></cell></row><row r="61"><cell r="A61" t="str"><v>DCDB _G04</v></cell><cell r="B61" t="str"><v>IODN01;DC SYS01</v></cell><cell r="C61" t="str"><v>IODN01</v></cell><cell r="D61"><v>125</v></cell><cell r="E61"><v>120</v></cell><cell r="F61"><v>44161</v></cell><cell r="G61"><v>300</v></cell><cell r="H61"><v>300</v></cell><cell r="I61"><v>2</v></cell><cell r="J61"><v>0</v></cell><cell r="K61"><v>0</v></cell><cell r="L61"><v>1</v></cell><cell r="M61"><v>2</v></cell><cell r="N61"><v>37</v></cell></row><row r="62"><cell r="A62" t="str"><v>DCDB _J04</v></cell><cell r="B62" t="str"><v>IODN01;DC SYS01</v></cell><cell r="C62" t="str"><v>IODN01</v></cell><cell r="D62"><v>5</v></cell><cell r="E62"><v>25</v></cell><cell r="F62"><v>44161</v></cell><cell r="G62"><v>300</v></cell><cell r="H62"><v>300</v></cell><cell r="I62"><v>0</v></cell><cell r="J62"><v>0</v></cell><cell r="K62"><v>0</v></cell><cell r="L62"><v>1</v></cell><cell r="M62"><v>2</v></cell><cell r="N62"><v>49</v></cell></row><row r="63"><cell r="A63" t="str"><v>IGNN01_SEC_CBDB_EF11</v></cell><cell r="B63" t="str"><v>IGNN01;DC SYS01</v></cell><cell r="C63" t="str"><v>IGNN01</v></cell><cell r="D63"><v>97</v></cell><cell r="E63"><v>103</v></cell><cell r="F63"><v>44229</v></cell><cell r="G63"><v>300</v></cell><cell r="H63"><v>300</v></cell><cell r="I63"><v>0</v></cell><cell r="J63"><v>0</v></cell><cell r="K63"><v>0</v></cell><cell r="L63"><v>0</v></cell><cell r="M63"><v>3</v></cell><cell r="N63"><v>0</v></cell></row><row r="64"><cell r="A64" t="str"><v>IGNN01_SEC_DD770_ CD01</v></cell><cell r="B64" t="str"><v>IGNN01;DC SYS01</v></cell><cell r="C64" t="str"><v>IGNN01</v></cell><cell r="D64"><v>75</v></cell><cell r="E64"><v>50</v></cell><cell r="F64"><v>44384</v></cell><cell r="G64"><v>300</v></cell><cell r="H64"><v>300</v></cell><cell r="I64"><v>6</v></cell><cell r="J64"><v>6</v></cell><cell r="K64"><v>0</v></cell><cell r="L64"><v>12</v></cell><cell r="M64"><v>12</v></cell><cell r="N64"><v>0</v></cell></row><row r="65"><cell r="A65" t="str"><v>IGNN01_SEC_DD770_ CD23</v></cell><cell r="B65" t="str"><v>IGNN01;DC SYS01</v></cell><cell r="C65" t="str"><v>IGNN01</v></cell><cell r="D65"><v>60</v></cell><cell r="E65"><v>40</v></cell><cell r="F65"><v>44229</v></cell><cell r="G65"><v>300</v></cell><cell r="H65"><v>300</v></cell><cell r="I65"><v>6</v></cell><cell r="J65"><v>4</v></cell><cell r="K65"><v>4</v></cell><cell r="L65"><v>20</v></cell><cell r="M65"><v>12</v></cell><cell r="N65"><v>0</v></cell></row><row r="66"><cell r="A66" t="str"><v>IGNN01_SEC_DD770_ GH01</v></cell><cell r="B66" t="str"><v>IGNN01;DC SYS01</v></cell><cell r="C66" t="str"><v>IGNN01</v></cell><cell r="D66"><v>110</v></cell><cell r="E66"><v>150</v></cell><cell r="F66"><v>44229</v></cell><cell r="G66"><v>300</v></cell><cell r="H66"><v>300</v></cell><cell r="I66"><v>6</v></cell><cell r="J66"><v>0</v></cell><cell r="K66"><v>1</v></cell><cell r="L66"><v>9</v></cell><cell r="M66"><v>12</v></cell><cell r="N66"><v>0</v></cell></row><row r="67"><cell r="A67" t="str"><v>LSWN01_SEC_DD770_DE01_03</v></cell><cell r="B67" t="str"><v>LSWN01;DC SYS01</v></cell><cell r="C67" t="str"><v>LSWN01</v></cell><cell r="D67"><v>160</v></cell><cell r="E67"><v>150</v></cell><cell r="F67"><v>44294</v></cell><cell r="G67"><v>300</v></cell><cell r="H67"><v>300</v></cell><cell r="I67"><v>2</v></cell><cell r="J67"><v>3</v></cell><cell r="K67"><v>0</v></cell><cell r="L67"><v>19</v></cell><cell r="M67"><v>9</v></cell><cell r="N67"><v>0</v></cell></row><row r="68"><cell r="A68" t="str"><v>LSWN01_SEC_DD770_FG01_02</v></cell><cell r="B68" t="str"><v>LSWN01;DC SYS01</v></cell><cell r="C68" t="str"><v>LSWN01</v></cell><cell r="D68"><v>40</v></cell><cell r="E68"><v>40</v></cell><cell r="F68"><v>45328</v></cell><cell r="G68"><v>300</v></cell><cell r="H68"><v>300</v></cell><cell r="I68"><v>1</v></cell><cell r="J68"><v>1</v></cell><cell r="K68"><v>0</v></cell><cell r="L68"><v>21</v></cell><cell r="M68"><v>12</v></cell><cell r="N68"><v>0</v></cell></row><row r="69"><cell r="A69" t="str"><v>LSWN01_SEC_DD770_JH01_01</v></cell><cell r="B69" t="str"><v>LSWN01;DC SYS01</v></cell><cell r="C69" t="str"><v>LSWN01</v></cell><cell r="D69"><v>65</v></cell><cell r="E69"><v>70</v></cell><cell r="F69"><v>44294</v></cell><cell r="G69"><v>300</v></cell><cell r="H69"><v>300</v></cell><cell r="I69"><v>6</v></cell><cell r="J69"><v>0</v></cell><cell r="K69"><v>0</v></cell><cell r="L69"><v>16</v></cell><cell r="M69"><v>6</v></cell><cell r="N69"><v>0</v></cell></row><row r="70"><cell r="A70" t="str"><v>LSWN01_SEC_DD770_PQ01_04</v></cell><cell r="B70" t="str"><v>LSWN01;DC SYS01</v></cell><cell r="C70" t="str"><v>LSWN01</v></cell><cell r="D70"><v>140</v></cell><cell r="E70"><v>140</v></cell><cell r="F70"><v>44294</v></cell><cell r="G70"><v>300</v></cell><cell r="H70"><v>300</v></cell><cell r="I70"><v>0</v></cell><cell r="J70"><v>0</v></cell><cell r="K70"><v>0</v></cell><cell r="L70"><v>3</v></cell><cell r="M70"><v>7</v></cell><cell r="N70"><v>0</v></cell></row><row r="71"><cell r="A71" t="str"><v>LSWN02_SEC_DCDB_DC01</v></cell><cell r="B71" t="str"><v>LSWN01;DC SYS01</v></cell><cell r="C71" t="str"><v>LSWN02</v></cell><cell r="D71"><v>0</v></cell><cell r="E71"><v>0</v></cell><cell r="F71"><v>0</v></cell><cell r="G71"><v>300</v></cell><cell r="H71"><v>300</v></cell><cell r="I71"><v>0</v></cell><cell r="J71"><v>0</v></cell><cell r="K71"><v>0</v></cell><cell r="L71"><v>6</v></cell><cell r="M71"><v>6</v></cell><cell r="N71"><v>39</v></cell></row><row r="72"><cell r="A72" t="str"><v>LSWN02_SEC_DCDB_EF01</v></cell><cell r="B72" t="str"><v>LSWN01;DC SYS01</v></cell><cell r="C72" t="str"><v>LSWN02</v></cell><cell r="D72"><v>0</v></cell><cell r="E72"><v>0</v></cell><cell r="F72"><v>0</v></cell><cell r="G72"><v>300</v></cell><cell r="H72"><v>300</v></cell><cell r="I72"><v>0</v></cell><cell r="J72"><v>0</v></cell><cell r="K72"><v>3</v></cell><cell r="L72"><v>6</v></cell><cell r="M72"><v>6</v></cell><cell r="N72"><v>42</v></cell></row><row r="73"><cell r="A73" t="str"><v>PRLN02;DC DB;SUITE G</v></cell><cell r="B73" t="str"><v>PRLN02;DC SYS01</v></cell><cell r="C73" t="str"><v>PRLN02</v></cell><cell r="D73"><v>150</v></cell><cell r="E73"><v>98</v></cell><cell r="F73"><v>44042</v></cell><cell r="G73"><v>0</v></cell><cell r="H73"><v>0</v></cell><cell r="I73"><v>0</v></cell><cell r="J73"><v>0</v></cell><cell r="K73"><v>1</v></cell><cell r="L73"><v>0</v></cell><cell r="M73"><v>0</v></cell><cell r="N73"><v>24</v></cell></row><row r="74"><cell r="A74" t="str"><v>RFDN11_SEC_CBDB_ CD01</v></cell><cell r="B74" t="str"><v>RFDN11;DC SYS01</v></cell><cell r="C74" t="str"><v>RFDN11</v></cell><cell r="D74"><v>16</v></cell><cell r="E74"><v>14</v></cell><cell r="F74"><v>44111</v></cell><cell r="G74"><v>300</v></cell><cell r="H74"><v>300</v></cell><cell r="I74"><v>8</v></cell><cell r="J74"><v>12</v></cell><cell r="K74"><v>1</v></cell><cell r="L74"><v>0</v></cell><cell r="M74"><v>0</v></cell><cell r="N74"><v>20</v></cell></row><row r="75"><cell r="A75" t="str"><v>SMHN02_SEC_DD770_JK01_02</v></cell><cell r="B75" t="str"><v>SMHN02;DC SYS01</v></cell><cell r="C75" t="str"><v>SMHN02</v></cell><cell r="D75"><v>140</v></cell><cell r="E75"><v>140</v></cell><cell r="F75"><v>44251</v></cell><cell r="G75"><v>300</v></cell><cell r="H75"><v>300</v></cell><cell r="I75"><v>5</v></cell><cell r="J75"><v>6</v></cell><cell r="K75"><v>9</v></cell><cell r="L75"><v>0</v></cell><cell r="M75"><v>8</v></cell><cell r="N75"><v>0</v></cell></row><row r="76"><cell r="A76" t="str"><v>SMHN02_SEC_DD770_LM01_01</v></cell><cell r="B76" t="str"><v>SMHN02;DC SYS01</v></cell><cell r="C76" t="str"><v>SMHN02</v></cell><cell r="D76"><v>140</v></cell><cell r="E76"><v>140</v></cell><cell r="F76"><v>44251</v></cell><cell r="G76"><v>300</v></cell><cell r="H76"><v>300</v></cell><cell r="I76"><v>5</v></cell><cell r="J76"><v>2</v></cell><cell r="K76"><v>12</v></cell><cell r="L76"><v>2</v></cell><cell r="M76"><v>11</v></cell><cell r="N76"><v>0</v></cell></row><row r="77"><cell r="A77" t="str"><v>SQYN01_SEC_DD770_BC1</v></cell><cell r="B77" t="str"><v>SQYN01;DC SYS02</v></cell><cell r="C77" t="str"><v>SQYN01</v></cell><cell r="D77"><v>200</v></cell><cell r="E77"><v>250</v></cell><cell r="F77"><v>44980</v></cell><cell r="G77"><v>300</v></cell><cell r="H77"><v>300</v></cell><cell r="I77"><v>2</v></cell><cell r="J77"><v>1</v></cell><cell r="K77"><v>0</v></cell><cell r="L77"><v>4</v></cell><cell r="M77"><v>7</v></cell><cell r="N77"><v>0</v></cell></row><row r="78"><cell r="A78" t="str"><v>SQYN01_SEC_DD770_BL1</v></cell><cell r="B78" t="str"><v>SQYN01;DC SYS03</v></cell><cell r="C78" t="str"><v>SQYN01</v></cell><cell r="D78"><v>80</v></cell><cell r="E78"><v>80</v></cell><cell r="F78"><v>44980</v></cell><cell r="G78"><v>300</v></cell><cell r="H78"><v>300</v></cell><cell r="I78"><v>6</v></cell><cell r="J78"><v>6</v></cell><cell r="K78"><v>0</v></cell><cell r="L78"><v>6</v></cell><cell r="M78"><v>11</v></cell><cell r="N78"><v>0</v></cell></row><row r="79"><cell r="A79" t="str"><v>SQYN01_SEC_DD770_BN1</v></cell><cell r="B79" t="str"><v>SQYN01;DC SYS03</v></cell><cell r="C79" t="str"><v>SQYN01</v></cell><cell r="D79"><v>80</v></cell><cell r="E79"><v>80</v></cell><cell r="F79"><v>44980</v></cell><cell r="G79"><v>300</v></cell><cell r="H79"><v>300</v></cell><cell r="I79"><v>6</v></cell><cell r="J79"><v>6</v></cell><cell r="K79"><v>0</v></cell><cell r="L79"><v>12</v></cell><cell r="M79"><v>11</v></cell><cell r="N79"><v>0</v></cell></row><row r="80"><cell r="A80" t="str"><v>SQYN01_SEC_DD770_BQ1</v></cell><cell r="B80" t="str"><v>SQYN01;DC SYS02</v></cell><cell r="C80" t="str"><v>SQYN01</v></cell><cell r="D80"><v>180</v></cell><cell r="E80"><v>180</v></cell><cell r="F80"><v>44980</v></cell><cell r="G80"><v>300</v></cell><cell r="H80"><v>300</v></cell><cell r="I80"><v>6</v></cell><cell r="J80"><v>7</v></cell><cell r="K80"><v>0</v></cell><cell r="L80"><v>6</v></cell><cell r="M80"><v>11</v></cell><cell r="N80"><v>0</v></cell></row><row r="81"><cell r="A81" t="str"><v>SQYN01_SEC_DD770_BS1</v></cell><cell r="B81" t="str"><v>SQYN01;DC SYS02</v></cell><cell r="C81" t="str"><v>SQYN01</v></cell><cell r="D81"><v>20</v></cell><cell r="E81"><v>20</v></cell><cell r="F81"><v>44980</v></cell><cell r="G81"><v>300</v></cell><cell r="H81"><v>300</v></cell><cell r="I81"><v>6</v></cell><cell r="J81"><v>12</v></cell><cell r="K81"><v>0</v></cell><cell r="L81"><v>20</v></cell><cell r="M81"><v>8</v></cell><cell r="N81"><v>0</v></cell></row><row r="82"><cell r="A82" t="str"><v>SQYN01_SEC_DD770_BV1</v></cell><cell r="B82" t="str"><v>SQYN01;DC SYS03</v></cell><cell r="C82" t="str"><v>SQYN01</v></cell><cell r="D82"><v>80</v></cell><cell r="E82"><v>80</v></cell><cell r="F82"><v>44980</v></cell><cell r="G82"><v>300</v></cell><cell r="H82"><v>300</v></cell><cell r="I82"><v>4</v></cell><cell r="J82"><v>8</v></cell><cell r="K82"><v>0</v></cell><cell r="L82"><v>9</v></cell><cell r="M82"><v>11</v></cell><cell r="N82"><v>0</v></cell></row><row r="83"><cell r="A83" t="str"><v>SQYN01_SEC_DD770_BW1</v></cell><cell r="B83" t="str"><v>SQYN01;DC SYS01</v></cell><cell r="C83" t="str"><v>SQYN01</v></cell><cell r="D83"><v>40</v></cell><cell r="E83"><v>40</v></cell><cell r="F83"><v>44980</v></cell><cell r="G83"><v>300</v></cell><cell r="H83"><v>300</v></cell><cell r="I83"><v>4</v></cell><cell r="J83"><v>10</v></cell><cell r="K83"><v>0</v></cell><cell r="L83"><v>19</v></cell><cell r="M83"><v>10</v></cell><cell r="N83"><v>0</v></cell></row><row r="84"><cell r="A84" t="str"><v>SQYN01_SEC_DD770_BY1</v></cell><cell r="B84" t="str"><v>SQYN01;DC SYS01</v></cell><cell r="C84" t="str"><v>SQYN01</v></cell><cell r="D84"><v>40</v></cell><cell r="E84"><v>0</v></cell><cell r="F84"><v>44980</v></cell><cell r="G84"><v>300</v></cell><cell r="H84"><v>300</v></cell><cell r="I84"><v>3</v></cell><cell r="J84"><v>4</v></cell><cell r="K84"><v>0</v></cell><cell r="L84"><v>10</v></cell><cell r="M84"><v>12</v></cell><cell r="N84"><v>0</v></cell></row><row r="85"><cell r="A85" t="str"><v>SQYN01_SEC_DD770_DE1</v></cell><cell r="B85" t="str"><v>SQYN01;DC SYS03</v></cell><cell r="C85" t="str"><v>SQYN01</v></cell><cell r="D85"><v>210</v></cell><cell r="E85"><v>210</v></cell><cell r="F85"><v>44980</v></cell><cell r="G85"><v>300</v></cell><cell r="H85"><v>300</v></cell><cell r="I85"><v>2</v></cell><cell r="J85"><v>0</v></cell><cell r="K85"><v>0</v></cell><cell r="L85"><v>2</v></cell><cell r="M85"><v>10</v></cell><cell r="N85"><v>0</v></cell></row><row r="86"><cell r="A86" t="str"><v>SQYN01_SEC_DD770_DN1</v></cell><cell r="B86" t="str"><v>SQYN01;DC SYS01</v></cell><cell r="C86" t="str"><v>SQYN01</v></cell><cell r="D86"><v>60</v></cell><cell r="E86"><v>60</v></cell><cell r="F86"><v>44980</v></cell><cell r="G86"><v>300</v></cell><cell r="H86"><v>300</v></cell><cell r="I86"><v>6</v></cell><cell r="J86"><v>4</v></cell><cell r="K86"><v>6</v></cell><cell r="L86"><v>22</v></cell><cell r="M86"><v>2</v></cell><cell r="N86"><v>0</v></cell></row><row r="87"><cell r="A87" t="str"><v>SQYN02_PDU1A_B</v></cell><cell r="B87" t="str"><v>SQYN02;DC SYS08A</v></cell><cell r="C87" t="str"><v>SQYN02</v></cell><cell r="D87"><v>267.52</v></cell><cell r="E87"><v>292.13</v></cell><cell r="F87"><v>45631</v></cell><cell r="G87"><v>600</v></cell><cell r="H87"><v>600</v></cell></row><row r="88"><cell r="A88" t="str"><v>SQYN02_SEC_DCDB_JJJK07</v></cell><cell r="B88" t="str"><v>SQYN02;DC SYS09A</v></cell><cell r="C88" t="str"><v>SQYN02</v></cell><cell r="D88"><v>284</v></cell><cell r="E88"><v>275</v></cell><cell r="F88"><v>45078</v></cell><cell r="G88"><v>300</v></cell><cell r="H88"><v>300</v></cell><cell r="I88"><v>0</v></cell><cell r="J88"><v>1</v></cell><cell r="K88"><v>1</v></cell><cell r="L88"><v>1</v></cell><cell r="M88"><v>0</v></cell><cell r="N88"><v>17</v></cell></row><row r="89"><cell r="A89" t="str"><v>SQYN02_SEC_DD770_FA1</v></cell><cell r="B89" t="str"><v>SQYN02;DC SYS08A</v></cell><cell r="C89" t="str"><v>SQYN02</v></cell><cell r="D89"><v>70</v></cell><cell r="E89"><v>100</v></cell><cell r="F89"><v>45034</v></cell><cell r="G89"><v>300</v></cell><cell r="H89"><v>300</v></cell><cell r="I89"><v>6</v></cell><cell r="J89"><v>2</v></cell><cell r="K89"><v>0</v></cell><cell r="L89"><v>19</v></cell><cell r="M89"><v>11</v></cell><cell r="N89"><v>0</v></cell></row><row r="90"><cell r="A90" t="str"><v>SQYN02_SEC_DD770_FE1</v></cell><cell r="B90" t="str"><v>SQYN02;DC SYS08A</v></cell><cell r="C90" t="str"><v>SQYN02</v></cell><cell r="D90"><v>145</v></cell><cell r="E90"><v>165</v></cell><cell r="F90"><v>45034</v></cell><cell r="G90"><v>300</v></cell><cell r="H90"><v>300</v></cell><cell r="I90"><v>6</v></cell><cell r="J90"><v>0</v></cell><cell r="K90"><v>0</v></cell><cell r="L90"><v>19</v></cell><cell r="M90"><v>11</v></cell><cell r="N90"><v>0</v></cell></row><row r="91"><cell r="A91" t="str"><v>SQYN02_SEC_DD770_GL1</v></cell><cell r="B91" t="str"><v>SQYN02;DC SYS08A</v></cell><cell r="C91" t="str"><v>SQYN02</v></cell><cell r="D91"><v>90</v></cell><cell r="E91"><v>90</v></cell><cell r="F91"><v>45034</v></cell><cell r="G91"><v>300</v></cell><cell r="H91"><v>300</v></cell><cell r="I91"><v>6</v></cell><cell r="J91"><v>5</v></cell><cell r="K91"><v>0</v></cell><cell r="L91"><v>17</v></cell><cell r="M91"><v>11</v></cell><cell r="N91"><v>0</v></cell></row><row r="92"><cell r="A92" t="str"><v>SQYN02_SEC_DD770_GR1</v></cell><cell r="B92" t="str"><v>SQYN02;DC SYS08A</v></cell><cell r="C92" t="str"><v>SQYN02</v></cell><cell r="D92"><v>130</v></cell><cell r="E92"><v>140</v></cell><cell r="F92"><v>45034</v></cell><cell r="G92"><v>300</v></cell><cell r="H92"><v>300</v></cell><cell r="I92"><v>0</v></cell><cell r="J92"><v>6</v></cell><cell r="K92"><v>0</v></cell><cell r="L92"><v>16</v></cell><cell r="M92"><v>0</v></cell><cell r="N92"><v>0</v></cell></row><row r="93"><cell r="A93" t="str"><v>SQYN02_SEC_DD770_HM13</v></cell><cell r="B93" t="str"><v>SQYN02;DC SYS09A</v></cell><cell r="C93" t="str"><v>SQYN02</v></cell><cell r="D93"><v>260</v></cell><cell r="E93"><v>290</v></cell><cell r="F93"><v>45034</v></cell><cell r="G93"><v>300</v></cell><cell r="H93"><v>300</v></cell><cell r="I93"><v>4</v></cell><cell r="J93"><v>4</v></cell><cell r="K93"><v>0</v></cell><cell r="L93"><v>8</v></cell><cell r="M93"><v>8</v></cell><cell r="N93"><v>0</v></cell></row><row r="94"><cell r="A94" t="str"><v>SQYN02_SEC_DD770_HP1</v></cell><cell r="B94" t="str"><v>SQYN02;DC SYS09A</v></cell><cell r="C94" t="str"><v>SQYN02</v></cell><cell r="D94"><v>180</v></cell><cell r="E94"><v>60</v></cell><cell r="F94"><v>45034</v></cell><cell r="G94"><v>300</v></cell><cell r="H94"><v>300</v></cell><cell r="I94"><v>2</v></cell><cell r="J94"><v>0</v></cell><cell r="K94"><v>0</v></cell><cell r="L94"><v>22</v></cell><cell r="M94"><v>8</v></cell><cell r="N94"><v>0</v></cell></row><row r="95"><cell r="A95" t="str"><v>SQYN02_SEC_DD770_HS1</v></cell><cell r="B95" t="str"><v>SQYN02;DC SYS09A</v></cell><cell r="C95" t="str"><v>SQYN02</v></cell><cell r="D95"><v>190</v></cell><cell r="E95"><v>200</v></cell><cell r="F95"><v>45034</v></cell><cell r="G95"><v>300</v></cell><cell r="H95"><v>300</v></cell><cell r="I95"><v>1</v></cell><cell r="J95"><v>0</v></cell><cell r="K95"><v>0</v></cell><cell r="L95"><v>19</v></cell><cell r="M95"><v>10</v></cell><cell r="N95"><v>0</v></cell></row><row r="96"><cell r="A96" t="str"><v>DCDB PER A.</v></cell><cell r="B96" t="str"><v>TELHS2;DC SYS01</v></cell><cell r="C96" t="str"><v>TELHS2</v></cell><cell r="D96"><v>100</v></cell><cell r="E96"><v>0</v></cell><cell r="F96"><v>44271</v></cell><cell r="G96"><v>100</v></cell><cell r="H96"><v>0</v></cell><cell r="I96"><v>0</v></cell><cell r="J96"><v>0</v></cell><cell r="K96"><v>0</v></cell><cell r="L96"><v>0</v></cell><cell r="M96"><v>0</v></cell><cell r="N96"><v>1</v></cell></row><row r="97"><cell r="A97" t="str"><v>DCDB PER B.</v></cell><cell r="B97" t="str"><v>TELHS2;DC SYS01</v></cell><cell r="C97" t="str"><v>TELHS2</v></cell><cell r="D97"><v>100</v></cell><cell r="E97"><v>0</v></cell><cell r="F97"><v>44271</v></cell><cell r="G97"><v>100</v></cell><cell r="H97"><v>0</v></cell><cell r="I97"><v>0</v></cell><cell r="J97"><v>0</v></cell><cell r="K97"><v>0</v></cell><cell r="L97"><v>0</v></cell><cell r="M97"><v>0</v></cell><cell r="N97"><v>1</v></cell></row><row r="98"><cell r="A98" t="str"><v>TELHS1_EXP_SEC_DCDB_14_15_D</v></cell><cell r="B98" t="str"><v>TELHS1;DC SYS A;EXT ROOM</v></cell><cell r="C98" t="str"><v>TELHS1</v></cell><cell r="D98"><v>140</v></cell><cell r="E98"><v>89</v></cell><cell r="F98"><v>45040</v></cell><cell r="G98"><v>200</v></cell><cell r="H98"><v>200</v></cell><cell r="I98"><v>0</v></cell><cell r="J98"><v>0</v></cell><cell r="K98"><v>0</v></cell><cell r="L98"><v>1</v></cell><cell r="M98"><v>9</v></cell><cell r="N98"><v>0</v></cell></row><row r="99"><cell r="A99" t="str"><v>TELHS1_DCDB Wallbox.  - ignore</v></cell><cell r="B99" t="str"><v>TELHS1;DC SYS A;EXT ROOM</v></cell><cell r="C99" t="str"><v>TELHS1</v></cell><cell r="D99" t="str"><v>n/a</v></cell><cell r="E99" t="str"><v>n/a</v></cell><cell r="F99"><v>44267</v></cell><cell r="G99"><v>0</v></cell><cell r="H99"><v>0</v></cell><cell r="I99"><v>0</v></cell><cell r="J99"><v>0</v></cell><cell r="K99"><v>0</v></cell><cell r="L99"><v>0</v></cell><cell r="M99"><v>0</v></cell><cell r="N99"><v>0</v></cell></row><row r="100"><cell r="A100" t="str"><v>TELHS1_SEC_DCDB_14_15_H.</v></cell><cell r="B100" t="str"><v>TELHS1;DC SYS A;EXT ROOM</v></cell><cell r="C100" t="str"><v>TELHS1</v></cell><cell r="D100"><v>55</v></cell><cell r="E100"><v>40</v></cell><cell r="F100"><v>45040</v></cell><cell r="G100"><v>200</v></cell><cell r="H100"><v>200</v></cell><cell r="I100"><v>0</v></cell><cell r="J100"><v>0</v></cell><cell r="K100"><v>3</v></cell><cell r="L100"><v>2</v></cell><cell r="M100"><v>0</v></cell><cell r="N100"><v>21</v></cell></row><row r="101"><cell r="A101" t="str"><v>VHXN02_SEC_DD770_CD1</v></cell><cell r="B101" t="str"><v>VHXN02;DC SYS01</v></cell><cell r="C101" t="str"><v>VHXN02</v></cell><cell r="D101"><v>140</v></cell><cell r="E101"><v>135</v></cell><cell r="F101"><v>45033</v></cell><cell r="G101"><v>300</v></cell><cell r="H101"><v>300</v></cell><cell r="I101"><v>4</v></cell><cell r="J101"><v>2</v></cell><cell r="K101"><v>5</v></cell><cell r="L101"><v>0</v></cell><cell r="M101"><v>7</v></cell><cell r="N101"><v>0</v></cell></row><row r="102"><cell r="A102" t="str"><v>VHXN02_SEC_DD770_GH1</v></cell><cell r="B102" t="str"><v>VHXN02;DC SYS01</v></cell><cell r="C102" t="str"><v>VHXN02</v></cell><cell r="D102"><v>50</v></cell><cell r="E102"><v>60</v></cell><cell r="F102"><v>45033</v></cell><cell r="G102"><v>300</v></cell><cell r="H102"><v>300</v></cell><cell r="I102"><v>6</v></cell><cell r="J102"><v>6</v></cell><cell r="K102"><v>5</v></cell><cell r="L102"><v>13</v></cell><cell r="M102"><v>12</v></cell><cell r="N102"><v>0</v></cell></row><row r="103"><cell r="A103" t="str"><v>VXHINT_SEC_Eaton_BA11</v></cell><cell r="B103" t="str"><v>VHXN02;DC SYS01</v></cell><cell r="C103" t="str"><v>VXHINT</v></cell><cell r="D103"><v>160</v></cell><cell r="E103"><v>160</v></cell><cell r="F103"><v>45033</v></cell><cell r="G103"><v>300</v></cell><cell r="H103"><v>300</v></cell><cell r="I103"><v>0</v></cell><cell r="J103"><v>0</v></cell><cell r="K103"><v>1</v></cell><cell r="L103"><v>0</v></cell><cell r="M103"><v>5</v></cell><cell r="N103"><v>24</v></cell></row><row r="104"><cell r="A104" t="str"><v>WAHP03_SEC_CBDB_10_11_A</v></cell><cell r="B104" t="str"><v>WAHP;DC SYS A Tx</v></cell><cell r="C104" t="str"><v>WAHP03</v></cell><cell r="D104"><v>0</v></cell><cell r="E104"><v>0</v></cell><cell r="F104"><v>0</v></cell><cell r="G104"><v>300</v></cell><cell r="H104"><v>300</v></cell><cell r="I104"><v>0</v></cell><cell r="J104"><v>0</v></cell><cell r="K104"><v>0</v></cell><cell r="L104"><v>0</v></cell><cell r="M104"><v>0</v></cell><cell r="N104"><v>0</v></cell></row><row r="105"><cell r="A105" t="str"><v>WAHP03_SEC_CBDB_12_13_A</v></cell><cell r="B105" t="str"><v>WAHP;DC SYS A Tx</v></cell><cell r="C105" t="str"><v>WAHP03</v></cell><cell r="D105"><v>0</v></cell><cell r="E105"><v>0</v></cell><cell r="F105"><v>0</v></cell><cell r="G105"><v>300</v></cell><cell r="H105"><v>300</v></cell><cell r="I105"><v>0</v></cell><cell r="J105"><v>0</v></cell><cell r="K105"><v>0</v></cell><cell r="L105"><v>0</v></cell><cell r="M105"><v>0</v></cell><cell r="N105"><v>0</v></cell></row><row r="106"><cell r="A106" t="str"><v>WAHP03_SEC_CBDB_16_17_A</v></cell><cell r="B106" t="str"><v>WAHP;DC SYS A Tx</v></cell><cell r="C106" t="str"><v>WAHP03</v></cell><cell r="D106"><v>0</v></cell><cell r="E106"><v>0</v></cell><cell r="F106"><v>0</v></cell><cell r="G106"><v>300</v></cell><cell r="H106"><v>300</v></cell><cell r="I106"><v>0</v></cell><cell r="J106"><v>4</v></cell><cell r="K106"><v>0</v></cell><cell r="L106"><v>0</v></cell><cell r="M106"><v>0</v></cell><cell r="N106"><v>0</v></cell></row><row r="107"><cell r="A107" t="str"><v>WAHP03_SEC_CBDB_18_19_A</v></cell><cell r="B107" t="str"><v>WAHP;DC SYS A Tx</v></cell><cell r="C107" t="str"><v>WAHP03</v></cell><cell r="D107"><v>0</v></cell><cell r="E107"><v>0</v></cell><cell r="F107"><v>0</v></cell><cell r="G107"><v>300</v></cell><cell r="H107"><v>300</v></cell><cell r="I107"><v>0</v></cell><cell r="J107"><v>0</v></cell><cell r="K107"><v>0</v></cell><cell r="L107"><v>0</v></cell><cell r="M107"><v>0</v></cell><cell r="N107"><v>0</v></cell></row><row r="108"><cell r="A108" t="str"><v>WAHP03_SEC_CBDB_2_3_A</v></cell><cell r="B108" t="str"><v>WAHP;DC SYS A Tx</v></cell><cell r="C108" t="str"><v>WAHP03</v></cell><cell r="D108"><v>24</v></cell><cell r="E108"><v>35</v></cell><cell r="F108"><v>42829</v></cell><cell r="G108"><v>300</v></cell><cell r="H108"><v>300</v></cell><cell r="I108"><v>0</v></cell><cell r="J108"><v>0</v></cell><cell r="K108"><v>0</v></cell><cell r="L108"><v>0</v></cell><cell r="M108"><v>0</v></cell><cell r="N108"><v>0</v></cell></row><row r="109"><cell r="A109" t="str"><v>WAHP03_SEC_CBDB_20_21_A</v></cell><cell r="B109" t="str"><v>WAHP;DC SYS A Tx</v></cell><cell r="C109" t="str"><v>WAHP03</v></cell><cell r="D109"><v>0</v></cell><cell r="E109"><v>0</v></cell><cell r="F109"><v>0</v></cell><cell r="G109"><v>300</v></cell><cell r="H109"><v>300</v></cell><cell r="I109"><v>0</v></cell><cell r="J109"><v>0</v></cell><cell r="K109"><v>0</v></cell><cell r="L109"><v>0</v></cell><cell r="M109"><v>0</v></cell><cell r="N109"><v>0</v></cell></row><row r="110"><cell r="A110" t="str"><v>WAHP03_SEC_CBDB_22_23_A</v></cell><cell r="B110" t="str"><v>WAHP;DC SYS A Tx</v></cell><cell r="C110" t="str"><v>WAHP03</v></cell><cell r="D110"><v>0</v></cell><cell r="E110"><v>0</v></cell><cell r="F110"><v>0</v></cell><cell r="G110"><v>300</v></cell><cell r="H110"><v>300</v></cell><cell r="I110"><v>0</v></cell><cell r="J110"><v>0</v></cell><cell r="K110"><v>1</v></cell><cell r="L110"><v>1</v></cell><cell r="M110"><v>0</v></cell><cell r="N110"><v>0</v></cell></row><row r="111"><cell r="A111" t="str"><v>WAHP03_SEC_CBDB_4_5_A</v></cell><cell r="B111" t="str"><v>WAHP;DC SYS A Tx</v></cell><cell r="C111" t="str"><v>WAHP03</v></cell><cell r="D111"><v>0</v></cell><cell r="E111"><v>0</v></cell><cell r="F111"><v>0</v></cell><cell r="G111"><v>300</v></cell><cell r="H111"><v>300</v></cell><cell r="I111"><v>0</v></cell><cell r="J111"><v>0</v></cell><cell r="K111"><v>0</v></cell><cell r="L111"><v>0</v></cell><cell r="M111"><v>0</v></cell><cell r="N111"><v>0</v></cell></row><row r="112"><cell r="A112" t="str"><v>WAHP03_SEC_CBDB_6_7_A</v></cell><cell r="B112" t="str"><v>WAHP;DC SYS A Tx</v></cell><cell r="C112" t="str"><v>WAHP03</v></cell><cell r="D112"><v>0</v></cell><cell r="E112"><v>0</v></cell><cell r="F112"><v>0</v></cell><cell r="G112"><v>300</v></cell><cell r="H112"><v>300</v></cell><cell r="I112"><v>0</v></cell><cell r="J112"><v>0</v></cell><cell r="K112"><v>0</v></cell><cell r="L112"><v>0</v></cell><cell r="M112"><v>0</v></cell><cell r="N112"><v>0</v></cell></row><row r="113"><cell r="A113" t="str"><v>WAHP03_SEC_CBDB_8_9_A</v></cell><cell r="B113" t="str"><v>WAHP;DC SYS A Tx</v></cell><cell r="C113" t="str"><v>WAHP03</v></cell><cell r="D113"><v>0</v></cell><cell r="E113"><v>0</v></cell><cell r="F113"><v>0</v></cell><cell r="G113"><v>300</v></cell><cell r="H113"><v>300</v></cell><cell r="I113"><v>0</v></cell><cell r="J113"><v>0</v></cell><cell r="K113"><v>0</v></cell><cell r="L113"><v>0</v></cell><cell r="M113"><v>0</v></cell><cell r="N113"><v>0</v></cell></row><row r="114"><cell r="A114" t="str"><v>CAPPED_WAHP06_SEC_CBDB00_1_2_D</v></cell><cell r="B114" t="str"><v>WAHP; DC SYS A (Feeds WAHP06)</v></cell><cell r="C114" t="str"><v>WAHP06</v></cell><cell r="D114"><v>183</v></cell><cell r="E114"><v>175</v></cell><cell r="F114" t="str"><v>04/04/2024 (Clamp meter readings)</v></cell><cell r="G114"><v>300</v></cell><cell r="H114"><v>300</v></cell><cell r="I114"><v>0</v></cell><cell r="J114"><v>0</v></cell><cell r="K114"><v>11</v></cell><cell r="L114"><v>3</v></cell><cell r="M114"><v>4</v></cell><cell r="N114"><v>0</v></cell></row><row r="115"><cell r="A115" t="str"><v>CAPPED_WAHP06_SEC_CBDB01_1_2_P</v></cell><cell r="B115" t="str"><v>WAHP; DC SYS A (Feeds WAHP06)</v></cell><cell r="C115" t="str"><v>WAHP06</v></cell><cell r="D115"><v>275</v></cell><cell r="E115"><v>275</v></cell><cell r="F115"><v>44420</v></cell><cell r="G115"><v>300</v></cell><cell r="H115"><v>300</v></cell><cell r="I115"><v>2</v></cell><cell r="J115"><v>0</v></cell><cell r="K115"><v>6</v></cell><cell r="L115"><v>3</v></cell><cell r="M115"><v>3</v></cell><cell r="N115"><v>0</v></cell></row><row r="116"><cell r="A116" t="str"><v>WAHP06_PDU1_A_B</v></cell><cell r="B116" t="str"><v>WAHP; DC SYS A (Feeds WAHP06)</v></cell><cell r="C116" t="str"><v>WAHP06</v></cell><cell r="D116"><v>185.79</v></cell><cell r="E116"><v>178.55</v></cell><cell r="F116"><v>45631</v></cell><cell r="G116"><v>360</v></cell><cell r="H116"><v>360</v></cell></row><row r="117"><cell r="A117" t="str"><v>WAHP06_SEC_CBDB00_3_4_N</v></cell><cell r="B117" t="str"><v>WAHP; DC SYS A (Feeds WAHP06)</v></cell><cell r="C117" t="str"><v>WAHP06</v></cell><cell r="D117"><v>328</v></cell><cell r="E117"><v>252</v></cell><cell r="F117"><v>44599</v></cell><cell r="G117"><v>300</v></cell><cell r="H117"><v>300</v></cell><cell r="I117"><v>1</v></cell><cell r="J117"><v>0</v></cell><cell r="K117"><v>0</v></cell><cell r="L117"><v>0</v></cell><cell r="M117"><v>0</v></cell><cell r="N117"><v>19</v></cell></row><row r="118"><cell r="A118" t="str"><v>DCDB Details WAIP06.</v></cell><cell r="B118" t="str"><v>WAIP;DC SYS01;GND</v></cell><cell r="C118" t="str"><v>WAIP06</v></cell><cell r="D118"><v>0</v></cell><cell r="E118"><v>0</v></cell><cell r="F118"><v>44125</v></cell><cell r="G118"><v>300</v></cell><cell r="H118"><v>300</v></cell><cell r="I118"><v>4</v></cell><cell r="J118"><v>0</v></cell><cell r="K118"><v>0</v></cell><cell r="L118"><v>2</v></cell><cell r="M118"><v>4</v></cell><cell r="N118"><v>44</v></cell></row><row r="119"><cell r="A119" t="str"><v>DCDB_BTNW01- ADVANCE DC 600  Suite 2D.</v></cell><cell r="B119" t="str"><v>BTNW01;DC SYS01</v></cell><cell r="C119" t="str"><v>BTNW01</v></cell><cell r="D119"><v>40</v></cell><cell r="E119"><v>30</v></cell><cell r="F119"><v>44161</v></cell><cell r="G119"><v>300</v></cell><cell r="H119"><v>300</v></cell><cell r="I119"><v>0</v></cell><cell r="J119"><v>0</v></cell><cell r="K119"><v>0</v></cell><cell r="L119"><v>0</v></cell><cell r="M119"><v>0</v></cell><cell r="N119"><v>0</v></cell></row><row r="120"><cell r="A120" t="str"><v>DCDB_BTNW01- ADVANCE DC 600  Suite 3D.</v></cell><cell r="B120" t="str"><v>BTNW01;DC SYS01</v></cell><cell r="C120" t="str"><v>BTNW01</v></cell><cell r="D120"><v>40</v></cell><cell r="E120"><v>30</v></cell><cell r="F120"><v>44161</v></cell><cell r="G120"><v>300</v></cell><cell r="H120"><v>300</v></cell><cell r="I120"><v>0</v></cell><cell r="J120"><v>0</v></cell><cell r="K120"><v>0</v></cell><cell r="L120"><v>0</v></cell><cell r="M120"><v>0</v></cell><cell r="N120"><v>42</v></cell></row><row r="121"><cell r="A121" t="str"><v>BCT - DCDB-Suite IJ01</v></cell><cell r="B121" t="str"><v>BCT;DC SYS01</v></cell><cell r="C121" t="str"><v>BCT</v></cell><cell r="D121"><v>30</v></cell><cell r="E121"><v>29</v></cell><cell r="F121"><v>45082</v></cell><cell r="G121"><v>300</v></cell><cell r="H121"><v>300</v></cell><cell r="I121"><v>5</v></cell><cell r="J121"><v>0</v></cell><cell r="K121"><v>3</v></cell><cell r="L121"><v>0</v></cell><cell r="M121"><v>0</v></cell><cell r="N121"><v>41</v></cell></row><row r="122"><cell r="A122" t="str"><v>BCT_SEC_DCDB_WALL</v></cell><cell r="B122" t="str"><v>BCT;DC SYS01</v></cell><cell r="C122" t="str"><v>BCT</v></cell><cell r="D122"><v>0</v></cell><cell r="E122"><v>0</v></cell><cell r="F122"><v>45082</v></cell><cell r="G122"><v>100</v></cell><cell r="H122"><v>0</v></cell><cell r="I122"><v>0</v></cell><cell r="J122"><v>0</v></cell><cell r="K122"><v>0</v></cell><cell r="L122"><v>0</v></cell><cell r="M122"><v>0</v></cell><cell r="N122"><v>1</v></cell></row><row r="123"><cell r="A123" t="str"><v>BCT_SYS_DCDB_WALL - Ignore</v></cell><cell r="B123" t="str"><v>BCT;DC SYS01</v></cell><cell r="C123" t="str"><v>BCT</v></cell><cell r="D123"><v>0</v></cell><cell r="E123"><v>0</v></cell><cell r="F123"><v>0</v></cell><cell r="G123"><v>300</v></cell><cell r="H123"><v>300</v></cell><cell r="I123"><v>0</v></cell><cell r="J123"><v>1</v></cell><cell r="K123"><v>0</v></cell><cell r="L123"><v>0</v></cell><cell r="M123"><v>0</v></cell><cell r="N123"><v>0</v></cell></row><row r="124"><cell r="A124" t="str"><v>BHMTF1 - DCDB.A - Suite.A-B Rack.10A</v></cell><cell r="B124" t="str"><v>BHMTF1;DC SYS A</v></cell><cell r="C124" t="str"><v>BHMTF1</v></cell><cell r="D124"><v>163</v></cell><cell r="E124" t="str"><v>N/A</v></cell><cell r="F124"><v>44965</v></cell><cell r="G124"><v>300</v></cell><cell r="H124" t="str"><v>N/A</v></cell><cell r="I124"><v>0</v></cell><cell r="J124"><v>0</v></cell><cell r="K124"><v>0</v></cell><cell r="L124"><v>0</v></cell><cell r="M124"><v>0</v></cell><cell r="N124"><v>43</v></cell></row><row r="125"><cell r="A125" t="str"><v>BHMTF1 - DCDB.B - Suite.A-B Rack.9A</v></cell><cell r="B125" t="str"><v>BHMTF1;DC SYS B</v></cell><cell r="C125" t="str"><v>BHMTF1</v></cell><cell r="D125" t="str"><v>N/A</v></cell><cell r="E125"><v>164</v></cell><cell r="F125"><v>44965</v></cell><cell r="G125" t="str"><v>N/A</v></cell><cell r="H125"><v>300</v></cell><cell r="I125"><v>0</v></cell><cell r="J125"><v>0</v></cell><cell r="K125"><v>0</v></cell><cell r="L125"><v>0</v></cell><cell r="M125"><v>0</v></cell><cell r="N125"><v>43</v></cell></row><row r="126"><cell r="A126" t="str"><v>BMGV02_SEC_CBDB00_2_3_A</v></cell></row><row r="126"><cell r="C126" t="str"><v>BMGV02</v></cell><cell r="D126"><v>0</v></cell><cell r="E126"><v>0</v></cell><cell r="F126"><v>0</v></cell><cell r="G126"><v>300</v></cell><cell r="H126"><v>300</v></cell><cell r="I126"><v>0</v></cell><cell r="J126"><v>0</v></cell><cell r="K126"><v>0</v></cell><cell r="L126"><v>0</v></cell><cell r="M126"><v>5</v></cell><cell r="N126"><v>0</v></cell></row><row r="127"><cell r="A127" t="str"><v>BMGV02_SEC_CBDB01_6_7_A</v></cell></row><row r="127"><cell r="C127" t="str"><v>BMGV02</v></cell><cell r="D127"><v>0</v></cell><cell r="E127"><v>0</v></cell><cell r="F127"><v>0</v></cell><cell r="G127"><v>300</v></cell><cell r="H127"><v>300</v></cell><cell r="I127"><v>0</v></cell><cell r="J127"><v>0</v></cell><cell r="K127"><v>0</v></cell><cell r="L127"><v>0</v></cell><cell r="M127"><v>9</v></cell><cell r="N127"><v>0</v></cell></row><row r="128"><cell r="A128" t="str"><v>BMGV02_SEC_CBDB02_8_9_A</v></cell></row><row r="128"><cell r="C128" t="str"><v>BMGV02</v></cell><cell r="D128"><v>0</v></cell><cell r="E128"><v>0</v></cell><cell r="F128"><v>0</v></cell><cell r="G128"><v>300</v></cell><cell r="H128"><v>300</v></cell><cell r="I128"><v>0</v></cell><cell r="J128"><v>0</v></cell><cell r="K128"><v>0</v></cell><cell r="L128"><v>0</v></cell><cell r="M128"><v>0</v></cell><cell r="N128"><v>0</v></cell></row><row r="129"><cell r="A129" t="str"><v>BMGV02_SEC_CBDB03_10_11_A</v></cell></row><row r="129"><cell r="C129" t="str"><v>BMGV02</v></cell><cell r="D129"><v>0</v></cell><cell r="E129"><v>0</v></cell><cell r="F129"><v>0</v></cell><cell r="G129"><v>300</v></cell><cell r="H129"><v>300</v></cell><cell r="I129"><v>0</v></cell><cell r="J129"><v>0</v></cell><cell r="K129"><v>0</v></cell><cell r="L129"><v>0</v></cell><cell r="M129"><v>0</v></cell><cell r="N129"><v>0</v></cell></row><row r="130"><cell r="A130" t="str"><v>BMGV02_SEC_CBDB04_12_13_A</v></cell></row><row r="130"><cell r="C130" t="str"><v>BMGV02</v></cell><cell r="D130"><v>0</v></cell><cell r="E130"><v>0</v></cell><cell r="F130"><v>0</v></cell><cell r="G130"><v>300</v></cell><cell r="H130"><v>300</v></cell><cell r="I130"><v>0</v></cell><cell r="J130"><v>0</v></cell><cell r="K130"><v>0</v></cell><cell r="L130"><v>0</v></cell><cell r="M130"><v>0</v></cell><cell r="N130"><v>0</v></cell></row><row r="131"><cell r="A131" t="str"><v>BMGV02_SEC_CBDB05_14_15_A</v></cell></row><row r="131"><cell r="C131" t="str"><v>BMGV02</v></cell><cell r="D131"><v>0</v></cell><cell r="E131"><v>0</v></cell><cell r="F131"><v>0</v></cell><cell r="G131"><v>300</v></cell><cell r="H131"><v>300</v></cell><cell r="I131"><v>0</v></cell><cell r="J131"><v>0</v></cell><cell r="K131"><v>0</v></cell><cell r="L131"><v>0</v></cell><cell r="M131"><v>0</v></cell><cell r="N131"><v>0</v></cell></row><row r="132"><cell r="A132" t="str"><v>BMGV02_SEC_CBDB06_16_17_A</v></cell></row><row r="132"><cell r="C132" t="str"><v>BMGV02</v></cell><cell r="D132"><v>0</v></cell><cell r="E132"><v>0</v></cell><cell r="F132"><v>0</v></cell><cell r="G132"><v>300</v></cell><cell r="H132"><v>300</v></cell><cell r="I132"><v>0</v></cell><cell r="J132"><v>0</v></cell><cell r="K132"><v>0</v></cell><cell r="L132"><v>0</v></cell><cell r="M132"><v>0</v></cell><cell r="N132"><v>0</v></cell></row><row r="133"><cell r="A133" t="str"><v>BMGV03_SEC_CBDB_10_11_B</v></cell><cell r="B133" t="str"><v>BMGV03; DC SYS A</v></cell><cell r="C133" t="str"><v>BMGV03</v></cell><cell r="D133" t="str"><v>NO PANEL TO READ</v></cell><cell r="E133" t="str"><v>NO PANEL TO READ</v></cell><cell r="F133" t="str"><v>12th Novemeber 2020</v></cell><cell r="G133"><v>300</v></cell><cell r="H133"><v>300</v></cell><cell r="I133"><v>0</v></cell><cell r="J133"><v>1</v></cell><cell r="K133"><v>2</v></cell><cell r="L133"><v>0</v></cell><cell r="M133"><v>22</v></cell><cell r="N133"><v>0</v></cell></row><row r="134"><cell r="A134" t="str"><v>BMGV03_SEC_CBDB_12_13_B</v></cell><cell r="B134" t="str"><v>BMGV03; DC SYS A</v></cell><cell r="C134" t="str"><v>BMGV03</v></cell><cell r="D134" t="str"><v>NO PANEL TO READ</v></cell><cell r="E134" t="str"><v>NO PANEL TO READ</v></cell><cell r="F134" t="str"><v>12th Novemeber 2020</v></cell><cell r="G134"><v>300</v></cell><cell r="H134"><v>300</v></cell><cell r="I134"><v>0</v></cell><cell r="J134"><v>1</v></cell><cell r="K134"><v>0</v></cell><cell r="L134"><v>0</v></cell><cell r="M134"><v>35</v></cell><cell r="N134"><v>0</v></cell></row><row r="135"><cell r="A135" t="str"><v>BMGV03_SEC_CBDB_2_3_B</v></cell><cell r="B135" t="str"><v>BMGV03; DC SYS A</v></cell><cell r="C135" t="str"><v>BMGV03</v></cell><cell r="D135" t="str"><v>NO PANEL TO READ</v></cell><cell r="E135" t="str"><v>NO PANEL TO READ</v></cell><cell r="F135" t="str"><v>12th Novemeber 2020</v></cell><cell r="G135"><v>300</v></cell><cell r="H135"><v>300</v></cell><cell r="I135"><v>0</v></cell><cell r="J135"><v>0</v></cell><cell r="K135"><v>0</v></cell><cell r="L135"><v>0</v></cell><cell r="M135"><v>5</v></cell><cell r="N135"><v>0</v></cell></row><row r="136"><cell r="A136" t="str"><v>BMGV03_SEC_CBDB_6_7_B</v></cell><cell r="B136" t="str"><v>BMGV03; DC SYS A</v></cell><cell r="C136" t="str"><v>BMGV03</v></cell><cell r="D136" t="str"><v>NO PANEL TO READ</v></cell><cell r="E136" t="str"><v>NO PANEL TO READ</v></cell><cell r="F136" t="str"><v>12th Novemeber 2020</v></cell><cell r="G136"><v>300</v></cell><cell r="H136"><v>300</v></cell><cell r="I136"><v>0</v></cell><cell r="J136"><v>0</v></cell><cell r="K136"><v>1</v></cell><cell r="L136"><v>5</v></cell><cell r="M136"><v>19</v></cell><cell r="N136"><v>0</v></cell></row><row r="137"><cell r="A137" t="str"><v>BMGV03_SEC_CBDB_8_9_B</v></cell><cell r="B137" t="str"><v>BMGV03; DC SYS A</v></cell><cell r="C137" t="str"><v>BMGV03</v></cell><cell r="D137" t="str"><v>NO PANEL TO READ</v></cell><cell r="E137" t="str"><v>NO PANEL TO READ</v></cell><cell r="F137" t="str"><v>12th Novemeber 2020</v></cell><cell r="G137"><v>300</v></cell><cell r="H137"><v>300</v></cell><cell r="I137"><v>0</v></cell><cell r="J137"><v>0</v></cell><cell r="K137"><v>0</v></cell><cell r="L137"><v>2</v></cell><cell r="M137"><v>15</v></cell><cell r="N137"><v>0</v></cell></row><row r="138"><cell r="A138" t="str"><v>BHMN05_SEC_DCDB_AG01</v></cell><cell r="B138" t="str"><v>BHMN05;DC SYS A</v></cell><cell r="C138" t="str"><v>BHMN05</v></cell><cell r="D138"><v>260</v></cell><cell r="E138"><v>280</v></cell><cell r="F138"><v>44958</v></cell><cell r="G138"><v>300</v></cell><cell r="H138"><v>300</v></cell><cell r="I138"><v>0</v></cell><cell r="J138"><v>0</v></cell><cell r="K138"><v>0</v></cell><cell r="L138"><v>5</v></cell><cell r="M138"><v>6</v></cell><cell r="N138"><v>0</v></cell></row><row r="139"><cell r="A139" t="str"><v>BHMN05_SEC_WALL_DCDB_A</v></cell><cell r="B139" t="str"><v>BHMN05;DC SYS A</v></cell><cell r="C139" t="str"><v>BHMN05</v></cell><cell r="D139"><v>120</v></cell><cell r="E139"><v>120</v></cell><cell r="F139"><v>44958</v></cell><cell r="G139"><v>200</v></cell><cell r="H139"><v>200</v></cell><cell r="I139"><v>4</v></cell><cell r="J139"><v>1</v></cell><cell r="K139"><v>1</v></cell><cell r="L139"><v>0</v></cell><cell r="M139"><v>3</v></cell><cell r="N139"><v>0</v></cell></row><row r="140"><cell r="A140" t="str"><v>BHMN05_SEC_WALL_DCDB_B</v></cell><cell r="B140" t="str"><v>BHMN05;DC SYS A</v></cell><cell r="C140" t="str"><v>BHMN05</v></cell><cell r="D140"><v>95</v></cell><cell r="E140"><v>95</v></cell><cell r="F140"><v>44958</v></cell><cell r="G140"><v>200</v></cell><cell r="H140"><v>200</v></cell><cell r="I140"><v>6</v></cell><cell r="J140"><v>0</v></cell><cell r="K140"><v>0</v></cell><cell r="L140"><v>0</v></cell><cell r="M140"><v>7</v></cell><cell r="N140"><v>0</v></cell></row><row r="141"><cell r="A141" t="str"><v>BHMN05_SEC_WALL_DCDB_C</v></cell><cell r="B141" t="str"><v>BHMN05;DC SYS A</v></cell><cell r="C141" t="str"><v>BHMN05</v></cell><cell r="D141"><v>90</v></cell><cell r="E141"><v>105</v></cell><cell r="F141"><v>44958</v></cell><cell r="G141"><v>200</v></cell><cell r="H141"><v>200</v></cell><cell r="I141"><v>6</v></cell><cell r="J141"><v>1</v></cell><cell r="K141"><v>0</v></cell><cell r="L141"><v>1</v></cell><cell r="M141"><v>2</v></cell><cell r="N141"><v>0</v></cell></row><row r="142"><cell r="A142" t="str"><v>BHMN05_SEC_WALL_DCDB_D</v></cell><cell r="B142" t="str"><v>BHMN05;DC SYS A</v></cell><cell r="C142" t="str"><v>BHMN05</v></cell><cell r="D142"><v>100</v></cell><cell r="E142"><v>120</v></cell><cell r="F142"><v>44958</v></cell><cell r="G142"><v>200</v></cell><cell r="H142"><v>200</v></cell><cell r="I142"><v>0</v></cell><cell r="J142"><v>1</v></cell><cell r="K142"><v>0</v></cell><cell r="L142"><v>0</v></cell><cell r="M142"><v>9</v></cell><cell r="N142"><v>1</v></cell></row><row r="143"><cell r="A143" t="str"><v>BHMN08_PDU1A_B.</v></cell><cell r="B143" t="str"><v>BHMN08;DCSYS03B</v></cell><cell r="C143" t="str"><v>BHMN08</v></cell><cell r="D143"><v>131</v></cell><cell r="E143"><v>157.65</v></cell><cell r="F143"><v>45665</v></cell><cell r="G143"><v>360</v></cell><cell r="H143"><v>360</v></cell></row><row r="144"><cell r="A144" t="str"><v>NECCD1 (EATON RACKS)_Suite G 1&2.</v></cell><cell r="B144" t="str"><v>NECCD1;DC SYS01</v></cell><cell r="C144" t="str"><v>NECCD1</v></cell><cell r="D144" t="str"><v>NONE</v></cell><cell r="E144" t="str"><v>NONE</v></cell><cell r="F144" t="str"><v>21ST OCTOBER 2020</v></cell><cell r="G144"><v>200</v></cell><cell r="H144"><v>200</v></cell><cell r="I144"><v>0</v></cell><cell r="J144"><v>0</v></cell><cell r="K144"><v>0</v></cell><cell r="L144"><v>0</v></cell><cell r="M144"><v>0</v></cell><cell r="N144"><v>0</v></cell></row><row r="145"><cell r="A145" t="str"><v>NECCD1_DC-DB (Wall Mounted ).</v></cell><cell r="B145" t="str"><v>NECCD1;DC SYS01</v></cell><cell r="C145" t="str"><v>NECCD1</v></cell><cell r="D145" t="str"><v>NONE</v></cell><cell r="E145" t="str"><v>NONE</v></cell><cell r="F145" t="str"><v>21ST OCTOBER 2020</v></cell><cell r="G145"><v>200</v></cell><cell r="H145"><v>200</v></cell><cell r="I145"><v>0</v></cell><cell r="J145"><v>0</v></cell><cell r="K145"><v>8</v></cell><cell r="L145"><v>0</v></cell><cell r="M145"><v>0</v></cell><cell r="N145"><v>0</v></cell></row><row r="146"><cell r="A146" t="str"><v>CELL01 - ADVANCE DC 600  Suite 2C.</v></cell><cell r="B146" t="str"><v>CELL01;DC SYS01</v></cell><cell r="C146" t="str"><v>CELL01</v></cell><cell r="D146"><v>20</v></cell><cell r="E146"><v>20</v></cell><cell r="F146" t="str"><v>17th December 2020</v></cell><cell r="G146"><v>300</v></cell><cell r="H146"><v>300</v></cell><cell r="I146"><v>0</v></cell><cell r="J146"><v>0</v></cell><cell r="K146"><v>0</v></cell><cell r="L146"><v>0</v></cell><cell r="M146"><v>0</v></cell><cell r="N146"><v>0</v></cell></row><row r="147"><cell r="A147" t="str"><v>CELL01 - ADVANCE DC 600  Suite 3C.</v></cell><cell r="B147" t="str"><v>CELL01;DC SYS01</v></cell><cell r="C147" t="str"><v>CELL01</v></cell><cell r="D147"><v>20</v></cell><cell r="E147"><v>20</v></cell><cell r="F147" t="str"><v>17th December 2020</v></cell><cell r="G147"><v>300</v></cell><cell r="H147"><v>300</v></cell><cell r="I147"><v>0</v></cell><cell r="J147"><v>0</v></cell><cell r="K147"><v>0</v></cell><cell r="L147"><v>1</v></cell><cell r="M147"><v>0</v></cell><cell r="N147"><v>0</v></cell></row><row r="148"><cell r="A148" t="str"><v>COV_SEC_DD770_AC01</v></cell></row><row r="148"><cell r="C148" t="str"><v>COV</v></cell><cell r="D148"><v>100</v></cell><cell r="E148"><v>100</v></cell><cell r="F148"><v>44998</v></cell><cell r="G148"><v>300</v></cell><cell r="H148"><v>300</v></cell><cell r="I148"><v>2</v></cell><cell r="J148"><v>9</v></cell><cell r="K148"><v>0</v></cell><cell r="L148"><v>6</v></cell><cell r="M148"><v>12</v></cell><cell r="N148"><v>0</v></cell></row><row r="149"><cell r="A149" t="str"><v>COV_SEC_DD770_AJ01</v></cell></row><row r="149"><cell r="C149" t="str"><v>COV</v></cell><cell r="D149"><v>100</v></cell><cell r="E149"><v>100</v></cell><cell r="F149" t="str"><v>22nd October 2020</v></cell><cell r="G149"><v>300</v></cell><cell r="H149"><v>300</v></cell><cell r="I149"><v>2</v></cell><cell r="J149"><v>1</v></cell><cell r="K149"><v>0</v></cell><cell r="L149"><v>11</v></cell><cell r="M149"><v>9</v></cell><cell r="N149"><v>0</v></cell></row><row r="150"><cell r="A150" t="str"><v>COV_SEC_DD770_RS04</v></cell></row><row r="150"><cell r="C150" t="str"><v>COV</v></cell><cell r="D150"><v>200</v></cell><cell r="E150"><v>200</v></cell><cell r="F150" t="str"><v>22nd October 2020</v></cell><cell r="G150"><v>300</v></cell><cell r="H150"><v>300</v></cell><cell r="I150"><v>6</v></cell><cell r="J150"><v>4</v></cell><cell r="K150"><v>0</v></cell><cell r="L150"><v>20</v></cell><cell r="M150"><v>6</v></cell><cell r="N150"><v>0</v></cell></row><row r="151"><cell r="A151" t="str"><v>DBY_SEC_DD770_PQ1</v></cell><cell r="B151" t="str"><v>DBY;DC SYS01</v></cell><cell r="C151" t="str"><v>DBY</v></cell><cell r="D151"><v>100</v></cell><cell r="E151"><v>100</v></cell><cell r="F151"><v>45105</v></cell><cell r="G151"><v>300</v></cell><cell r="H151"><v>300</v></cell><cell r="I151"><v>5</v></cell><cell r="J151"><v>3</v></cell><cell r="K151"><v>0</v></cell><cell r="L151"><v>11</v></cell><cell r="M151"><v>6</v></cell><cell r="N151"><v>0</v></cell></row><row r="152"><cell r="A152" t="str"><v>EVMN01_DCDIST_GH04</v></cell><cell r="B152" t="str"><v>EVMN01;DC SYS01</v></cell><cell r="C152" t="str"><v>EVMN01</v></cell><cell r="D152"><v>0</v></cell><cell r="E152"><v>0</v></cell><cell r="F152" t="str"><v>5th November 2020</v></cell><cell r="G152"><v>300</v></cell><cell r="H152"><v>300</v></cell><cell r="I152"><v>10</v></cell><cell r="J152"><v>10</v></cell><cell r="K152"><v>6</v></cell><cell r="L152"><v>0</v></cell><cell r="M152"><v>0</v></cell><cell r="N152"><v>15</v></cell></row><row r="153"><cell r="A153" t="str"><v>EVMN01_SEC_DCDIST_GH02</v></cell><cell r="B153" t="str"><v>EVMN01;DC SYS01</v></cell><cell r="C153" t="str"><v>EVMN01</v></cell><cell r="D153"><v>15</v></cell><cell r="E153"><v>15</v></cell><cell r="F153"><v>42720</v></cell><cell r="G153"><v>300</v></cell><cell r="H153"><v>300</v></cell><cell r="I153"><v>0</v></cell><cell r="J153"><v>0</v></cell><cell r="K153"><v>0</v></cell><cell r="L153"><v>0</v></cell><cell r="M153"><v>0</v></cell><cell r="N153"><v>61</v></cell></row><row r="154"><cell r="A154" t="str"><v>LMSCN2 - DCDB - Suite D and E - Wall Mounted.</v></cell><cell r="B154" t="str"><v>LMSCN2;DC SYS01</v></cell><cell r="C154" t="str"><v>LMSCN2</v></cell><cell r="D154"><v>5</v></cell><cell r="E154" t="str"><v>NONE</v></cell><cell r="F154"><v>44119</v></cell><cell r="G154"><v>32</v></cell><cell r="H154"><v>0</v></cell><cell r="I154"><v>0</v></cell><cell r="J154"><v>0</v></cell><cell r="K154"><v>0</v></cell><cell r="L154"><v>0</v></cell><cell r="M154"><v>2</v></cell><cell r="N154"><v>0</v></cell></row><row r="155"><cell r="A155" t="str"><v>LMSCN2 - DCDB - Suite G - Wall Mounted.</v></cell><cell r="B155" t="str"><v>LMSCN2;DC SYS01</v></cell><cell r="C155" t="str"><v>LMSCN2</v></cell><cell r="D155" t="str"><v>NO METER ON PANEL</v></cell><cell r="E155" t="str"><v>NO METER ON PANEL</v></cell><cell r="F155"><v>44119</v></cell><cell r="G155"><v>63</v></cell><cell r="H155"><v>63</v></cell><cell r="I155"><v>0</v></cell><cell r="J155"><v>0</v></cell><cell r="K155"><v>0</v></cell><cell r="L155"><v>0</v></cell><cell r="M155"><v>0</v></cell><cell r="N155"><v>0</v></cell></row><row r="156"><cell r="A156" t="str"><v>LCT_PDU1A_B</v></cell><cell r="B156" t="str"><v>LCT;DC SYS01</v></cell><cell r="C156" t="str"><v>LCT</v></cell><cell r="D156"><v>37.51</v></cell><cell r="E156"><v>34.53</v></cell><cell r="F156"><v>45631</v></cell><cell r="G156"><v>360</v></cell><cell r="H156"><v>360</v></cell></row><row r="157"><cell r="A157" t="str"><v>LCT_SEC_CBDB#02_NN01</v></cell><cell r="B157" t="str"><v>LCT;DC SYS01</v></cell><cell r="C157" t="str"><v>LCT</v></cell><cell r="D157"><v>100</v></cell><cell r="E157"><v>100</v></cell><cell r="F157"><v>45014</v></cell><cell r="G157"><v>300</v></cell><cell r="H157"><v>300</v></cell><cell r="I157"><v>3</v></cell><cell r="J157"><v>0</v></cell><cell r="K157"><v>0</v></cell><cell r="L157"><v>0</v></cell><cell r="M157"><v>0</v></cell><cell r="N157"><v>41</v></cell></row><row r="158"><cell r="A158" t="str"><v>LCT_SEC_DD770_Q5</v></cell><cell r="B158" t="str"><v>LCT;DC SYS01</v></cell><cell r="C158" t="str"><v>LCT</v></cell><cell r="D158"><v>265</v></cell><cell r="E158"><v>245</v></cell><cell r="F158"><v>45014</v></cell><cell r="G158"><v>300</v></cell><cell r="H158"><v>300</v></cell><cell r="I158"><v>1</v></cell><cell r="J158"><v>3</v></cell><cell r="K158"><v>0</v></cell><cell r="L158"><v>1</v></cell><cell r="M158"><v>7</v></cell><cell r="N158"><v>0</v></cell></row><row r="159"><cell r="A159" t="str"><v>NGM_SEC _DD770_NN07</v></cell><cell r="B159" t="str"><v>NGM;DC SYS03</v></cell><cell r="C159" t="str"><v>NGM</v></cell><cell r="D159"><v>140</v></cell><cell r="E159"><v>140</v></cell><cell r="F159"><v>45005</v></cell><cell r="G159"><v>300</v></cell><cell r="H159"><v>300</v></cell><cell r="I159"><v>5</v></cell><cell r="J159"><v>0</v></cell><cell r="K159"><v>3</v></cell><cell r="L159"><v>8</v></cell><cell r="M159"><v>6</v></cell><cell r="N159"><v>0</v></cell></row><row r="160"><cell r="A160" t="str"><v>NGM_SEC_DD770_U</v></cell><cell r="B160" t="str"><v>NGM;DC SYS03</v></cell><cell r="C160" t="str"><v>NGM</v></cell><cell r="D160"><v>120</v></cell><cell r="E160"><v>120</v></cell><cell r="F160"><v>45005</v></cell><cell r="G160"><v>300</v></cell><cell r="H160"><v>300</v></cell><cell r="I160"><v>6</v></cell><cell r="J160"><v>0</v></cell><cell r="K160"><v>1</v></cell><cell r="L160"><v>8</v></cell><cell r="M160"><v>6</v></cell><cell r="N160"><v>0</v></cell></row><row r="161"><cell r="A161" t="str"><v>NGMTL1_SEC_ L16</v></cell><cell r="B161" t="str"><v>NGMTL1;DC SYS01</v></cell><cell r="C161" t="str"><v>NGMTL1</v></cell><cell r="D161"><v>25</v></cell><cell r="E161"><v>25</v></cell><cell r="F161" t="str"><v>Supply cable size
(sq mm)</v></cell><cell r="G161"><v>300</v></cell><cell r="H161"><v>300</v></cell><cell r="I161"><v>0</v></cell><cell r="J161"><v>0</v></cell><cell r="K161"><v>0</v></cell><cell r="L161"><v>0</v></cell><cell r="M161"><v>6</v></cell><cell r="N161"><v>39</v></cell></row><row r="162"><cell r="A162" t="str"><v>BSHN03_SEC_CBDB_CA11</v></cell><cell r="B162" t="str"><v>BSHN03;DC SYS A</v></cell><cell r="C162" t="str"><v>BSHN03</v></cell><cell r="D162"><v>100</v></cell><cell r="E162"><v>110</v></cell><cell r="F162"><v>44959</v></cell><cell r="G162"><v>300</v></cell><cell r="H162"><v>300</v></cell><cell r="I162"><v>0</v></cell><cell r="J162"><v>2</v></cell><cell r="K162"><v>10</v></cell><cell r="L162"><v>5</v></cell><cell r="M162"><v>0</v></cell><cell r="N162"><v>25</v></cell></row><row r="163"><cell r="A163" t="str"><v>BSHN03_SEC_DD770_AA01</v></cell><cell r="B163" t="str"><v>BSHN03;DC SYS A</v></cell><cell r="C163" t="str"><v>BSHN03</v></cell><cell r="D163"><v>170</v></cell><cell r="E163"><v>180</v></cell><cell r="F163"><v>44959</v></cell><cell r="G163"><v>300</v></cell><cell r="H163"><v>300</v></cell><cell r="I163"><v>0</v></cell><cell r="J163"><v>1</v></cell><cell r="K163"><v>0</v></cell><cell r="L163"><v>5</v></cell><cell r="M163"><v>0</v></cell><cell r="N163"><v>0</v></cell></row><row r="164"><cell r="A164" t="str"><v>BSHN03_SEC_DD770_AC01</v></cell><cell r="B164" t="str"><v>BSHN03;DC SYS A</v></cell><cell r="C164" t="str"><v>BSHN03</v></cell><cell r="D164"><v>42</v></cell><cell r="E164"><v>43</v></cell><cell r="F164"><v>45296</v></cell><cell r="G164"><v>300</v></cell><cell r="H164"><v>300</v></cell><cell r="I164"><v>3</v></cell><cell r="J164"><v>0</v></cell><cell r="K164"><v>12</v></cell><cell r="L164"><v>11</v></cell><cell r="M164"><v>11</v></cell><cell r="N164"><v>0</v></cell></row><row r="165"><cell r="A165" t="str"><v>BSHN03_SEC_DD770_AE01</v></cell><cell r="B165" t="str"><v>BSHN03;DC SYS A</v></cell><cell r="C165" t="str"><v>BSHN03</v></cell><cell r="D165"><v>160</v></cell><cell r="E165"><v>180</v></cell><cell r="F165"><v>44959</v></cell><cell r="G165"><v>300</v></cell><cell r="H165"><v>300</v></cell><cell r="I165"><v>0</v></cell><cell r="J165"><v>0</v></cell><cell r="K165"><v>2</v></cell><cell r="L165"><v>8</v></cell><cell r="M165"><v>12</v></cell><cell r="N165"><v>0</v></cell></row><row r="166"><cell r="A166" t="str"><v>BSHN03_SEC_DD770_AG01</v></cell><cell r="B166" t="str"><v>BSHN03;DC SYS A</v></cell><cell r="C166" t="str"><v>BSHN03</v></cell><cell r="D166"><v>110</v></cell><cell r="E166"><v>130</v></cell><cell r="F166"><v>44959</v></cell><cell r="G166"><v>300</v></cell><cell r="H166"><v>300</v></cell><cell r="I166"><v>0</v></cell><cell r="J166"><v>0</v></cell><cell r="K166"><v>3</v></cell><cell r="L166"><v>20</v></cell><cell r="M166"><v>10</v></cell><cell r="N166"><v>0</v></cell></row><row r="167"><cell r="A167" t="str"><v>BSHN03_SEC_DD770_BA01</v></cell><cell r="B167" t="str"><v>BSHN03;DC SYS A</v></cell><cell r="C167" t="str"><v>BSHN03</v></cell><cell r="D167"><v>20</v></cell><cell r="E167"><v>20</v></cell><cell r="F167"><v>44959</v></cell><cell r="G167"><v>300</v></cell><cell r="H167"><v>300</v></cell><cell r="I167"><v>0</v></cell><cell r="J167"><v>0</v></cell><cell r="K167"><v>0</v></cell><cell r="L167"><v>18</v></cell><cell r="M167"><v>0</v></cell><cell r="N167"><v>0</v></cell></row><row r="168"><cell r="A168" t="str"><v>BSHN03_SEC_DD770_BC01</v></cell><cell r="B168" t="str"><v>BSHN03;DC SYS A</v></cell><cell r="C168" t="str"><v>BSHN03</v></cell><cell r="D168"><v>20</v></cell><cell r="E168"><v>20</v></cell><cell r="F168"><v>44959</v></cell><cell r="G168"><v>300</v></cell><cell r="H168"><v>300</v></cell><cell r="I168"><v>0</v></cell><cell r="J168"><v>2</v></cell><cell r="K168"><v>0</v></cell><cell r="L168"><v>3</v></cell><cell r="M168"><v>0</v></cell><cell r="N168"><v>0</v></cell></row><row r="169"><cell r="A169" t="str"><v>BSHN03_SEC_DD770_BE01</v></cell><cell r="B169" t="str"><v>BSHN03;DC SYS A</v></cell><cell r="C169" t="str"><v>BSHN03</v></cell><cell r="D169"><v>10</v></cell><cell r="E169"><v>20</v></cell><cell r="F169"><v>44959</v></cell><cell r="G169"><v>300</v></cell><cell r="H169"><v>300</v></cell><cell r="I169"><v>6</v></cell><cell r="J169"><v>4</v></cell><cell r="K169"><v>6</v></cell><cell r="L169"><v>21</v></cell><cell r="M169"><v>12</v></cell><cell r="N169"><v>0</v></cell></row><row r="170"><cell r="A170" t="str"><v>BSHN03_SEC_DD770_BG01</v></cell><cell r="B170" t="str"><v>BSHN03;DC SYS A</v></cell><cell r="C170" t="str"><v>BSHN03</v></cell><cell r="D170"><v>85</v></cell><cell r="E170"><v>80</v></cell><cell r="F170"><v>44959</v></cell><cell r="G170"><v>300</v></cell><cell r="H170"><v>300</v></cell><cell r="I170"><v>3</v></cell><cell r="J170"><v>1</v></cell><cell r="K170"><v>6</v></cell><cell r="L170"><v>11</v></cell><cell r="M170"><v>11</v></cell><cell r="N170"><v>0</v></cell></row><row r="171"><cell r="A171" t="str"><v>BSHN03_SEC_DD770_CE01</v></cell><cell r="B171" t="str"><v>BSHN03;DC SYS A</v></cell><cell r="C171" t="str"><v>BSHN03</v></cell><cell r="D171"><v>15</v></cell><cell r="E171"><v>40</v></cell><cell r="F171"><v>44959</v></cell><cell r="G171"><v>300</v></cell><cell r="H171"><v>300</v></cell><cell r="I171"><v>0</v></cell><cell r="J171"><v>6</v></cell><cell r="K171"><v>4</v></cell><cell r="L171"><v>24</v></cell><cell r="M171"><v>18</v></cell><cell r="N171"><v>0</v></cell></row><row r="172"><cell r="A172" t="str"><v>BSHN03_SEC_DD770_CG01</v></cell><cell r="B172" t="str"><v>BSHN03;DC SYS A</v></cell><cell r="C172" t="str"><v>BSHN03</v></cell><cell r="D172"><v>100</v></cell><cell r="E172"><v>120</v></cell><cell r="F172"><v>44959</v></cell><cell r="G172"><v>300</v></cell><cell r="H172"><v>300</v></cell><cell r="I172"><v>0</v></cell><cell r="J172"><v>3</v></cell><cell r="K172"><v>0</v></cell><cell r="L172"><v>25</v></cell><cell r="M172"><v>12</v></cell><cell r="N172"><v>0</v></cell></row><row r="173"><cell r="A173" t="str"><v>BSHN03_SEC_DD770_GH14</v></cell><cell r="B173" t="str"><v>BSHN03;DC SYS A</v></cell><cell r="C173" t="str"><v>BSHN03</v></cell><cell r="D173"><v>80</v></cell><cell r="E173"><v>90</v></cell><cell r="F173"><v>44959</v></cell><cell r="G173"><v>300</v></cell><cell r="H173"><v>300</v></cell><cell r="I173"><v>3</v></cell><cell r="J173"><v>0</v></cell><cell r="K173"><v>0</v></cell><cell r="L173"><v>7</v></cell><cell r="M173"><v>10</v></cell><cell r="N173"><v>0</v></cell></row><row r="174"><cell r="A174" t="str"><v>BSHN07_SEC_CBDB_E01</v></cell><cell r="B174" t="str"><v>BSH;DC SYS01A</v></cell><cell r="C174" t="str"><v>BSHN07</v></cell><cell r="D174"><v>166</v></cell><cell r="E174"><v>147</v></cell><cell r="F174"><v>44964</v></cell><cell r="G174"><v>300</v></cell><cell r="H174"><v>300</v></cell><cell r="I174"><v>0</v></cell><cell r="J174"><v>0</v></cell><cell r="K174"><v>11</v></cell><cell r="L174"><v>0</v></cell><cell r="M174"><v>0</v></cell><cell r="N174"><v>37</v></cell></row><row r="175"><cell r="A175" t="str"><v>BSHN07_SEC_DD770_LL03</v></cell><cell r="B175" t="str"><v>BSH;DC SYS01A</v></cell><cell r="C175" t="str"><v>BSHN07</v></cell><cell r="D175"><v>250</v></cell><cell r="E175"><v>275</v></cell><cell r="F175"><v>44964</v></cell><cell r="G175"><v>300</v></cell><cell r="H175"><v>300</v></cell><cell r="I175"><v>4</v></cell><cell r="J175"><v>1</v></cell><cell r="K175"><v>0</v></cell><cell r="L175"><v>2</v></cell><cell r="M175"><v>12</v></cell><cell r="N175"><v>0</v></cell></row><row r="176"><cell r="A176" t="str"><v>BSHN08_PDU1A_B</v></cell><cell r="B176" t="str"><v>BSH;DC SYS01A</v></cell><cell r="C176" t="str"><v>BSHN08</v></cell><cell r="D176"><v>228.16</v></cell><cell r="E176"><v>228.16</v></cell><cell r="F176"><v>45631</v></cell><cell r="G176"><v>360</v></cell><cell r="H176"><v>360</v></cell></row><row r="177"><cell r="A177" t="str"><v>SOLN02_SEC_DD770_DE01</v></cell><cell r="B177" t="str"><v>SOL;DC SYS01</v></cell><cell r="C177" t="str"><v>SOLN02</v></cell><cell r="D177"><v>60</v></cell><cell r="E177"><v>60</v></cell><cell r="F177"><v>44117</v></cell><cell r="G177"><v>300</v></cell><cell r="H177"><v>300</v></cell><cell r="I177"><v>5</v></cell><cell r="J177"><v>6</v></cell><cell r="K177"><v>6</v></cell><cell r="L177"><v>11</v></cell><cell r="M177"><v>12</v></cell><cell r="N177"><v>0</v></cell></row><row r="178"><cell r="A178" t="str"><v>SOLN02_SEC_DD770_GF01</v></cell><cell r="B178" t="str"><v>SOL;DC SYS01</v></cell><cell r="C178" t="str"><v>SOLN02</v></cell><cell r="D178"><v>20</v></cell><cell r="E178"><v>30</v></cell><cell r="F178"><v>0</v></cell><cell r="G178"><v>300</v></cell><cell r="H178"><v>300</v></cell><cell r="I178"><v>6</v></cell><cell r="J178"><v>6</v></cell><cell r="K178"><v>1</v></cell><cell r="L178"><v>23</v></cell><cell r="M178"><v>12</v></cell><cell r="N178"><v>0</v></cell></row><row r="179"><cell r="A179" t="str"><v>SOT_SEC_DCDB_ WALL_Suite GH - Rack 03</v></cell><cell r="B179" t="str"><v>SOT;DC SYS01</v></cell><cell r="C179" t="str"><v>SOT</v></cell><cell r="D179"><v>113</v></cell><cell r="E179"><v>110</v></cell><cell r="F179"><v>45082</v></cell><cell r="G179"><v>300</v></cell><cell r="H179"><v>300</v></cell><cell r="I179"><v>1</v></cell><cell r="J179"><v>0</v></cell><cell r="K179"><v>3</v></cell><cell r="L179"><v>0</v></cell><cell r="M179"><v>0</v></cell><cell r="N179"><v>26</v></cell></row><row r="180"><cell r="A180" t="str"><v>SOT_SEC_WALL_DCDB_01_No DCDB found</v></cell><cell r="B180" t="str"><v>SOT;DC SYS01</v></cell><cell r="C180" t="str"><v>SOT</v></cell><cell r="D180"><v>0</v></cell><cell r="E180"><v>0</v></cell><cell r="F180"><v>0</v></cell><cell r="G180"><v>0</v></cell><cell r="H180"><v>0</v></cell><cell r="I180"><v>0</v></cell><cell r="J180"><v>0</v></cell><cell r="K180"><v>0</v></cell><cell r="L180"><v>0</v></cell><cell r="M180"><v>0</v></cell><cell r="N180"><v>0</v></cell></row><row r="181"><cell r="A181" t="str"><v>SOT_SEC_WALL_DCDB_02_No DCDB found</v></cell><cell r="B181" t="str"><v>SOT;DC SYS01</v></cell><cell r="C181" t="str"><v>SOT</v></cell><cell r="D181"><v>0</v></cell><cell r="E181"><v>0</v></cell><cell r="F181"><v>0</v></cell><cell r="G181"><v>0</v></cell><cell r="H181"><v>0</v></cell><cell r="I181"><v>0</v></cell><cell r="J181"><v>1</v></cell><cell r="K181"><v>0</v></cell><cell r="L181"><v>0</v></cell><cell r="M181"><v>0</v></cell><cell r="N181"><v>0</v></cell></row><row r="182"><cell r="A182" t="str"><v>SOT_SEC_WALL_DCDBA&B_No DCDB found</v></cell><cell r="B182" t="str"><v>SOT;DC SYS01</v></cell><cell r="C182" t="str"><v>SOT</v></cell><cell r="D182"><v>0</v></cell><cell r="E182"><v>0</v></cell><cell r="F182"><v>0</v></cell><cell r="G182"><v>100</v></cell><cell r="H182"><v>100</v></cell><cell r="I182"><v>0</v></cell><cell r="J182"><v>0</v></cell><cell r="K182"><v>0</v></cell><cell r="L182"><v>0</v></cell><cell r="M182"><v>0</v></cell><cell r="N182"><v>0</v></cell></row><row r="183"><cell r="A183" t="str"><v>WVHTF1_SEC_DCDB.1 - Suite.J Rack.0.</v></cell><cell r="B183" t="str"><v>WVHTF1;DCSys01</v></cell><cell r="C183" t="str"><v>WVHTF1</v></cell><cell r="D183"><v>90</v></cell><cell r="E183"><v>90</v></cell><cell r="F183" t="str"><v>23rd March 2021</v></cell><cell r="G183"><v>300</v></cell><cell r="H183"><v>300</v></cell><cell r="I183"><v>0</v></cell><cell r="J183"><v>0</v></cell><cell r="K183"><v>6</v></cell><cell r="L183"><v>0</v></cell><cell r="M183"><v>0</v></cell><cell r="N183"><v>24</v></cell></row><row r="184"><cell r="A184" t="str"><v>CHDCD1_SEC_CBDB_ D05</v></cell><cell r="B184" t="str"><v>CHDCD1;DC SYS01</v></cell><cell r="C184" t="str"><v>CHDCD1</v></cell><cell r="D184"><v>40</v></cell><cell r="E184"><v>40</v></cell><cell r="F184"><v>45105</v></cell><cell r="G184"><v>125</v></cell><cell r="H184"><v>125</v></cell><cell r="I184"><v>0</v></cell><cell r="J184"><v>0</v></cell><cell r="K184"><v>5</v></cell><cell r="L184"><v>0</v></cell><cell r="M184"><v>4</v></cell><cell r="N184"><v>34</v></cell></row><row r="185"><cell r="A185" t="str"><v>DONTN1_DCDB _GH2</v></cell><cell r="B185" t="str"><v>DONTN1;DC SYS01</v></cell><cell r="C185" t="str"><v>DONTN1</v></cell><cell r="D185"><v>90</v></cell><cell r="E185"><v>90</v></cell><cell r="F185"><v>44126</v></cell><cell r="G185"><v>300</v></cell><cell r="H185"><v>300</v></cell><cell r="I185"><v>6</v></cell><cell r="J185"><v>4</v></cell><cell r="K185"><v>0</v></cell><cell r="L185"><v>10</v></cell><cell r="M185"><v>6</v></cell><cell r="N185"><v>0</v></cell></row><row r="186"><cell r="A186" t="str"><v>LDMS13_SYS_DCDB_3J</v></cell><cell r="B186" t="str"><v>LDMS13;DC SYS01 A</v></cell><cell r="C186" t="str"><v>LDMS13</v></cell><cell r="D186"><v>43</v></cell><cell r="E186"><v>58</v></cell><cell r="F186"><v>44252</v></cell><cell r="G186"><v>300</v></cell><cell r="H186"><v>300</v></cell><cell r="I186"><v>0</v></cell><cell r="J186"><v>0</v></cell><cell r="K186"><v>0</v></cell><cell r="L186"><v>0</v></cell><cell r="M186"><v>0</v></cell><cell r="N186"><v>0</v></cell></row><row r="187"><cell r="A187" t="str"><v>LDSCD1_SEC_DD770_AB1</v></cell><cell r="B187" t="str"><v>LDSCD1;DC SYS01</v></cell><cell r="C187" t="str"><v>LDSCD1</v></cell><cell r="D187"><v>0</v></cell><cell r="E187"><v>0</v></cell><cell r="F187"><v>0</v></cell><cell r="G187"><v>300</v></cell><cell r="H187"><v>300</v></cell><cell r="I187"><v>4</v></cell><cell r="J187"><v>6</v></cell><cell r="K187"><v>10</v></cell><cell r="L187"><v>14</v></cell><cell r="M187"><v>12</v></cell><cell r="N187"><v>0</v></cell></row><row r="188"><cell r="A188" t="str"><v>LDSCD1_SEC_WALL_DD770</v></cell><cell r="B188" t="str"><v>LDSCD1;DC SYS01</v></cell><cell r="C188" t="str"><v>LDSCD1</v></cell><cell r="D188"><v>0</v></cell><cell r="E188"><v>0</v></cell><cell r="F188"><v>0</v></cell><cell r="G188"><v>300</v></cell><cell r="H188"><v>300</v></cell><cell r="I188"><v>0</v></cell><cell r="J188"><v>0</v></cell><cell r="K188"><v>0</v></cell><cell r="L188"><v>5</v></cell><cell r="M188"><v>12</v></cell><cell r="N188"><v>0</v></cell></row><row r="189"><cell r="A189" t="str"><v>LDSCD1_SYS_DCDB_01</v></cell><cell r="B189" t="str"><v>LDSCD1;DC SYS01</v></cell><cell r="C189" t="str"><v>LDSCD1</v></cell><cell r="D189"><v>0</v></cell><cell r="E189"><v>0</v></cell><cell r="F189"><v>0</v></cell><cell r="G189"><v>300</v></cell><cell r="H189"><v>300</v></cell><cell r="I189"><v>0</v></cell><cell r="J189"><v>6</v></cell><cell r="K189"><v>0</v></cell><cell r="L189"><v>0</v></cell><cell r="M189"><v>0</v></cell><cell r="N189"><v>0</v></cell></row><row r="190"><cell r="A190" t="str"><v>LDSCD1_SYS_DCDB_02</v></cell><cell r="B190" t="str"><v>LDSCD1;DC SYS01</v></cell><cell r="C190" t="str"><v>LDSCD1</v></cell><cell r="D190"><v>0</v></cell><cell r="E190"><v>0</v></cell><cell r="F190"><v>0</v></cell><cell r="G190"><v>300</v></cell><cell r="H190"><v>300</v></cell><cell r="I190"><v>0</v></cell><cell r="J190"><v>7</v></cell><cell r="K190"><v>0</v></cell><cell r="L190"><v>0</v></cell><cell r="M190"><v>0</v></cell><cell r="N190"><v>0</v></cell></row><row r="191"><cell r="A191" t="str"><v>LDSCD2_PDU1A_B</v></cell><cell r="B191" t="str"><v>LDSCD2;DC SYS A</v></cell><cell r="C191" t="str"><v>LDSCD2</v></cell><cell r="D191"><v>202.29</v></cell><cell r="E191"><v>148.31</v></cell><cell r="F191"><v>45631</v></cell><cell r="G191"><v>360</v></cell><cell r="H191"><v>360</v></cell></row><row r="192"><cell r="A192" t="str"><v>LDSCD2_SEC_CBDB_AB1</v></cell><cell r="B192" t="str"><v>LDSCD2;DC SYS A</v></cell><cell r="C192" t="str"><v>LDSCD2</v></cell><cell r="D192"><v>100</v></cell><cell r="E192"><v>100</v></cell><cell r="F192"><v>44116</v></cell><cell r="G192"><v>300</v></cell><cell r="H192"><v>300</v></cell><cell r="I192"><v>0</v></cell><cell r="J192"><v>0</v></cell><cell r="K192"><v>0</v></cell><cell r="L192"><v>2</v></cell><cell r="M192"><v>6</v></cell><cell r="N192"><v>35</v></cell></row><row r="193"><cell r="A193" t="str"><v>LDSCD2_SEC_CBDB_CD1</v></cell><cell r="B193" t="str"><v>LDSCD2;DC SYS A</v></cell><cell r="C193" t="str"><v>LDSCD2</v></cell><cell r="D193"><v>260</v></cell><cell r="E193"><v>230</v></cell><cell r="F193"><v>44382</v></cell><cell r="G193"><v>300</v></cell><cell r="H193"><v>300</v></cell><cell r="I193"><v>0</v></cell><cell r="J193"><v>0</v></cell><cell r="K193"><v>0</v></cell><cell r="L193"><v>2</v></cell><cell r="M193"><v>0</v></cell><cell r="N193"><v>17</v></cell></row><row r="194"><cell r="A194" t="str"><v>LDSCD2_SEC_CBDB_EF1</v></cell><cell r="B194" t="str"><v>LDSCD2;DC SYS A</v></cell><cell r="C194" t="str"><v>LDSCD2</v></cell><cell r="D194"><v>250</v></cell><cell r="E194"><v>250</v></cell><cell r="F194"><v>44116</v></cell><cell r="G194"><v>300</v></cell><cell r="H194"><v>300</v></cell><cell r="I194"><v>0</v></cell><cell r="J194"><v>0</v></cell><cell r="K194"><v>3</v></cell><cell r="L194"><v>0</v></cell><cell r="M194"><v>4</v></cell><cell r="N194"><v>29</v></cell></row><row r="195"><cell r="A195" t="str"><v>LDSCD2_SEC_CBDB_GH1</v></cell><cell r="B195" t="str"><v>LDSCD2;DC SYS A</v></cell><cell r="C195" t="str"><v>LDSCD2</v></cell><cell r="D195"><v>50</v></cell><cell r="E195"><v>0</v></cell><cell r="F195"><v>44116</v></cell><cell r="G195"><v>300</v></cell><cell r="H195"><v>300</v></cell><cell r="I195"><v>0</v></cell><cell r="J195"><v>0</v></cell><cell r="K195"><v>0</v></cell><cell r="L195"><v>16</v></cell><cell r="M195"><v>9</v></cell><cell r="N195"><v>18</v></cell></row><row r="196"><cell r="A196" t="str"><v>LDSCD2_SEC_CBDB_JK1</v></cell><cell r="B196" t="str"><v>LDSCD2;DC SYS A</v></cell><cell r="C196" t="str"><v>LDSCD2</v></cell><cell r="D196"><v>150</v></cell><cell r="E196"><v>150</v></cell><cell r="F196"><v>44116</v></cell><cell r="G196"><v>300</v></cell><cell r="H196"><v>300</v></cell><cell r="I196"><v>0</v></cell><cell r="J196"><v>0</v></cell><cell r="K196"><v>2</v></cell><cell r="L196"><v>0</v></cell><cell r="M196"><v>0</v></cell><cell r="N196"><v>12</v></cell></row><row r="197"><cell r="A197" t="str"><v>LDSCD2_SEC_CBDB_TU01</v></cell><cell r="B197" t="str"><v>LDSCD2;DC SYS A</v></cell><cell r="C197" t="str"><v>LDSCD2</v></cell><cell r="D197"><v>241</v></cell><cell r="E197"><v>156</v></cell><cell r="F197"><v>44482</v></cell><cell r="G197"><v>300</v></cell><cell r="H197"><v>300</v></cell><cell r="I197"><v>5</v></cell><cell r="J197"><v>0</v></cell><cell r="K197"><v>0</v></cell><cell r="L197"><v>0</v></cell><cell r="M197"><v>0</v></cell><cell r="N197"><v>12</v></cell></row><row r="198"><cell r="A198" t="str"><v>LDSCD2_SEC_CBDB_XY01 (this is actually the iPDU)</v></cell><cell r="B198" t="str"><v>LDSCD2;DC SYS A</v></cell><cell r="C198" t="str"><v>LDSCD2</v></cell></row><row r="199"><cell r="A199" t="str"><v>LDSTS1_DCDB Eaton J10</v></cell><cell r="B199" t="str"><v>LDSTS1;DC SYS01</v></cell><cell r="C199" t="str"><v>LDSTS1</v></cell><cell r="D199"><v>155</v></cell><cell r="E199"><v>155</v></cell><cell r="F199"><v>44974</v></cell><cell r="G199"><v>300</v></cell><cell r="H199"><v>300</v></cell><cell r="I199"><v>0</v></cell><cell r="J199"><v>0</v></cell><cell r="K199"><v>0</v></cell><cell r="L199"><v>0</v></cell><cell r="M199"><v>0</v></cell><cell r="N199"><v>23</v></cell></row><row r="200"><cell r="A200" t="str"><v>LDSTS1_DCDB Eaton M19</v></cell><cell r="B200" t="str"><v>LDSTS1;DC SYS01</v></cell><cell r="C200" t="str"><v>LDSTS1</v></cell><cell r="D200"><v>132</v></cell><cell r="E200"><v>129</v></cell><cell r="F200"><v>44974</v></cell><cell r="G200"><v>300</v></cell><cell r="H200"><v>300</v></cell><cell r="I200"><v>1</v></cell><cell r="J200"><v>0</v></cell><cell r="K200"><v>0</v></cell><cell r="L200"><v>0</v></cell><cell r="M200"><v>0</v></cell><cell r="N200"><v>31</v></cell></row><row r="201"><cell r="A201" t="str"><v>LDSTS1 EOS DA</v></cell><cell r="B201" t="str"><v>LDSTS1;DC SYS01</v></cell><cell r="C201" t="str"><v>LDSTS1</v></cell><cell r="D201" t="str"><v>N/A</v></cell><cell r="E201" t="str"><v>N/A</v></cell><cell r="F201"><v>44974</v></cell><cell r="G201"><v>80</v></cell><cell r="H201"><v>80</v></cell><cell r="I201"><v>0</v></cell><cell r="J201"><v>0</v></cell><cell r="K201"><v>0</v></cell><cell r="L201"><v>0</v></cell><cell r="M201"><v>11</v></cell><cell r="N201"><v>0</v></cell></row><row r="202"><cell r="A202" t="str"><v>LDSTS1 EOS EA</v></cell><cell r="B202" t="str"><v>LDSTS1;DC SYS01</v></cell><cell r="C202" t="str"><v>LDSTS1</v></cell><cell r="D202" t="str"><v>N/A</v></cell><cell r="E202" t="str"><v>N/A</v></cell><cell r="F202"><v>44974</v></cell><cell r="G202"><v>80</v></cell><cell r="H202"><v>80</v></cell><cell r="I202"><v>0</v></cell><cell r="J202"><v>0</v></cell><cell r="K202"><v>0</v></cell><cell r="L202"><v>0</v></cell><cell r="M202"><v>11</v></cell><cell r="N202"><v>0</v></cell></row><row r="203"><cell r="A203" t="str"><v>LDSTS1 EOS FA</v></cell><cell r="B203" t="str"><v>LDSTS1;DC SYS01</v></cell><cell r="C203" t="str"><v>LDSTS1</v></cell><cell r="D203" t="str"><v>N/A</v></cell><cell r="E203" t="str"><v>N/A</v></cell><cell r="F203"><v>44974</v></cell><cell r="G203"><v>80</v></cell><cell r="H203"><v>80</v></cell><cell r="I203"><v>0</v></cell><cell r="J203"><v>0</v></cell><cell r="K203"><v>0</v></cell><cell r="L203"><v>0</v></cell><cell r="M203"><v>8</v></cell><cell r="N203"><v>0</v></cell></row><row r="204"><cell r="A204" t="str"><v>LDSTS1 EOS GA</v></cell><cell r="B204" t="str"><v>LDSTS1;DC SYS01</v></cell><cell r="C204" t="str"><v>LDSTS1</v></cell><cell r="D204" t="str"><v>N/A</v></cell><cell r="E204" t="str"><v>N/A</v></cell><cell r="F204"><v>44974</v></cell><cell r="G204"><v>80</v></cell><cell r="H204"><v>80</v></cell><cell r="I204"><v>0</v></cell><cell r="J204"><v>0</v></cell><cell r="K204"><v>0</v></cell><cell r="L204"><v>0</v></cell><cell r="M204"><v>10</v></cell><cell r="N204"><v>0</v></cell></row><row r="205"><cell r="A205" t="str"><v>LDSTS1 EOS HA</v></cell><cell r="B205" t="str"><v>LDSTS1;DC SYS01</v></cell><cell r="C205" t="str"><v>LDSTS1</v></cell><cell r="D205" t="str"><v>N/A</v></cell><cell r="E205" t="str"><v>N/A</v></cell><cell r="F205"><v>44974</v></cell><cell r="G205"><v>80</v></cell><cell r="H205"><v>80</v></cell><cell r="I205"><v>0</v></cell><cell r="J205"><v>0</v></cell><cell r="K205"><v>0</v></cell><cell r="L205"><v>0</v></cell><cell r="M205"><v>12</v></cell><cell r="N205"><v>0</v></cell></row><row r="206"><cell r="A206" t="str"><v>LDSTS1 EOS JA</v></cell><cell r="B206" t="str"><v>LDSTS1;DC SYS01</v></cell><cell r="C206" t="str"><v>LDSTS1</v></cell><cell r="D206" t="str"><v>N/A</v></cell><cell r="E206" t="str"><v>N/A</v></cell><cell r="F206"><v>44974</v></cell><cell r="G206"><v>80</v></cell><cell r="H206"><v>80</v></cell><cell r="I206"><v>0</v></cell><cell r="J206"><v>0</v></cell><cell r="K206"><v>0</v></cell><cell r="L206"><v>0</v></cell><cell r="M206"><v>12</v></cell><cell r="N206"><v>0</v></cell></row><row r="207"><cell r="A207" t="str"><v>LDSTS1 EOS KA</v></cell><cell r="B207" t="str"><v>LDSTS1;DC SYS01</v></cell><cell r="C207" t="str"><v>LDSTS1</v></cell><cell r="D207" t="str"><v>N/A</v></cell><cell r="E207" t="str"><v>N/A</v></cell><cell r="F207"><v>44974</v></cell><cell r="G207"><v>80</v></cell><cell r="H207"><v>80</v></cell><cell r="I207"><v>0</v></cell><cell r="J207"><v>0</v></cell><cell r="K207"><v>3</v></cell><cell r="L207"><v>0</v></cell><cell r="M207"><v>0</v></cell><cell r="N207"><v>0</v></cell></row><row r="208"><cell r="A208" t="str"><v>LDSTS1 EOS LA</v></cell><cell r="B208" t="str"><v>LDSTS1;DC SYS01</v></cell><cell r="C208" t="str"><v>LDSTS1</v></cell><cell r="D208" t="str"><v>N/A</v></cell><cell r="E208" t="str"><v>N/A</v></cell><cell r="F208"><v>44974</v></cell><cell r="G208"><v>80</v></cell><cell r="H208"><v>80</v></cell><cell r="I208"><v>0</v></cell><cell r="J208"><v>0</v></cell><cell r="K208"><v>2</v></cell><cell r="L208"><v>0</v></cell><cell r="M208"><v>0</v></cell><cell r="N208"><v>0</v></cell></row><row r="209"><cell r="A209" t="str"><v>LDSTS1 EOS M</v></cell><cell r="B209" t="str"><v>LDSTS1;DC SYS01</v></cell><cell r="C209" t="str"><v>LDSTS1</v></cell><cell r="D209" t="str"><v>N/A</v></cell><cell r="E209" t="str"><v>N/A</v></cell><cell r="F209"><v>44974</v></cell><cell r="G209"><v>80</v></cell><cell r="H209"><v>80</v></cell><cell r="I209"><v>0</v></cell><cell r="J209"><v>0</v></cell><cell r="K209"><v>0</v></cell><cell r="L209"><v>0</v></cell><cell r="M209"><v>10</v></cell><cell r="N209"><v>0</v></cell></row><row r="210"><cell r="A210" t="str"><v>LDSTS1 EOS MA</v></cell><cell r="B210" t="str"><v>LDSTS1;DC SYS01</v></cell><cell r="C210" t="str"><v>LDSTS1</v></cell><cell r="D210" t="str"><v>N/A</v></cell><cell r="E210" t="str"><v>N/A</v></cell><cell r="F210"><v>44974</v></cell><cell r="G210"><v>80</v></cell><cell r="H210"><v>80</v></cell><cell r="I210"><v>0</v></cell><cell r="J210"><v>0</v></cell><cell r="K210"><v>0</v></cell><cell r="L210"><v>0</v></cell><cell r="M210"><v>19</v></cell><cell r="N210"><v>0</v></cell></row><row r="211"><cell r="A211" t="str"><v>LDSTS1 EOS N</v></cell><cell r="B211" t="str"><v>LDSTS1;DC SYS01</v></cell><cell r="C211" t="str"><v>LDSTS1</v></cell><cell r="D211" t="str"><v>N/A</v></cell><cell r="E211" t="str"><v>N/A</v></cell><cell r="F211"><v>44974</v></cell><cell r="G211"><v>80</v></cell><cell r="H211"><v>80</v></cell><cell r="I211"><v>0</v></cell><cell r="J211"><v>0</v></cell><cell r="K211"><v>0</v></cell><cell r="L211"><v>0</v></cell><cell r="M211"><v>9</v></cell><cell r="N211"><v>0</v></cell></row><row r="212"><cell r="A212" t="str"><v>LDSTS1 EOS NA</v></cell><cell r="B212" t="str"><v>LDSTS1;DC SYS01</v></cell><cell r="C212" t="str"><v>LDSTS1</v></cell><cell r="D212" t="str"><v>N/A</v></cell><cell r="E212" t="str"><v>N/A</v></cell><cell r="F212"><v>44974</v></cell><cell r="G212"><v>80</v></cell><cell r="H212"><v>80</v></cell><cell r="I212"><v>0</v></cell><cell r="J212"><v>0</v></cell><cell r="K212"><v>0</v></cell><cell r="L212"><v>0</v></cell><cell r="M212"><v>9</v></cell><cell r="N212"><v>0</v></cell></row><row r="213"><cell r="A213" t="str"><v>IGNORE</v></cell><cell r="B213" t="str"><v>LDSTS1;DC SYS01</v></cell><cell r="C213" t="str"><v>LDSTS1</v></cell><cell r="D213"><v>0</v></cell><cell r="E213"><v>0</v></cell><cell r="F213"><v>0</v></cell><cell r="G213"><v>300</v></cell><cell r="H213"><v>300</v></cell><cell r="I213"><v>0</v></cell><cell r="J213"><v>0</v></cell><cell r="K213"><v>0</v></cell><cell r="L213"><v>0</v></cell><cell r="M213"><v>0</v></cell><cell r="N213"><v>0</v></cell></row><row r="214"><cell r="A214" t="str"><v>IGNORE</v></cell><cell r="B214" t="str"><v>LDSTS1;DC SYS01</v></cell><cell r="C214" t="str"><v>LDSTS1</v></cell><cell r="D214"><v>0</v></cell><cell r="E214"><v>0</v></cell><cell r="F214"><v>0</v></cell><cell r="G214"><v>300</v></cell><cell r="H214"><v>300</v></cell><cell r="I214"><v>0</v></cell><cell r="J214"><v>8</v></cell><cell r="K214"><v>0</v></cell><cell r="L214"><v>0</v></cell><cell r="M214"><v>0</v></cell><cell r="N214"><v>0</v></cell></row><row r="215"><cell r="A215" t="str"><v>MDBTD1_EATON DC-DB-1.</v></cell><cell r="B215" t="str"><v>MDBTD1;DC SYS01</v></cell><cell r="C215" t="str"><v>MDBTD1</v></cell><cell r="D215"><v>0.5</v></cell><cell r="E215"><v>0.5</v></cell><cell r="F215" t="str"><v>16/10/2020</v></cell><cell r="G215"><v>300</v></cell><cell r="H215"><v>300</v></cell><cell r="I215"><v>6</v></cell><cell r="J215"><v>0</v></cell><cell r="K215"><v>0</v></cell><cell r="L215"><v>0</v></cell><cell r="M215"><v>0</v></cell><cell r="N215"><v>37</v></cell></row><row r="216"><cell r="A216" t="str"><v>NULTB1_SEC_CBDB_Suite D.</v></cell><cell r="B216" t="str"><v>NULTB1;DC SYS01</v></cell><cell r="C216" t="str"><v>NULTB1</v></cell><cell r="D216"><v>40</v></cell><cell r="E216"><v>40</v></cell><cell r="F216"><v>44235</v></cell><cell r="G216"><v>300</v></cell><cell r="H216"><v>300</v></cell><cell r="I216"><v>0</v></cell><cell r="J216"><v>0</v></cell><cell r="K216"><v>14</v></cell><cell r="L216"><v>1</v></cell><cell r="M216"><v>0</v></cell><cell r="N216"><v>32</v></cell></row><row r="217"><cell r="A217" t="str"><v>NWCN05_PDU1A_B</v></cell><cell r="B217" t="str"><v>NWCN05;DC SYS01</v></cell><cell r="C217" t="str"><v>NWCN05</v></cell><cell r="D217"><v>56.74</v></cell><cell r="E217"><v>40.66</v></cell><cell r="F217"><v>45631</v></cell><cell r="G217"><v>360</v></cell><cell r="H217"><v>360</v></cell></row><row r="218"><cell r="A218" t="str"><v>NWCN05_SEC_DD770_AB01</v></cell><cell r="B218" t="str"><v>NWCN05;DC SYS01</v></cell><cell r="C218" t="str"><v>NWCN05</v></cell><cell r="D218"><v>70</v></cell><cell r="E218"><v>0</v></cell><cell r="F218"><v>44084</v></cell><cell r="G218"><v>300</v></cell><cell r="H218"><v>300</v></cell><cell r="I218"><v>3</v></cell><cell r="J218"><v>0</v></cell><cell r="K218"><v>4</v></cell><cell r="L218"><v>14</v></cell><cell r="M218"><v>11</v></cell><cell r="N218"><v>0</v></cell></row><row r="219"><cell r="A219" t="str"><v>NWCN05_SEC_DD770_CD17</v></cell><cell r="B219" t="str"><v>NWCN05;DC SYS01</v></cell><cell r="C219" t="str"><v>NWCN05</v></cell><cell r="D219"><v>80</v></cell><cell r="E219"><v>60</v></cell><cell r="F219"><v>44084</v></cell><cell r="G219"><v>300</v></cell><cell r="H219"><v>300</v></cell><cell r="I219"><v>6</v></cell><cell r="J219"><v>0</v></cell><cell r="K219"><v>4</v></cell><cell r="L219"><v>11</v></cell><cell r="M219"><v>9</v></cell><cell r="N219"><v>0</v></cell></row><row r="220"><cell r="A220" t="str"><v>SHD_SEC_DD770_AB7</v></cell><cell r="B220" t="str"><v>SHD;DC SYS01</v></cell><cell r="C220" t="str"><v>SHD</v></cell><cell r="D220"><v>100</v></cell><cell r="E220"><v>100</v></cell><cell r="F220"><v>44971</v></cell><cell r="G220"><v>300</v></cell><cell r="H220"><v>300</v></cell><cell r="I220"><v>2</v></cell><cell r="J220"><v>1</v></cell><cell r="K220"><v>0</v></cell><cell r="L220"><v>10</v></cell><cell r="M220"><v>10</v></cell><cell r="N220"><v>0</v></cell></row><row r="221"><cell r="A221" t="str"><v>SHD_SEC_DD770_GH00</v></cell><cell r="B221" t="str"><v>SHD;DC SYS01</v></cell><cell r="C221" t="str"><v>SHD</v></cell><cell r="D221"><v>110</v></cell><cell r="E221"><v>110</v></cell><cell r="F221"><v>44971</v></cell><cell r="G221"><v>300</v></cell><cell r="H221"><v>300</v></cell><cell r="I221"><v>3</v></cell><cell r="J221"><v>3</v></cell><cell r="K221"><v>0</v></cell><cell r="L221"><v>11</v></cell><cell r="M221"><v>8</v></cell><cell r="N221"><v>0</v></cell></row><row r="222"><cell r="A222" t="str"><v>SHD_SEC_WALL_CBDB4</v></cell><cell r="B222" t="str"><v>SHD;DC SYS01</v></cell><cell r="C222" t="str"><v>SHD</v></cell><cell r="D222"><v>40</v></cell><cell r="E222"><v>45</v></cell><cell r="F222"><v>44971</v></cell><cell r="G222"><v>300</v></cell><cell r="H222"><v>300</v></cell><cell r="I222"><v>0</v></cell><cell r="J222"><v>0</v></cell><cell r="K222"><v>0</v></cell><cell r="L222"><v>0</v></cell><cell r="M222"><v>2</v></cell><cell r="N222"><v>0</v></cell></row><row r="223"><cell r="A223" t="str"><v>SNDTM1_PRI_WALL_DIST A3_RECT A</v></cell><cell r="B223" t="str"><v>SNDTM1;DC SYS01</v></cell><cell r="C223" t="str"><v>SNDTM1</v></cell><cell r="D223"><v>0</v></cell><cell r="E223"><v>0</v></cell><cell r="F223"><v>0</v></cell><cell r="G223"><v>300</v></cell><cell r="H223"><v>0</v></cell><cell r="I223"><v>0</v></cell><cell r="J223"><v>0</v></cell><cell r="K223"><v>0</v></cell><cell r="L223"><v>0</v></cell><cell r="M223"><v>0</v></cell><cell r="N223"><v>0</v></cell></row><row r="224"><cell r="A224" t="str"><v>SNDTM1_PRI_WALL_DIST B2_RECT B</v></cell><cell r="B224" t="str"><v>SNDTM1;DC SYS01</v></cell><cell r="C224" t="str"><v>SNDTM1</v></cell><cell r="D224"><v>0</v></cell><cell r="E224"><v>0</v></cell><cell r="F224"><v>0</v></cell><cell r="G224"><v>300</v></cell><cell r="H224"><v>0</v></cell><cell r="I224"><v>0</v></cell><cell r="J224"><v>0</v></cell><cell r="K224"><v>0</v></cell><cell r="L224"><v>0</v></cell><cell r="M224"><v>0</v></cell><cell r="N224"><v>0</v></cell></row><row r="225"><cell r="A225" t="str"><v>TGY_SEC_DD770_D08</v></cell><cell r="B225" t="str"><v>TGY;DC SYSA</v></cell><cell r="C225" t="str"><v>TGYN04</v></cell><cell r="D225"><v>25</v></cell><cell r="E225"><v>25</v></cell><cell r="F225"><v>44973</v></cell><cell r="G225"><v>300</v></cell><cell r="H225"><v>300</v></cell><cell r="I225"><v>6</v></cell><cell r="J225"><v>5</v></cell><cell r="K225"><v>6</v></cell><cell r="L225"><v>14</v></cell><cell r="M225"><v>12</v></cell><cell r="N225"><v>0</v></cell></row><row r="226"><cell r="A226" t="str"><v>TGY_SEC_DD770_V1</v></cell><cell r="B226" t="str"><v>TGY;DC SYSA</v></cell><cell r="C226" t="str"><v>TGYN04</v></cell><cell r="D226"><v>100</v></cell><cell r="E226"><v>100</v></cell><cell r="F226"><v>44973</v></cell><cell r="G226"><v>300</v></cell><cell r="H226"><v>300</v></cell><cell r="I226"><v>0</v></cell><cell r="J226"><v>3</v></cell><cell r="K226"><v>6</v></cell><cell r="L226"><v>24</v></cell><cell r="M226"><v>10</v></cell><cell r="N226"><v>0</v></cell></row><row r="227"><cell r="A227" t="str"><v>TGY_SEC_WALL_CBDB</v></cell><cell r="B227" t="str"><v>TGY;DC SYSA</v></cell><cell r="C227" t="str"><v>TGYN04</v></cell><cell r="D227"><v>0</v></cell><cell r="E227"><v>0</v></cell><cell r="F227"><v>0</v></cell><cell r="G227"><v>300</v></cell><cell r="H227"><v>300</v></cell><cell r="I227"><v>0</v></cell><cell r="J227"><v>0</v></cell><cell r="K227"><v>0</v></cell><cell r="L227"><v>0</v></cell><cell r="M227"><v>0</v></cell><cell r="N227"><v>4</v></cell></row><row r="228"><cell r="A228" t="str"><v>TGY_SEC_Eaton_BD01_Room5</v></cell><cell r="B228" t="str"><v>TGY;DC SYSA</v></cell><cell r="C228" t="str"><v>TGYN04</v></cell><cell r="D228"><v>87</v></cell><cell r="E228"><v>87</v></cell><cell r="F228"><v>44973</v></cell><cell r="G228"><v>300</v></cell><cell r="H228"><v>300</v></cell><cell r="I228"><v>0</v></cell><cell r="J228"><v>0</v></cell><cell r="K228"><v>0</v></cell><cell r="L228"><v>0</v></cell><cell r="M228"><v>0</v></cell><cell r="N228"><v>40</v></cell></row><row r="229"><cell r="A229" t="str"><v>TGYN02_SEC_DD770_N01</v></cell><cell r="B229" t="str"><v>TGY;DC SYSA</v></cell><cell r="C229" t="str"><v>TGYN04</v></cell><cell r="D229"><v>60</v></cell><cell r="E229"><v>65</v></cell><cell r="F229"><v>44973</v></cell><cell r="G229"><v>300</v></cell><cell r="H229"><v>300</v></cell><cell r="I229"><v>1</v></cell><cell r="J229"><v>6</v></cell><cell r="K229"><v>6</v></cell><cell r="L229"><v>18</v></cell><cell r="M229"><v>12</v></cell><cell r="N229"><v>0</v></cell></row><row r="230"><cell r="A230" t="str"><v>TGYN02_SEC_WALL_DCDB5</v></cell><cell r="B230" t="str"><v>TGY;DC SYSA</v></cell><cell r="C230" t="str"><v>TGYN04</v></cell><cell r="D230"><v>40</v></cell><cell r="E230"><v>45</v></cell><cell r="F230"><v>44973</v></cell><cell r="G230"><v>160</v></cell><cell r="H230"><v>160</v></cell><cell r="I230"><v>0</v></cell><cell r="J230"><v>3</v></cell><cell r="K230"><v>0</v></cell><cell r="L230"><v>0</v></cell><cell r="M230"><v>0</v></cell><cell r="N230"><v>0</v></cell></row><row r="231"><cell r="A231" t="str"><v>TGYN03_SEC_DD770_01</v></cell><cell r="B231" t="str"><v>TGY;DC SYSA</v></cell><cell r="C231" t="str"><v>TGYN04</v></cell><cell r="D231"><v>180</v></cell><cell r="E231"><v>185</v></cell><cell r="F231"><v>44973</v></cell><cell r="G231"><v>300</v></cell><cell r="H231"><v>300</v></cell><cell r="I231"><v>0</v></cell><cell r="J231"><v>1</v></cell><cell r="K231"><v>0</v></cell><cell r="L231"><v>20</v></cell><cell r="M231"><v>12</v></cell><cell r="N231"><v>0</v></cell></row><row r="232"><cell r="A232" t="str"><v>TGYN04_SEC_EATON_D04</v></cell><cell r="B232" t="str"><v>TGY;DC SYSA</v></cell><cell r="C232" t="str"><v>TGYN04</v></cell><cell r="D232"><v>30</v></cell><cell r="E232"><v>30</v></cell><cell r="F232"><v>41869</v></cell><cell r="G232"><v>300</v></cell><cell r="H232"><v>300</v></cell><cell r="I232"><v>0</v></cell><cell r="J232"><v>0</v></cell><cell r="K232"><v>0</v></cell><cell r="L232"><v>0</v></cell><cell r="M232"><v>0</v></cell><cell r="N232"><v>55</v></cell></row><row r="233"><cell r="A233" t="str"><v>YRK_SEC_DD770_WALL_1</v></cell><cell r="B233" t="str"><v>YRK;DC SYS01</v></cell><cell r="C233" t="str"><v>YRK</v></cell><cell r="D233"><v>100</v></cell><cell r="E233"><v>95</v></cell><cell r="F233"><v>45049</v></cell><cell r="G233"><v>300</v></cell><cell r="H233"><v>300</v></cell><cell r="I233"><v>3</v></cell><cell r="J233"><v>0</v></cell><cell r="K233"><v>2</v></cell><cell r="L233"><v>10</v></cell><cell r="M233"><v>11</v></cell><cell r="N233"><v>0</v></cell></row><row r="234"><cell r="A234" t="str"><v>YRKTH1_SEC_CBDB_ DE01</v></cell><cell r="B234" t="str"><v>YRKTH1; DC SYS01</v></cell><cell r="C234" t="str"><v>YRKTH1</v></cell><cell r="D234"><v>25</v></cell><cell r="E234"><v>25</v></cell><cell r="F234"><v>45048</v></cell><cell r="G234"><v>300</v></cell><cell r="H234"><v>300</v></cell><cell r="I234"><v>6</v></cell><cell r="J234"><v>0</v></cell><cell r="K234"><v>1</v></cell><cell r="L234"><v>0</v></cell><cell r="M234"><v>0</v></cell><cell r="N234"><v>40</v></cell></row><row r="235"><cell r="A235" t="str"><v>BIFTS1_POWEC_C08</v></cell><cell r="B235" t="str"><v>BIFTS1; DC SYS01</v></cell><cell r="C235" t="str"><v>BIFTS1</v></cell><cell r="D235"><v>0</v></cell><cell r="E235"><v>0</v></cell><cell r="F235"><v>0</v></cell><cell r="G235"><v>300</v></cell><cell r="H235"><v>300</v></cell><cell r="I235"><v>0</v></cell><cell r="J235"><v>0</v></cell><cell r="K235"><v>0</v></cell><cell r="L235"><v>0</v></cell><cell r="M235"><v>0</v></cell><cell r="N235"><v>2</v></cell></row><row r="236"><cell r="A236" t="str"><v>BPL_SEC_DCDB_F05</v></cell><cell r="B236" t="str"><v>BPL;DC SYS01</v></cell><cell r="C236" t="str"><v>BPL</v></cell><cell r="D236"><v>20</v></cell><cell r="E236"><v>15</v></cell><cell r="F236"><v>45341</v></cell><cell r="G236"><v>300</v></cell><cell r="H236"><v>300</v></cell><cell r="I236"><v>4</v></cell><cell r="J236"><v>0</v></cell><cell r="K236"><v>2</v></cell><cell r="L236"><v>0</v></cell><cell r="M236"><v>0</v></cell><cell r="N236"><v>33</v></cell></row><row r="237"><cell r="A237" t="str"><v>CSL_SEC_WALL_DCDB_01</v></cell><cell r="B237" t="str"><v>CSL;DC SYS01</v></cell><cell r="C237" t="str"><v>CSL</v></cell><cell r="D237"><v>0</v></cell><cell r="E237"><v>0</v></cell><cell r="F237"><v>0</v></cell><cell r="G237"><v>300</v></cell><cell r="H237"><v>300</v></cell><cell r="I237"><v>0</v></cell><cell r="J237"><v>0</v></cell><cell r="K237"><v>0</v></cell><cell r="L237"><v>0</v></cell><cell r="M237"><v>0</v></cell><cell r="N237"><v>0</v></cell></row><row r="238"><cell r="A238" t="str"><v>CSL_SYS01_PER_01</v></cell><cell r="B238" t="str"><v>CSL;DC SYS01</v></cell><cell r="C238" t="str"><v>CSL</v></cell><cell r="D238"><v>0</v></cell><cell r="E238"><v>0</v></cell><cell r="F238"><v>0</v></cell><cell r="G238"><v>300</v></cell><cell r="H238"><v>300</v></cell><cell r="I238"><v>0</v></cell><cell r="J238"><v>0</v></cell><cell r="K238"><v>0</v></cell><cell r="L238"><v>10</v></cell><cell r="M238"><v>0</v></cell><cell r="N238"><v>0</v></cell></row><row r="239"><cell r="A239" t="str"><v>CSLN13_SEC_CBDB_ BC0</v></cell><cell r="B239" t="str"><v>CSLN13;DC SYS01</v></cell><cell r="C239" t="str"><v>CSLN13</v></cell><cell r="D239"><v>50</v></cell><cell r="E239"><v>50</v></cell><cell r="F239"><v>44300</v></cell><cell r="G239"><v>300</v></cell><cell r="H239"><v>300</v></cell><cell r="I239"><v>13</v></cell><cell r="J239"><v>10</v></cell><cell r="K239"><v>1</v></cell><cell r="L239"><v>0</v></cell><cell r="M239"><v>0</v></cell><cell r="N239"><v>43</v></cell></row><row r="240"><cell r="A240" t="str"><v>CTRTK1_SEC_EATON_BC0</v></cell><cell r="B240" t="str"><v>CTRTK1;DC SYS01</v></cell><cell r="C240" t="str"><v>CTRTK1</v></cell><cell r="D240"><v>10</v></cell><cell r="E240"><v>10</v></cell><cell r="F240"><v>44159</v></cell><cell r="G240"><v>300</v></cell><cell r="H240"><v>300</v></cell><cell r="I240"><v>0</v></cell><cell r="J240"><v>0</v></cell><cell r="K240"><v>0</v></cell><cell r="L240"><v>0</v></cell><cell r="M240"><v>0</v></cell><cell r="N240"><v>40</v></cell></row><row r="241"><cell r="A241" t="str"><v>CTRTS1_SEC_DCDB_GH10</v></cell><cell r="B241" t="str"><v>CTRTS1; DC SYS01</v></cell><cell r="C241" t="str"><v>CTRTS1</v></cell><cell r="D241"><v>60</v></cell><cell r="E241"><v>60</v></cell><cell r="F241"><v>44106</v></cell><cell r="G241"><v>300</v></cell><cell r="H241"><v>300</v></cell><cell r="I241"><v>8</v></cell><cell r="J241"><v>4</v></cell><cell r="K241"><v>9</v></cell><cell r="L241"><v>4</v></cell><cell r="M241"><v>0</v></cell><cell r="N241"><v>8</v></cell></row><row r="242"><cell r="A242" t="str"><v>EBCTC1_EOS A</v></cell><cell r="B242" t="str"><v>ECBTC1; DC SYS01</v></cell><cell r="C242" t="str"><v>EBCTC1</v></cell><cell r="D242"><v>7.8</v></cell><cell r="E242"><v>7.8</v></cell><cell r="F242"><v>44879</v></cell><cell r="G242"><v>300</v></cell><cell r="H242"><v>300</v></cell><cell r="I242"><v>0</v></cell><cell r="J242"><v>0</v></cell><cell r="K242"><v>0</v></cell><cell r="L242"><v>0</v></cell><cell r="M242"><v>0</v></cell><cell r="N242"><v>0</v></cell></row><row r="243"><cell r="A243" t="str"><v>DGS DB1</v></cell><cell r="B243" t="str"><v>DGS;DC SYS01</v></cell><cell r="C243" t="str"><v>DGS</v></cell><cell r="D243" t="str"><v>Not correct form</v></cell></row><row r="244"><cell r="A244" t="str"><v>DGS N2K</v></cell><cell r="B244" t="str"><v>DGS;DC SYS01</v></cell><cell r="C244" t="str"><v>DGS</v></cell><cell r="D244" t="str"><v>Not correct form</v></cell></row><row r="245"><cell r="A245" t="str"><v>KNLTS1_POWEC_PPS25_EXT CAB1</v></cell><cell r="B245" t="str"><v>KNLTS1;DC SYS01</v></cell><cell r="C245" t="str"><v>KNLTS1</v></cell><cell r="D245"><v>0</v></cell><cell r="E245"><v>0</v></cell><cell r="F245"><v>0</v></cell><cell r="G245"><v>300</v></cell><cell r="H245"><v>300</v></cell><cell r="I245"><v>9</v></cell><cell r="J245"><v>2</v></cell><cell r="K245"><v>0</v></cell><cell r="L245"><v>0</v></cell><cell r="M245"><v>0</v></cell><cell r="N245"><v>0</v></cell></row><row r="246"><cell r="A246" t="str"><v>KNLTS1_POWEC_PPS25_EXT CAB2</v></cell><cell r="B246" t="str"><v>KNLTS1;DC SYS01</v></cell><cell r="C246" t="str"><v>KNLTS1</v></cell><cell r="D246"><v>0</v></cell><cell r="E246"><v>0</v></cell><cell r="F246"><v>0</v></cell><cell r="G246"><v>300</v></cell><cell r="H246"><v>300</v></cell><cell r="I246"><v>0</v></cell><cell r="J246"><v>0</v></cell><cell r="K246"><v>12</v></cell><cell r="L246"><v>0</v></cell><cell r="M246"><v>0</v></cell><cell r="N246"><v>0</v></cell></row><row r="247"><cell r="A247" t="str"><v>KNLTS1_POWEC_PPS25_MAIN CAB</v></cell><cell r="B247" t="str"><v>KNLTS1;DC SYS01</v></cell><cell r="C247" t="str"><v>KNLTS1</v></cell><cell r="D247"><v>0</v></cell><cell r="E247"><v>0</v></cell><cell r="F247"><v>0</v></cell><cell r="G247"><v>300</v></cell><cell r="H247"><v>300</v></cell><cell r="I247"><v>0</v></cell><cell r="J247"><v>2</v></cell><cell r="K247"><v>0</v></cell><cell r="L247"><v>0</v></cell><cell r="M247"><v>0</v></cell><cell r="N247"><v>0</v></cell></row><row r="248"><cell r="A248" t="str"><v>LLDTE1_EOS KL00 - ignore</v></cell><cell r="B248" t="str"><v>LLDTE1;DC SYS01</v></cell><cell r="C248" t="str"><v>LLDTE1</v></cell><cell r="D248"><v>0</v></cell><cell r="E248"><v>0</v></cell><cell r="F248"><v>0</v></cell><cell r="G248"><v>300</v></cell><cell r="H248"><v>300</v></cell><cell r="I248"><v>0</v></cell><cell r="J248"><v>0</v></cell><cell r="K248"><v>0</v></cell><cell r="L248"><v>0</v></cell><cell r="M248"><v>0</v></cell><cell r="N248"><v>9</v></cell></row><row r="249"><cell r="A249" t="str"><v>LPLTB1_SEC_EATON_DC06</v></cell><cell r="B249" t="str"><v>LPLTB1;DC SYS01</v></cell><cell r="C249" t="str"><v>LPLTB1</v></cell><cell r="D249"><v>0</v></cell><cell r="E249"><v>0</v></cell><cell r="F249"><v>0</v></cell><cell r="G249"><v>300</v></cell><cell r="H249"><v>300</v></cell><cell r="I249"><v>0</v></cell><cell r="J249"><v>0</v></cell><cell r="K249"><v>0</v></cell><cell r="L249"><v>0</v></cell><cell r="M249"><v>0</v></cell><cell r="N249"><v>61</v></cell></row><row r="250"><cell r="A250" t="str"><v>MCRN11_SEC_CBDB_PQ18</v></cell><cell r="B250" t="str"><v>MCRN11;DC SYS01a</v></cell><cell r="C250" t="str"><v>MCRN11</v></cell><cell r="D250"><v>250</v></cell><cell r="E250"><v>250</v></cell><cell r="F250" t="str"><v>26/03/2018</v></cell><cell r="G250"><v>300</v></cell><cell r="H250"><v>300</v></cell><cell r="I250"><v>2</v></cell><cell r="J250"><v>0</v></cell><cell r="K250"><v>1</v></cell><cell r="L250"><v>0</v></cell><cell r="M250"><v>0</v></cell><cell r="N250"><v>11</v></cell></row><row r="251"><cell r="A251" t="str"><v>MCRN11_SEC_DD770_BC01</v></cell><cell r="B251" t="str"><v>MCRN11;DC SYS01a</v></cell><cell r="C251" t="str"><v>MCRN11</v></cell><cell r="D251"><v>150</v></cell><cell r="E251"><v>150</v></cell><cell r="F251"><v>41950</v></cell><cell r="G251"><v>300</v></cell><cell r="H251"><v>300</v></cell><cell r="I251"><v>2</v></cell><cell r="J251"><v>0</v></cell><cell r="K251"><v>0</v></cell><cell r="L251"><v>3</v></cell><cell r="M251"><v>11</v></cell><cell r="N251"><v>0</v></cell></row><row r="252"><cell r="A252" t="str"><v>MCRN11_SEC_DD770_HJ01</v></cell><cell r="B252" t="str"><v>MCRN11;DC SYS01a</v></cell><cell r="C252" t="str"><v>MCRN11</v></cell><cell r="D252"><v>155</v></cell><cell r="E252"><v>155</v></cell><cell r="F252"><v>42948</v></cell><cell r="G252"><v>300</v></cell><cell r="H252"><v>300</v></cell><cell r="I252"><v>2</v></cell><cell r="J252"><v>0</v></cell><cell r="K252"><v>0</v></cell><cell r="L252"><v>15</v></cell><cell r="M252"><v>6</v></cell><cell r="N252"><v>0</v></cell></row><row r="253"><cell r="A253" t="str"><v>MCRN11_SEC_DD770_HJ19</v></cell><cell r="B253" t="str"><v>MCRN11;DC SYS01a</v></cell><cell r="C253" t="str"><v>MCRN11</v></cell><cell r="D253"><v>165</v></cell><cell r="E253"><v>145</v></cell><cell r="F253"><v>42948</v></cell><cell r="G253"><v>300</v></cell><cell r="H253"><v>300</v></cell><cell r="I253"><v>2</v></cell><cell r="J253"><v>5</v></cell><cell r="K253"><v>0</v></cell><cell r="L253"><v>7</v></cell><cell r="M253"><v>10</v></cell><cell r="N253"><v>0</v></cell></row><row r="254"><cell r="A254" t="str"><v>MCRN11_SEC_DD770_PQ01</v></cell><cell r="B254" t="str"><v>MCRN11;DC SYS01a</v></cell><cell r="C254" t="str"><v>MCRN11</v></cell><cell r="D254"><v>95</v></cell><cell r="E254"><v>95</v></cell><cell r="F254" t="str"><v>23.02.2017</v></cell><cell r="G254"><v>300</v></cell><cell r="H254"><v>300</v></cell><cell r="I254"><v>0</v></cell><cell r="J254"><v>0</v></cell><cell r="K254"><v>0</v></cell><cell r="L254"><v>12</v></cell><cell r="M254"><v>9</v></cell><cell r="N254"><v>0</v></cell></row><row r="255"><cell r="A255" t="str"><v>MCRN12_PDU1A_B</v></cell><cell r="B255" t="str"><v>MCRN12;DC SYS01 A</v></cell><cell r="C255" t="str"><v>MCRN12</v></cell><cell r="D255"><v>223.5</v></cell><cell r="E255"><v>247.52</v></cell><cell r="F255"><v>45631</v></cell><cell r="G255"><v>360</v></cell><cell r="H255"><v>360</v></cell></row><row r="256"><cell r="A256" t="str"><v>MCRN12_SEC_CBDB_ Q01_A Feed-Capped</v></cell><cell r="B256" t="str"><v>MCRN12;DC SYS01 A</v></cell><cell r="C256" t="str"><v>MCRN12</v></cell><cell r="D256"><v>55</v></cell><cell r="E256"><v>55</v></cell><cell r="F256"><v>44330</v></cell><cell r="G256"><v>300</v></cell><cell r="H256"><v>300</v></cell><cell r="I256"><v>0</v></cell><cell r="J256"><v>0</v></cell><cell r="K256"><v>0</v></cell><cell r="L256"><v>0</v></cell><cell r="M256"><v>0</v></cell><cell r="N256"><v>13</v></cell></row><row r="257"><cell r="A257" t="str"><v>MCRN12_SEC_CBDB_ R01_B Feed-Capped</v></cell><cell r="B257" t="str"><v>MCRN12;DC SYS01 A</v></cell><cell r="C257" t="str"><v>MCRN12</v></cell><cell r="D257"><v>55</v></cell><cell r="E257"><v>55</v></cell><cell r="F257"><v>44331</v></cell><cell r="G257"><v>300</v></cell><cell r="H257"><v>300</v></cell><cell r="I257"><v>0</v></cell><cell r="J257"><v>0</v></cell><cell r="K257"><v>0</v></cell><cell r="L257"><v>0</v></cell><cell r="M257"><v>0</v></cell><cell r="N257"><v>13</v></cell></row><row r="258"><cell r="A258" t="str"><v>MCRN12_SEC_CBDB_ALAM01</v></cell><cell r="B258" t="str"><v>MCRN12;DC SYS01 A</v></cell><cell r="C258" t="str"><v>MCRN12</v></cell><cell r="D258"><v>245</v></cell><cell r="E258"><v>245</v></cell><cell r="F258"><v>44330</v></cell><cell r="G258"><v>300</v></cell><cell r="H258"><v>300</v></cell><cell r="I258"><v>0</v></cell><cell r="J258"><v>0</v></cell><cell r="K258"><v>0</v></cell><cell r="L258"><v>0</v></cell><cell r="M258"><v>0</v></cell><cell r="N258"><v>1</v></cell></row><row r="259"><cell r="A259" t="str"><v>MCRN12_SEC_DD770_ACAD01</v></cell><cell r="B259" t="str"><v>MCRN12;DC SYS01 A</v></cell><cell r="C259" t="str"><v>MCRN12</v></cell><cell r="D259"><v>135</v></cell><cell r="E259"><v>145</v></cell><cell r="F259"><v>44330</v></cell><cell r="G259"><v>300</v></cell><cell r="H259"><v>300</v></cell><cell r="I259"><v>4</v></cell><cell r="J259"><v>0</v></cell><cell r="K259"><v>0</v></cell><cell r="L259"><v>3</v></cell><cell r="M259"><v>12</v></cell><cell r="N259"><v>0</v></cell></row><row r="260"><cell r="A260" t="str"><v>MCRN12_SEC_DD770_AEAF01</v></cell><cell r="B260" t="str"><v>MCRN12;DC SYS01 A</v></cell><cell r="C260" t="str"><v>MCRN12</v></cell><cell r="D260"><v>140</v></cell><cell r="E260"><v>140</v></cell><cell r="F260"><v>44330</v></cell><cell r="G260"><v>300</v></cell><cell r="H260"><v>300</v></cell><cell r="I260"><v>1</v></cell><cell r="J260"><v>0</v></cell><cell r="K260"><v>0</v></cell><cell r="L260"><v>13</v></cell><cell r="M260"><v>12</v></cell><cell r="N260"><v>0</v></cell></row><row r="261"><cell r="A261" t="str"><v>MCRN12_SEC_DD770_CD01</v></cell><cell r="B261" t="str"><v>MCRN12;DC SYS01 A</v></cell><cell r="C261" t="str"><v>MCRN12</v></cell><cell r="D261"><v>142</v></cell><cell r="E261"><v>121</v></cell><cell r="F261"><v>44937</v></cell><cell r="G261"><v>300</v></cell><cell r="H261"><v>300</v></cell><cell r="I261"><v>6</v></cell><cell r="J261"><v>6</v></cell><cell r="K261"><v>1</v></cell><cell r="L261"><v>1</v></cell><cell r="M261"><v>7</v></cell><cell r="N261"><v>0</v></cell></row><row r="262"><cell r="A262" t="str"><v>MCRN12_SEC_DD770_EF01</v></cell><cell r="B262" t="str"><v>MCRN12;DC SYS01 A</v></cell><cell r="C262" t="str"><v>MCRN12</v></cell><cell r="D262"><v>95</v></cell><cell r="E262"><v>85</v></cell><cell r="F262"><v>44330</v></cell><cell r="G262"><v>300</v></cell><cell r="H262"><v>300</v></cell><cell r="I262"><v>6</v></cell><cell r="J262"><v>1</v></cell><cell r="K262"><v>6</v></cell><cell r="L262"><v>13</v></cell><cell r="M262"><v>10</v></cell><cell r="N262"><v>0</v></cell></row><row r="263"><cell r="A263" t="str"><v>MCRN12_SEC_DD770_GH01</v></cell><cell r="B263" t="str"><v>MCRN12;DC SYS01 A</v></cell><cell r="C263" t="str"><v>MCRN12</v></cell><cell r="D263"><v>105</v></cell><cell r="E263"><v>95</v></cell><cell r="F263"><v>44330</v></cell><cell r="G263"><v>300</v></cell><cell r="H263"><v>300</v></cell><cell r="I263"><v>5</v></cell><cell r="J263"><v>0</v></cell><cell r="K263"><v>0</v></cell><cell r="L263"><v>16</v></cell><cell r="M263"><v>5</v></cell><cell r="N263"><v>0</v></cell></row><row r="264"><cell r="A264" t="str"><v>MCRN12_SEC_DD770_JK01</v></cell><cell r="B264" t="str"><v>MCRN12;DC SYS01 A</v></cell><cell r="C264" t="str"><v>MCRN12</v></cell><cell r="D264"><v>90</v></cell><cell r="E264"><v>90</v></cell><cell r="F264"><v>44330</v></cell><cell r="G264"><v>300</v></cell><cell r="H264"><v>300</v></cell><cell r="I264"><v>2</v></cell><cell r="J264"><v>0</v></cell><cell r="K264"><v>2</v></cell><cell r="L264"><v>17</v></cell><cell r="M264"><v>11</v></cell><cell r="N264"><v>0</v></cell></row><row r="265"><cell r="A265" t="str"><v>MCRN12_SEC_Eaton_ BG01_A Feed-Capped</v></cell><cell r="B265" t="str"><v>MCRN12;DC SYS01 A</v></cell><cell r="C265" t="str"><v>MCRN12</v></cell><cell r="D265"><v>250</v></cell><cell r="E265" t="str"><v>NA</v></cell><cell r="F265"><v>44330</v></cell><cell r="G265"><v>300</v></cell><cell r="H265"><v>300</v></cell><cell r="I265"><v>1</v></cell><cell r="J265"><v>7</v></cell><cell r="K265"><v>0</v></cell><cell r="L265"><v>0</v></cell><cell r="M265"><v>0</v></cell><cell r="N265"><v>15</v></cell></row><row r="266"><cell r="A266" t="str"><v>MCRN12_SEC_Eaton_ BH01_B Feed-Capped</v></cell><cell r="B266" t="str"><v>MCRN12;DC SYS01 A</v></cell><cell r="C266" t="str"><v>MCRN12</v></cell><cell r="D266" t="str"><v>NA</v></cell><cell r="E266"><v>255</v></cell><cell r="F266"><v>43980</v></cell><cell r="G266"><v>300</v></cell><cell r="H266"><v>300</v></cell><cell r="I266"><v>0</v></cell><cell r="J266"><v>5</v></cell><cell r="K266"><v>0</v></cell><cell r="L266"><v>0</v></cell><cell r="M266"><v>0</v></cell><cell r="N266"><v>17</v></cell></row><row r="267"><cell r="A267" t="str"><v>MCRN12_PDU2A_B</v></cell><cell r="B267" t="str"><v>MCRN12;DC SYS01 A</v></cell><cell r="C267" t="str"><v>MCRN12</v></cell><cell r="D267"><v>159.95</v></cell><cell r="E267"><v>171.56</v></cell><cell r="F267"><v>45631</v></cell><cell r="G267"><v>360</v></cell><cell r="H267"><v>360</v></cell></row><row r="268"><cell r="A268" t="str"><v>MCRCD2_PDU1A_B</v></cell><cell r="B268" t="str"><v>MCRCD2;DC SYS02 [Rect 3&4]</v></cell><cell r="C268" t="str"><v>MCRCD2</v></cell><cell r="D268"><v>180.32</v></cell><cell r="E268"><v>177.96</v></cell><cell r="F268"><v>45631</v></cell><cell r="G268"><v>360</v></cell><cell r="H268"><v>360</v></cell></row><row r="269"><cell r="A269" t="str"><v>SWY_SEC_CBDB_1</v></cell><cell r="B269" t="str"><v>SWY;DC SYS01</v></cell><cell r="C269" t="str"><v>SWY</v></cell><cell r="D269"><v>25</v></cell><cell r="E269"><v>25</v></cell><cell r="F269"><v>45082</v></cell><cell r="G269"><v>300</v></cell><cell r="H269"><v>300</v></cell><cell r="I269"><v>0</v></cell><cell r="J269"><v>9</v></cell><cell r="K269"><v>0</v></cell><cell r="L269"><v>0</v></cell><cell r="M269"><v>11</v></cell><cell r="N269"><v>0</v></cell></row><row r="270"><cell r="A270" t="str"><v>SWY_SEC_CBDB_2</v></cell><cell r="B270" t="str"><v>SWY;DC SYS01</v></cell><cell r="C270" t="str"><v>SWY</v></cell><cell r="D270"><v>25</v></cell><cell r="E270"><v>25</v></cell><cell r="F270"><v>45082</v></cell><cell r="G270"><v>300</v></cell><cell r="H270"><v>300</v></cell><cell r="I270"><v>0</v></cell><cell r="J270"><v>9</v></cell><cell r="K270"><v>0</v></cell><cell r="L270"><v>0</v></cell><cell r="M270"><v>11</v></cell><cell r="N270"><v>0</v></cell></row><row r="271"><cell r="A271" t="str"><v>SWY_SEC_CBDB_4_Suite AH - Rack 5</v></cell><cell r="B271" t="str"><v>SWY;DC SYS01</v></cell><cell r="C271" t="str"><v>SWY</v></cell><cell r="D271"><v>60</v></cell><cell r="E271"><v>60</v></cell><cell r="F271"><v>45082</v></cell><cell r="G271"><v>300</v></cell><cell r="H271"><v>300</v></cell><cell r="I271"><v>4</v></cell><cell r="J271"><v>7</v></cell><cell r="K271"><v>0</v></cell><cell r="L271"><v>11</v></cell><cell r="M271"><v>10</v></cell><cell r="N271"><v>0</v></cell></row><row r="272"><cell r="A272" t="str"><v>SWY_SEC_DD770_3_Suite AA - Rack 5</v></cell><cell r="B272" t="str"><v>SWY;DC SYS01</v></cell><cell r="C272" t="str"><v>SWY</v></cell><cell r="D272"><v>15</v></cell><cell r="E272"><v>15</v></cell><cell r="F272"><v>45082</v></cell><cell r="G272"><v>300</v></cell><cell r="H272"><v>300</v></cell><cell r="I272"><v>6</v></cell><cell r="J272"><v>10</v></cell><cell r="K272"><v>0</v></cell><cell r="L272"><v>22</v></cell><cell r="M272"><v>7</v></cell><cell r="N272"><v>0</v></cell></row><row r="273"><cell r="A273" t="str"><v>SWY_SEC_DD770_5_Suite AB-AC - Rack 01</v></cell><cell r="B273" t="str"><v>SWY;DC SYS01</v></cell><cell r="C273" t="str"><v>SWY</v></cell><cell r="D273"><v>50</v></cell><cell r="E273"><v>45</v></cell><cell r="F273"><v>45082</v></cell><cell r="G273"><v>300</v></cell><cell r="H273"><v>300</v></cell><cell r="I273"><v>0</v></cell><cell r="J273"><v>1</v></cell><cell r="K273"><v>0</v></cell><cell r="L273"><v>14</v></cell><cell r="M273"><v>0</v></cell><cell r="N273"><v>0</v></cell></row><row r="274"><cell r="A274" t="str"><v>WTNTK1_SEC_CBDB_J33</v></cell><cell r="B274" t="str"><v>WTNTK1;DC SYS01</v></cell><cell r="C274" t="str"><v>WTNTK1</v></cell><cell r="D274"><v>110</v></cell><cell r="E274"><v>105</v></cell><cell r="F274"><v>44984</v></cell><cell r="G274"><v>300</v></cell><cell r="H274"><v>300</v></cell><cell r="I274"><v>0</v></cell><cell r="J274"><v>0</v></cell><cell r="K274"><v>5</v></cell><cell r="L274"><v>0</v></cell><cell r="M274"><v>0</v></cell><cell r="N274"><v>28</v></cell></row><row r="275"><cell r="A275" t="str"><v>BDFN02_PDU1A_B</v></cell><cell r="B275" t="str"><v>BDFN02;DC SYS01</v></cell><cell r="C275" t="str"><v>BDFN02</v></cell><cell r="D275"><v>154.75</v></cell><cell r="E275"><v>171.9</v></cell><cell r="F275"><v>45665</v></cell><cell r="G275"><v>360</v></cell><cell r="H275"><v>360</v></cell></row><row r="276"><cell r="A276" t="str"><v>BDFN02_SEC_DCDB_AJ01</v></cell><cell r="B276" t="str"><v>BDFN02;DC SYS01</v></cell><cell r="C276" t="str"><v>BDFN02</v></cell><cell r="D276"><v>100</v></cell><cell r="E276"><v>100</v></cell><cell r="F276"><v>44679</v></cell><cell r="G276"><v>300</v></cell><cell r="H276"><v>300</v></cell><cell r="I276"><v>12</v></cell><cell r="J276"><v>0</v></cell><cell r="K276"><v>4</v></cell><cell r="L276"><v>1</v></cell><cell r="M276"><v>0</v></cell><cell r="N276"><v>2</v></cell></row><row r="277"><cell r="A277" t="str"><v>BDFN02_SEC_DCDB_BD01</v></cell><cell r="B277" t="str"><v>BDFN02;DC SYS01</v></cell><cell r="C277" t="str"><v>BDFN02</v></cell><cell r="D277"><v>325</v></cell><cell r="E277"><v>300</v></cell><cell r="F277"><v>44679</v></cell><cell r="G277"><v>300</v></cell><cell r="H277"><v>300</v></cell><cell r="I277"><v>0</v></cell><cell r="J277"><v>4</v></cell><cell r="K277"><v>0</v></cell><cell r="L277"><v>0</v></cell><cell r="M277"><v>0</v></cell><cell r="N277"><v>17</v></cell></row><row r="278"><cell r="A278" t="str"><v>BDFN02_SEC_DD770_AB01</v></cell><cell r="B278" t="str"><v>BDFN02;DC SYS01</v></cell><cell r="C278" t="str"><v>BDFN02</v></cell><cell r="D278"><v>100</v></cell><cell r="E278"><v>140</v></cell><cell r="F278"><v>44685</v></cell><cell r="G278"><v>300</v></cell><cell r="H278"><v>300</v></cell><cell r="I278"><v>4</v></cell><cell r="J278"><v>2</v></cell><cell r="K278"><v>0</v></cell><cell r="L278"><v>11</v></cell><cell r="M278"><v>11</v></cell><cell r="N278"><v>0</v></cell></row><row r="279"><cell r="A279" t="str"><v>BDFN02_SEC_DD770_AV01</v></cell><cell r="B279" t="str"><v>BDFN02;DC SYS01</v></cell><cell r="C279" t="str"><v>BDFN02</v></cell><cell r="D279"><v>120</v></cell><cell r="E279"><v>170</v></cell><cell r="F279"><v>44679</v></cell><cell r="G279"><v>300</v></cell><cell r="H279"><v>300</v></cell><cell r="I279"><v>1</v></cell><cell r="J279"><v>4</v></cell><cell r="K279"><v>0</v></cell><cell r="L279"><v>3</v></cell><cell r="M279"><v>7</v></cell><cell r="N279"><v>0</v></cell></row><row r="280"><cell r="A280" t="str"><v>MKSTN1_DCDB_QR7.</v></cell><cell r="B280" t="str"><v>MKSTN1;DC SYS01</v></cell><cell r="C280" t="str"><v>MKSTN1</v></cell><cell r="D280"><v>65</v></cell><cell r="E280"><v>65</v></cell><cell r="F280"><v>44998</v></cell><cell r="G280"><v>300</v></cell><cell r="H280"><v>300</v></cell><cell r="I280"><v>5</v></cell><cell r="J280"><v>5</v></cell><cell r="K280"><v>0</v></cell><cell r="L280"><v>22</v></cell><cell r="M280"><v>9</v></cell><cell r="N280"><v>0</v></cell></row><row r="281"><cell r="A281" t="str"><v>MKSTN1_SEC_DD770_GH10</v></cell><cell r="B281" t="str"><v>MKSTN1;DC SYS01</v></cell><cell r="C281" t="str"><v>MKSTN1</v></cell><cell r="D281"><v>125</v></cell><cell r="E281"><v>125</v></cell><cell r="F281"><v>44998</v></cell><cell r="G281"><v>300</v></cell><cell r="H281"><v>300</v></cell><cell r="I281"><v>5</v></cell><cell r="J281"><v>3</v></cell><cell r="K281"><v>0</v></cell><cell r="L281"><v>0</v></cell><cell r="M281"><v>11</v></cell><cell r="N281"><v>0</v></cell></row><row r="282"><cell r="A282" t="str"><v>STEDN1_Duvine Power Rack.</v></cell><cell r="B282" t="str"><v>STEDN1;DC SYS01</v></cell><cell r="C282" t="str"><v>STEDN1</v></cell><cell r="D282"><v>120</v></cell><cell r="E282"><v>0</v></cell><cell r="F282"><v>44239</v></cell><cell r="G282"><v>300</v></cell><cell r="H282"><v>300</v></cell><cell r="I282"><v>0</v></cell><cell r="J282"><v>0</v></cell><cell r="K282"><v>0</v></cell><cell r="L282"><v>2</v></cell><cell r="M282"><v>0</v></cell><cell r="N282"><v>0</v></cell></row><row r="283"><cell r="A283" t="str"><v>BFEC01_SEC_DB00_DCDIST_8A</v></cell><cell r="B283" t="str"><v>BFEC01;DC SYS01</v></cell><cell r="C283" t="str"><v>BFEC01</v></cell><cell r="D283"><v>50</v></cell><cell r="E283"><v>0</v></cell><cell r="F283"><v>42422</v></cell><cell r="G283"><v>300</v></cell><cell r="H283"><v>0</v></cell><cell r="I283"><v>0</v></cell><cell r="J283"><v>0</v></cell><cell r="K283"><v>38</v></cell><cell r="L283"><v>0</v></cell><cell r="M283"><v>0</v></cell><cell r="N283"><v>0</v></cell></row><row r="284"><cell r="A284" t="str"><v>BFEC01_SEC_DB00_DCDIST_8B</v></cell><cell r="B284" t="str"><v>BFEC01;DC SYS01</v></cell><cell r="C284" t="str"><v>BFEC01</v></cell><cell r="D284"><v>50</v></cell><cell r="E284"><v>50</v></cell><cell r="F284"><v>42422</v></cell><cell r="G284"><v>300</v></cell><cell r="H284"><v>300</v></cell><cell r="I284"><v>0</v></cell><cell r="J284"><v>0</v></cell><cell r="K284"><v>42</v></cell><cell r="L284"><v>1</v></cell><cell r="M284"><v>3</v></cell><cell r="N284"><v>0</v></cell></row><row r="285"><cell r="A285" t="str"><v>BFEC01_SEC_EATON_C10</v></cell><cell r="B285" t="str"><v>BFEC01;DC SYS01</v></cell><cell r="C285" t="str"><v>BFEC01</v></cell><cell r="D285"><v>70</v></cell><cell r="E285"><v>70</v></cell><cell r="F285"><v>45357</v></cell><cell r="G285"><v>300</v></cell><cell r="H285"><v>300</v></cell><cell r="I285"><v>0</v></cell><cell r="J285"><v>0</v></cell><cell r="K285"><v>0</v></cell><cell r="L285"><v>0</v></cell><cell r="M285"><v>0</v></cell><cell r="N285"><v>0</v></cell></row><row r="286"><cell r="A286" t="str"><v>DD770_1_BC01</v></cell><cell r="B286" t="str"><v>BFTN03;DC SYS01</v></cell><cell r="C286" t="str"><v>BFTN03</v></cell><cell r="D286"><v>90</v></cell><cell r="E286"><v>90</v></cell><cell r="F286"><v>44160</v></cell><cell r="G286"><v>300</v></cell><cell r="H286"><v>300</v></cell><cell r="I286"><v>0</v></cell><cell r="J286"><v>0</v></cell><cell r="K286"><v>0</v></cell><cell r="L286"><v>9</v></cell><cell r="M286"><v>8</v></cell><cell r="N286"><v>0</v></cell></row><row r="287"><cell r="A287" t="str"><v>DD770_2_DE01</v></cell><cell r="B287" t="str"><v>BFTN03;DC SYS01</v></cell><cell r="C287" t="str"><v>BFTN03</v></cell><cell r="D287"><v>45</v></cell><cell r="E287"><v>40</v></cell><cell r="F287"><v>45350</v></cell><cell r="G287"><v>300</v></cell><cell r="H287"><v>300</v></cell><cell r="I287"><v>0</v></cell><cell r="J287"><v>2</v></cell><cell r="K287"><v>2</v></cell><cell r="L287"><v>1</v></cell><cell r="M287"><v>0</v></cell><cell r="N287"><v>0</v></cell></row><row r="288"><cell r="A288" t="str"><v>DD770_3_FG01</v></cell><cell r="B288" t="str"><v>BFTN03;DC SYS01</v></cell><cell r="C288" t="str"><v>BFTN03</v></cell><cell r="D288" t="str"><v>Not correct form</v></cell></row><row r="289"><cell r="A289" t="str"><v>DD770_4_FG03</v></cell><cell r="B289" t="str"><v>BFTN03;DC SYS01</v></cell><cell r="C289" t="str"><v>BFTN03</v></cell><cell r="D289" t="str"><v>Not correct form</v></cell></row><row r="290"><cell r="A290" t="str"><v>ABN_SEC_DD770_GH02</v></cell><cell r="B290" t="str"><v>ABN;DC SYS01</v></cell><cell r="C290" t="str"><v>ABN</v></cell><cell r="D290"><v>30</v></cell><cell r="E290"><v>30</v></cell><cell r="F290"><v>42422</v></cell><cell r="G290"><v>300</v></cell><cell r="H290"><v>300</v></cell><cell r="I290"><v>6</v></cell><cell r="J290"><v>4</v></cell><cell r="K290"><v>3</v></cell><cell r="L290"><v>12</v></cell><cell r="M290"><v>0</v></cell><cell r="N290"><v>17</v></cell></row><row r="291"><cell r="A291" t="str"><v>ABNTB1_DCDB _CD11</v></cell><cell r="B291" t="str"><v>ABNTB1;DC SYS01</v></cell><cell r="C291" t="str"><v>ABNTB1</v></cell><cell r="D291"><v>0</v></cell><cell r="E291"><v>0</v></cell><cell r="F291"><v>45015</v></cell><cell r="G291"><v>300</v></cell><cell r="H291"><v>300</v></cell><cell r="I291"><v>0</v></cell><cell r="J291"><v>0</v></cell><cell r="K291"><v>1</v></cell><cell r="L291"><v>35</v></cell><cell r="M291"><v>0</v></cell><cell r="N291"><v>0</v></cell></row><row r="292"><cell r="A292" t="str"><v>ABNTB1_SYS_RACK2_PANEL A_01 - IGNORE</v></cell><cell r="B292" t="str"><v>ABNTB1;DC SYS01</v></cell><cell r="C292" t="str"><v>ABNTB1</v></cell><cell r="D292"><v>0</v></cell><cell r="E292"><v>0</v></cell><cell r="F292"><v>0</v></cell><cell r="G292"><v>0</v></cell><cell r="H292"><v>0</v></cell><cell r="I292"><v>0</v></cell><cell r="J292"><v>10</v></cell><cell r="K292"><v>0</v></cell><cell r="L292"><v>0</v></cell><cell r="M292"><v>0</v></cell><cell r="N292"><v>0</v></cell></row><row r="293"><cell r="A293" t="str"><v>ABNTB1_SYS_RACK2_PANEL A_02- IGNORE</v></cell><cell r="B293" t="str"><v>ABNTB1;DC SYS01</v></cell><cell r="C293" t="str"><v>ABNTB1</v></cell><cell r="D293"><v>0</v></cell><cell r="E293"><v>0</v></cell><cell r="F293"><v>0</v></cell><cell r="G293"><v>300</v></cell><cell r="H293"><v>300</v></cell><cell r="I293"><v>0</v></cell><cell r="J293"><v>0</v></cell><cell r="K293"><v>0</v></cell><cell r="L293"><v>0</v></cell><cell r="M293"><v>0</v></cell><cell r="N293"><v>0</v></cell></row><row r="294"><cell r="A294" t="str"><v>ABNTB1_SYS_RACK3_PANEL B_01- IGNORE</v></cell><cell r="B294" t="str"><v>ABNTB1;DC SYS01</v></cell><cell r="C294" t="str"><v>ABNTB1</v></cell><cell r="D294"><v>0</v></cell><cell r="E294"><v>0</v></cell><cell r="F294"><v>0</v></cell><cell r="G294"><v>0</v></cell><cell r="H294"><v>0</v></cell><cell r="I294"><v>0</v></cell><cell r="J294"><v>0</v></cell><cell r="K294"><v>0</v></cell><cell r="L294"><v>0</v></cell><cell r="M294"><v>0</v></cell><cell r="N294"><v>0</v></cell></row><row r="295"><cell r="A295" t="str"><v>ABNTB1_SYS_RACK3_PANEL B_02- IGNORE</v></cell><cell r="B295" t="str"><v>ABNTB1;DC SYS01</v></cell><cell r="C295" t="str"><v>ABNTB1</v></cell><cell r="D295"><v>0</v></cell><cell r="E295"><v>0</v></cell><cell r="F295"><v>0</v></cell><cell r="G295"><v>0</v></cell><cell r="H295"><v>0</v></cell><cell r="I295"><v>0</v></cell><cell r="J295"><v>0</v></cell><cell r="K295"><v>0</v></cell><cell r="L295"><v>0</v></cell><cell r="M295"><v>0</v></cell><cell r="N295"><v>0</v></cell></row><row r="296"><cell r="A296" t="str"><v>ABNTD1 DC DB</v></cell><cell r="B296" t="str"><v>ABNTD1;DCSYS01</v></cell><cell r="C296" t="str"><v>ABNTD1</v></cell><cell r="D296"><v>90</v></cell><cell r="E296"><v>83</v></cell><cell r="F296"><v>44971</v></cell><cell r="G296"><v>300</v></cell><cell r="H296"><v>300</v></cell><cell r="I296"><v>0</v></cell><cell r="J296"><v>0</v></cell><cell r="K296"><v>0</v></cell><cell r="L296"><v>0</v></cell><cell r="M296"><v>0</v></cell><cell r="N296"><v>32</v></cell></row><row r="297"><cell r="A297" t="str"><v>AYRN01_DCDB_A PPS10_DB1</v></cell><cell r="B297" t="str"><v>AYRN01; DC SYS01</v></cell><cell r="C297" t="str"><v>AYRN01</v></cell><cell r="D297"><v>16</v></cell><cell r="E297"><v>0</v></cell><cell r="F297"><v>44264</v></cell><cell r="G297"><v>0</v></cell><cell r="H297"><v>0</v></cell><cell r="I297"><v>0</v></cell><cell r="J297"><v>0</v></cell><cell r="K297"><v>0</v></cell><cell r="L297"><v>0</v></cell><cell r="M297"><v>0</v></cell><cell r="N297"><v>0</v></cell></row><row r="298"><cell r="A298" t="str"><v>AYRN01_DCDB_A PPS10_DB2</v></cell><cell r="B298" t="str"><v>AYRN01; DC SYS01</v></cell><cell r="C298" t="str"><v>AYRN01</v></cell><cell r="D298"><v>0</v></cell><cell r="E298"><v>16</v></cell><cell r="F298"><v>44264</v></cell><cell r="G298"><v>0</v></cell><cell r="H298"><v>0</v></cell><cell r="I298"><v>0</v></cell><cell r="J298"><v>0</v></cell><cell r="K298"><v>0</v></cell><cell r="L298"><v>0</v></cell><cell r="M298"><v>0</v></cell><cell r="N298"><v>0</v></cell></row><row r="299"><cell r="A299" t="str"><v>DNDN71_SEC_EATON_BC01</v></cell><cell r="B299" t="str"><v>DNDN71; SYS 01</v></cell><cell r="C299" t="str"><v>DNDN71</v></cell><cell r="D299"><v>90</v></cell><cell r="E299"><v>90</v></cell><cell r="F299"><v>45273</v></cell><cell r="G299"><v>300</v></cell><cell r="H299"><v>300</v></cell><cell r="I299"><v>0</v></cell><cell r="J299"><v>0</v></cell><cell r="K299"><v>4</v></cell><cell r="L299"><v>0</v></cell><cell r="M299"><v>0</v></cell><cell r="N299"><v>9</v></cell></row><row r="300"><cell r="A300" t="str"><v>DNDTC1;POWEC987932;DCDB01</v></cell><cell r="B300" t="str"><v>DNDTC1;DCSYS01</v></cell><cell r="C300" t="str"><v>DNDTC1</v></cell><cell r="D300" t="str"><v>Not correct form</v></cell></row><row r="301"><cell r="A301" t="str"><v>DNFNP1_SEC_EATON_C7</v></cell><cell r="B301" t="str"><v>DNFNP1; DC SYS01</v></cell><cell r="C301" t="str"><v>DNFNP1</v></cell><cell r="D301"><v>0</v></cell><cell r="E301"><v>0</v></cell><cell r="F301"><v>0</v></cell><cell r="G301"><v>300</v></cell><cell r="H301"><v>300</v></cell><cell r="I301"><v>0</v></cell><cell r="J301"><v>0</v></cell><cell r="K301"><v>0</v></cell><cell r="L301"><v>0</v></cell><cell r="M301"><v>0</v></cell><cell r="N301"><v>10</v></cell></row><row r="302"><cell r="A302" t="str"><v>EDBTG1_PDU1A_B</v></cell><cell r="B302" t="str"><v>EDBTG1;DC SYSA</v></cell><cell r="C302" t="str"><v>EDBTG1</v></cell><cell r="D302"><v>115.15</v></cell><cell r="E302"><v>130.66</v></cell><cell r="F302"><v>45631</v></cell><cell r="G302"><v>360</v></cell><cell r="H302"><v>360</v></cell></row><row r="303"><cell r="A303" t="str"><v>EDBTG1_SEC_DCDB_J02</v></cell><cell r="B303" t="str"><v>EDBTG1;DC SYSA</v></cell><cell r="C303" t="str"><v>EDBTG1</v></cell><cell r="D303"><v>195</v></cell><cell r="E303"><v>205</v></cell><cell r="F303"><v>44642</v></cell><cell r="G303"><v>300</v></cell><cell r="H303"><v>300</v></cell><cell r="I303"><v>2</v></cell><cell r="J303"><v>9</v></cell><cell r="K303"><v>3</v></cell><cell r="L303"><v>0</v></cell><cell r="M303"><v>0</v></cell><cell r="N303"><v>13</v></cell></row><row r="304"><cell r="A304" t="str"><v>EDBTG1_SEC_DCDB_D11</v></cell><cell r="B304" t="str"><v>EDBTG1;DC SYSA</v></cell><cell r="C304" t="str"><v>EDBTG1</v></cell><cell r="D304"><v>184</v></cell><cell r="E304"><v>181</v></cell><cell r="F304"><v>44453</v></cell><cell r="G304"><v>300</v></cell><cell r="H304"><v>300</v></cell><cell r="I304"><v>0</v></cell><cell r="J304"><v>6</v></cell><cell r="K304"><v>4</v></cell><cell r="L304"><v>0</v></cell><cell r="M304"><v>0</v></cell><cell r="N304"><v>46</v></cell></row><row r="305"><cell r="A305" t="str"><v>EDBTN1_SEC_EATON_EF5</v></cell><cell r="B305" t="str"><v>EDBTN1;DC SYSA (DO NOT CONNECT LOADS)</v></cell><cell r="C305" t="str"><v>EDBTN1</v></cell><cell r="D305"><v>152</v></cell><cell r="E305"><v>168</v></cell><cell r="F305"><v>45008</v></cell><cell r="G305"><v>300</v></cell><cell r="H305"><v>300</v></cell><cell r="I305"><v>0</v></cell><cell r="J305"><v>0</v></cell><cell r="K305"><v>0</v></cell><cell r="L305"><v>0</v></cell><cell r="M305"><v>0</v></cell><cell r="N305"><v>48</v></cell></row><row r="306"><cell r="A306" t="str"><v>EDBTN1_DCDB_WALL_A</v></cell><cell r="B306" t="str"><v>EDBTN1;DC SYSA (DO NOT CONNECT LOADS)</v></cell><cell r="C306" t="str"><v>EDBTN1</v></cell><cell r="D306"><v>0</v></cell><cell r="E306"><v>0</v></cell><cell r="F306"><v>0</v></cell><cell r="G306"><v>0</v></cell><cell r="H306"><v>0</v></cell><cell r="I306"><v>0</v></cell><cell r="J306"><v>0</v></cell><cell r="K306"><v>0</v></cell><cell r="L306"><v>0</v></cell><cell r="M306"><v>0</v></cell><cell r="N306"><v>0</v></cell></row><row r="307"><cell r="A307" t="str"><v>EDBTN1_DCDB_WALL_B</v></cell><cell r="B307" t="str"><v>EDBTN1;DC SYSA (DO NOT CONNECT LOADS)</v></cell><cell r="C307" t="str"><v>EDBTN1</v></cell><cell r="D307"><v>0</v></cell><cell r="E307"><v>0</v></cell><cell r="F307"><v>0</v></cell><cell r="G307"><v>0</v></cell><cell r="H307"><v>0</v></cell><cell r="I307"><v>0</v></cell><cell r="J307"><v>0</v></cell><cell r="K307"><v>0</v></cell><cell r="L307"><v>0</v></cell><cell r="M307"><v>0</v></cell><cell r="N307"><v>0</v></cell></row><row r="308"><cell r="A308" t="str"><v>EDBTN1_SEC_EATON_CD15 CAPPED</v></cell><cell r="B308" t="str"><v>EDBTN1;DC SYSA (DO NOT CONNECT LOADS)</v></cell><cell r="C308" t="str"><v>EDBTN1</v></cell><cell r="D308"><v>290</v></cell><cell r="E308"><v>345</v></cell><cell r="F308"><v>45006</v></cell><cell r="G308"><v>300</v></cell><cell r="H308"><v>300</v></cell><cell r="I308"><v>2</v></cell><cell r="J308"><v>0</v></cell><cell r="K308"><v>0</v></cell><cell r="L308"><v>0</v></cell><cell r="M308"><v>0</v></cell><cell r="N308"><v>5</v></cell></row><row r="309"><cell r="A309" t="str"><v>BTRTP1_SEC_EATON_GF03</v></cell><cell r="B309" t="str"><v>BTRTP1;DC SYS01</v></cell><cell r="C309" t="str"><v>BTRTP1</v></cell><cell r="D309"><v>10</v></cell><cell r="E309"><v>10</v></cell><cell r="F309"><v>41963</v></cell><cell r="G309"><v>300</v></cell><cell r="H309"><v>300</v></cell><cell r="I309"><v>5</v></cell><cell r="J309"><v>8</v></cell><cell r="K309"><v>0</v></cell><cell r="L309"><v>29</v></cell><cell r="M309"><v>11</v></cell><cell r="N309"><v>0</v></cell></row><row r="310"><cell r="A310" t="str"><v>GLWN07_PDU1A_B</v></cell><cell r="B310" t="str"><v>GLWN07;DC SYS A</v></cell><cell r="C310" t="str"><v>GLWN07</v></cell><cell r="D310"><v>163.95</v></cell><cell r="E310"><v>186.74</v></cell><cell r="F310"><v>45631</v></cell><cell r="G310"><v>360</v></cell><cell r="H310"><v>360</v></cell></row><row r="311"><cell r="A311" t="str"><v>GLWN07_SEC_DD770_CD01</v></cell><cell r="B311" t="str"><v>GLWN07;DC SYS A</v></cell><cell r="C311" t="str"><v>GLWN07</v></cell><cell r="D311"><v>0</v></cell><cell r="E311"><v>0</v></cell><cell r="F311"><v>0</v></cell><cell r="G311"><v>300</v></cell><cell r="H311"><v>300</v></cell><cell r="I311"><v>1</v></cell><cell r="J311"><v>1</v></cell><cell r="K311"><v>0</v></cell><cell r="L311"><v>2</v></cell><cell r="M311"><v>0</v></cell><cell r="N311"><v>15</v></cell></row><row r="312"><cell r="A312" t="str"><v>GLWN07_SEC_DD770_EF01</v></cell><cell r="B312" t="str"><v>GLWN07;DC SYS A</v></cell><cell r="C312" t="str"><v>GLWN07</v></cell><cell r="D312"><v>0</v></cell><cell r="E312"><v>0</v></cell><cell r="F312"><v>0</v></cell><cell r="G312"><v>300</v></cell><cell r="H312"><v>300</v></cell><cell r="I312"><v>4</v></cell><cell r="J312"><v>0</v></cell><cell r="K312"><v>0</v></cell><cell r="L312"><v>1</v></cell><cell r="M312"><v>5</v></cell><cell r="N312"><v>0</v></cell></row><row r="313"><cell r="A313" t="str"><v>GLWN07_SEC_Eaton_CD21</v></cell><cell r="B313" t="str"><v>GLWN07;DC SYS A</v></cell><cell r="C313" t="str"><v>GLWN07</v></cell><cell r="D313"><v>78</v></cell><cell r="E313"><v>125</v></cell><cell r="F313"><v>0</v></cell><cell r="G313"><v>300</v></cell><cell r="H313"><v>300</v></cell><cell r="I313"><v>0</v></cell><cell r="J313"><v>0</v></cell><cell r="K313"><v>0</v></cell><cell r="L313"><v>0</v></cell><cell r="M313"><v>0</v></cell><cell r="N313"><v>22</v></cell></row><row r="314"><cell r="A314" t="str"><v>GLWN07_SEC_DCDB_LM15 - DO NOT USE [CAPPED]</v></cell><cell r="B314" t="str"><v>GLWN07;DC SYS A</v></cell><cell r="C314" t="str"><v>GLWN07</v></cell><cell r="D314"><v>170</v></cell><cell r="E314"><v>170</v></cell><cell r="F314"><v>41834</v></cell><cell r="G314"><v>300</v></cell><cell r="H314"><v>300</v></cell><cell r="I314"><v>4</v></cell><cell r="J314"><v>2</v></cell><cell r="K314"><v>0</v></cell><cell r="L314"><v>1</v></cell><cell r="M314"><v>0</v></cell><cell r="N314"><v>0</v></cell></row><row r="315"><cell r="A315" t="str"><v>GLWN07_SEC_DD770_JK01- DO NOT USE</v></cell><cell r="B315" t="str"><v>GLWN07;DC SYS A</v></cell><cell r="C315" t="str"><v>GLWN07</v></cell><cell r="D315"><v>190</v></cell><cell r="E315"><v>190</v></cell><cell r="F315"><v>42789</v></cell><cell r="G315"><v>300</v></cell><cell r="H315"><v>300</v></cell><cell r="I315"><v>1</v></cell><cell r="J315"><v>1</v></cell><cell r="K315"><v>3</v></cell><cell r="L315"><v>0</v></cell><cell r="M315"><v>3</v></cell><cell r="N315"><v>0</v></cell></row><row r="316"><cell r="A316" t="str"><v>GLWTO1_EOS_EF00</v></cell><cell r="B316" t="str"><v>GLWTO1;DC SYS01</v></cell><cell r="C316" t="str"><v>GLWTO1</v></cell><cell r="D316"><v>0</v></cell><cell r="E316"><v>0</v></cell><cell r="F316"><v>0</v></cell><cell r="G316"><v>0</v></cell><cell r="H316"><v>0</v></cell><cell r="I316"><v>0</v></cell><cell r="J316"><v>0</v></cell><cell r="K316"><v>0</v></cell><cell r="L316"><v>0</v></cell><cell r="M316"><v>0</v></cell><cell r="N316"><v>0</v></cell></row><row r="317"><cell r="A317" t="str"><v>GLWTO1_EATON_IJ00</v></cell><cell r="B317" t="str"><v>GLWTO1;DC SYS01</v></cell><cell r="C317" t="str"><v>GLWTO1</v></cell><cell r="D317"><v>0</v></cell><cell r="E317"><v>0</v></cell><cell r="F317"><v>44392</v></cell><cell r="G317"><v>0</v></cell><cell r="H317"><v>0</v></cell><cell r="I317"><v>0</v></cell><cell r="J317"><v>0</v></cell><cell r="K317"><v>0</v></cell><cell r="L317"><v>1</v></cell><cell r="M317"><v>0</v></cell><cell r="N317"><v>31</v></cell></row><row r="318"><cell r="A318" t="str"><v>GLWTW1_DCDB_WALL_1 - IGNORE</v></cell><cell r="B318" t="str"><v>GLWTW1;DC SYS01</v></cell><cell r="C318" t="str"><v>GLWTW1</v></cell><cell r="D318"><v>0</v></cell><cell r="E318"><v>0</v></cell><cell r="F318"><v>0</v></cell><cell r="G318"><v>0</v></cell><cell r="H318"><v>0</v></cell><cell r="I318"><v>0</v></cell><cell r="J318"><v>0</v></cell><cell r="K318"><v>0</v></cell><cell r="L318"><v>0</v></cell><cell r="M318"><v>0</v></cell><cell r="N318"><v>0</v></cell></row><row r="319"><cell r="A319" t="str"><v>GLWTW1_SEC_EATON DCDB_ EF07B</v></cell><cell r="B319" t="str"><v>GLWTW1;DC SYS01</v></cell><cell r="C319" t="str"><v>GLWTW1</v></cell><cell r="D319"><v>200</v></cell><cell r="E319"><v>190</v></cell><cell r="F319"><v>45008</v></cell><cell r="G319"><v>300</v></cell><cell r="H319"><v>300</v></cell><cell r="I319"><v>1</v></cell><cell r="J319"><v>0</v></cell><cell r="K319"><v>0</v></cell><cell r="L319"><v>0</v></cell><cell r="M319"><v>0</v></cell><cell r="N319"><v>17</v></cell></row><row r="320"><cell r="A320" t="str"><v>INVN41_SEC_EATON_CD01</v></cell><cell r="B320" t="str"><v>INVN41;DC SYS01</v></cell><cell r="C320" t="str"><v>INVN41</v></cell><cell r="D320"><v>50</v></cell><cell r="E320"><v>52</v></cell><cell r="F320"><v>45133</v></cell><cell r="G320"><v>300</v></cell><cell r="H320"><v>300</v></cell><cell r="I320"><v>0</v></cell><cell r="J320"><v>0</v></cell><cell r="K320"><v>0</v></cell><cell r="L320"><v>0</v></cell><cell r="M320"><v>0</v></cell><cell r="N320"><v>0</v></cell></row><row r="321"><cell r="A321" t="str"><v>LIVN01_SEC_CBDB_AN01</v></cell><cell r="B321" t="str"><v>LIVN01;DC SYS01</v></cell><cell r="C321" t="str"><v>LIVN01</v></cell><cell r="D321"><v>110</v></cell><cell r="E321"><v>100</v></cell><cell r="F321"><v>44838</v></cell><cell r="G321"><v>300</v></cell><cell r="H321"><v>300</v></cell><cell r="I321"><v>0</v></cell><cell r="J321"><v>0</v></cell><cell r="K321"><v>0</v></cell><cell r="L321"><v>2</v></cell><cell r="M321"><v>0</v></cell><cell r="N321"><v>0</v></cell></row><row r="322"><cell r="A322" t="str"><v>LIVN01_SEC_DD770_AT05_DCDB4</v></cell><cell r="B322" t="str"><v>LIVN01;DC SYS01</v></cell><cell r="C322" t="str"><v>LIVN01</v></cell><cell r="D322"><v>30</v></cell><cell r="E322"><v>30</v></cell><cell r="F322"><v>0</v></cell><cell r="G322"><v>300</v></cell><cell r="H322"><v>300</v></cell><cell r="I322"><v>6</v></cell><cell r="J322"><v>0</v></cell><cell r="K322"><v>0</v></cell><cell r="L322"><v>21</v></cell><cell r="M322"><v>10</v></cell><cell r="N322"><v>0</v></cell></row><row r="323"><cell r="A323" t="str"><v>PTHTL1_SYS_EATON_DB01</v></cell><cell r="B323" t="str"><v>PTHTL1;DC SYS01</v></cell><cell r="C323" t="str"><v>PTHTL1</v></cell><cell r="D323"><v>37</v></cell><cell r="E323"><v>37</v></cell><cell r="F323"><v>41834</v></cell><cell r="G323"><v>300</v></cell><cell r="H323"><v>300</v></cell><cell r="I323"><v>0</v></cell><cell r="J323"><v>0</v></cell><cell r="K323"><v>0</v></cell><cell r="L323"><v>0</v></cell><cell r="M323"><v>0</v></cell><cell r="N323"><v>0</v></cell></row><row r="324"><cell r="A324" t="str"><v>STGCD1_SYS_DCDB</v></cell><cell r="B324" t="str"><v>STGCD1;DC SYS01</v></cell><cell r="C324" t="str"><v>STGCD1</v></cell><cell r="D324"><v>0</v></cell><cell r="E324"><v>0</v></cell><cell r="F324"><v>0</v></cell><cell r="G324"><v>300</v></cell><cell r="H324"><v>300</v></cell><cell r="I324"><v>0</v></cell><cell r="J324"><v>1</v></cell><cell r="K324"><v>2</v></cell><cell r="L324"><v>0</v></cell><cell r="M324"><v>0</v></cell><cell r="N324"><v>0</v></cell></row><row r="325"><cell r="A325" t="str"><v>ASH_SEC_WALL_DCDB_01</v></cell><cell r="B325" t="str"><v>ASH;DC SYS01</v></cell><cell r="C325" t="str"><v>ASH</v></cell><cell r="D325"><v>0</v></cell><cell r="E325"><v>0</v></cell><cell r="F325"><v>0</v></cell><cell r="G325"><v>300</v></cell><cell r="H325"><v>300</v></cell><cell r="I325"><v>0</v></cell><cell r="J325"><v>0</v></cell><cell r="K325"><v>0</v></cell><cell r="L325"><v>0</v></cell><cell r="M325"><v>0</v></cell><cell r="N325"><v>0</v></cell></row><row r="326"><cell r="A326" t="str"><v>ASH_SEC_WALL_DCDB_02</v></cell><cell r="B326" t="str"><v>ASH;DC SYS01</v></cell><cell r="C326" t="str"><v>ASH</v></cell><cell r="D326"><v>0</v></cell><cell r="E326"><v>0</v></cell><cell r="F326"><v>0</v></cell><cell r="G326"><v>160</v></cell><cell r="H326"><v>300</v></cell><cell r="I326"><v>0</v></cell><cell r="J326"><v>1</v></cell><cell r="K326"><v>1</v></cell><cell r="L326"><v>0</v></cell><cell r="M326"><v>0</v></cell><cell r="N326"><v>1</v></cell></row><row r="327"><cell r="A327" t="str"><v>CBY_SEC_DD770_JK05</v></cell><cell r="B327" t="str"><v>CBY;DC SYS01</v></cell><cell r="C327" t="str"><v>CBY</v></cell><cell r="D327"><v>60</v></cell><cell r="E327"><v>70</v></cell><cell r="F327"><v>45097</v></cell><cell r="G327"><v>300</v></cell><cell r="H327"><v>300</v></cell><cell r="I327"><v>4</v></cell><cell r="J327"><v>6</v></cell><cell r="K327"><v>0</v></cell><cell r="L327"><v>13</v></cell><cell r="M327"><v>11</v></cell><cell r="N327"><v>1</v></cell></row><row r="328"><cell r="A328" t="str"><v>CBY_SEC_WALL_CBDB</v></cell><cell r="B328" t="str"><v>CBY;DC SYS01</v></cell><cell r="C328" t="str"><v>CBY</v></cell><cell r="D328"><v>15</v></cell><cell r="E328"><v>0</v></cell><cell r="F328"><v>45097</v></cell><cell r="G328"><v>300</v></cell><cell r="H328"><v>300</v></cell><cell r="I328"><v>0</v></cell><cell r="J328"><v>0</v></cell><cell r="K328"><v>0</v></cell><cell r="L328"><v>0</v></cell><cell r="M328"><v>0</v></cell><cell r="N328"><v>0</v></cell></row><row r="329"><cell r="A329" t="str"><v>FKE_SEC_DD770_AB0.</v></cell><cell r="B329" t="str"><v>FKE;DC SYS01</v></cell><cell r="C329" t="str"><v>FKE</v></cell><cell r="D329"><v>20</v></cell><cell r="E329"><v>20</v></cell><cell r="F329"><v>45097</v></cell><cell r="G329"><v>300</v></cell><cell r="H329"><v>300</v></cell><cell r="I329"><v>6</v></cell><cell r="J329"><v>6</v></cell><cell r="K329"><v>0</v></cell><cell r="L329"><v>19</v></cell><cell r="M329"><v>11</v></cell><cell r="N329"><v>0</v></cell></row><row r="330"><cell r="A330" t="str"><v>HLWN02_SEC_DD770_EF01_01</v></cell><cell r="B330" t="str"><v>HLWN02;DC SYS01</v></cell><cell r="C330" t="str"><v>HLWN02</v></cell><cell r="D330"><v>80</v></cell><cell r="E330"><v>70</v></cell><cell r="F330"><v>44880</v></cell><cell r="G330"><v>300</v></cell><cell r="H330"><v>300</v></cell><cell r="I330"><v>5</v></cell><cell r="J330"><v>6</v></cell><cell r="K330"><v>4</v></cell><cell r="L330"><v>8</v></cell><cell r="M330"><v>9</v></cell><cell r="N330"><v>0</v></cell></row><row r="331"><cell r="A331" t="str"><v>HLWN02_SEC_DD770_JK01_02</v></cell><cell r="B331" t="str"><v>HLWN02;DC SYS01</v></cell><cell r="C331" t="str"><v>HLWN02</v></cell><cell r="D331"><v>32</v></cell><cell r="E331"><v>38</v></cell><cell r="F331"><v>44880</v></cell><cell r="G331"><v>300</v></cell><cell r="H331"><v>300</v></cell><cell r="I331"><v>6</v></cell><cell r="J331"><v>6</v></cell><cell r="K331"><v>0</v></cell><cell r="L331"><v>19</v></cell><cell r="M331"><v>11</v></cell><cell r="N331"><v>0</v></cell></row><row r="332"><cell r="A332" t="str"><v>HHD_SEC_DD770_F0</v></cell><cell r="B332" t="str"><v>HHD;DC SYS01</v></cell><cell r="C332" t="str"><v>HHD</v></cell><cell r="D332"><v>135</v></cell><cell r="E332"><v>140</v></cell><cell r="F332"><v>45090</v></cell><cell r="G332"><v>300</v></cell><cell r="H332"><v>300</v></cell><cell r="I332"><v>5</v></cell><cell r="J332"><v>1</v></cell><cell r="K332"><v>0</v></cell><cell r="L332"><v>10</v></cell><cell r="M332"><v>2</v></cell><cell r="N332"><v>0</v></cell></row><row r="333"><cell r="A333" t="str"><v>IPWTN1_DCDB _RQ12</v></cell><cell r="B333" t="str"><v>IPWTN1;DC SYS01</v></cell><cell r="C333" t="str"><v>IPWTN1</v></cell><cell r="D333"><v>60</v></cell><cell r="E333"><v>60</v></cell><cell r="F333"><v>45007</v></cell><cell r="G333"><v>300</v></cell><cell r="H333"><v>300</v></cell><cell r="I333"><v>3</v></cell><cell r="J333"><v>0</v></cell><cell r="K333"><v>3</v></cell><cell r="L333"><v>0</v></cell><cell r="M333"><v>0</v></cell><cell r="N333"><v>33</v></cell></row><row r="334"><cell r="A334" t="str"><v>IPWTN1_SEC_DCDB_01</v></cell><cell r="B334" t="str"><v>IPWTN1;DC SYS01</v></cell><cell r="C334" t="str"><v>IPWTN1</v></cell><cell r="D334" t="str"><v>N/A</v></cell><cell r="E334" t="str"><v>N/A</v></cell><cell r="F334"><v>45007</v></cell><cell r="G334"><v>300</v></cell><cell r="H334"><v>300</v></cell><cell r="I334"><v>0</v></cell><cell r="J334"><v>3</v></cell><cell r="K334"><v>0</v></cell><cell r="L334"><v>0</v></cell><cell r="M334"><v>0</v></cell><cell r="N334"><v>0</v></cell></row><row r="335"><cell r="A335" t="str"><v>IPWTN1_SEC_DCDB_04</v></cell><cell r="B335" t="str"><v>IPWTN1;DC SYS01</v></cell><cell r="C335" t="str"><v>IPWTN1</v></cell><cell r="D335" t="str"><v>N/A</v></cell><cell r="E335" t="str"><v>N/A</v></cell><cell r="F335"><v>45007</v></cell><cell r="G335"><v>200</v></cell><cell r="H335"><v>200</v></cell><cell r="I335"><v>0</v></cell><cell r="J335"><v>0</v></cell><cell r="K335"><v>0</v></cell><cell r="L335"><v>0</v></cell><cell r="M335"><v>0</v></cell><cell r="N335"><v>0</v></cell></row><row r="336"><cell r="A336" t="str"><v>IPWTN1_SYS_DCDB_WALL</v></cell><cell r="B336" t="str"><v>IPWTN1;DC SYS01</v></cell><cell r="C336" t="str"><v>IPWTN1</v></cell><cell r="D336" t="str"><v>N/A</v></cell><cell r="E336"><v>0</v></cell><cell r="F336"><v>45007</v></cell><cell r="G336"><v>300</v></cell><cell r="H336"><v>0</v></cell><cell r="I336"><v>0</v></cell><cell r="J336"><v>5</v></cell><cell r="K336"><v>0</v></cell><cell r="L336"><v>0</v></cell><cell r="M336"><v>0</v></cell><cell r="N336"><v>0</v></cell></row><row r="337"><cell r="A337" t="str"><v>LTNDN1_SEC_DD770_BB_CC_05</v></cell><cell r="B337" t="str"><v>LTNDN1;DC SYS01</v></cell><cell r="C337" t="str"><v>LTNDN1</v></cell><cell r="D337"><v>120</v></cell><cell r="E337"><v>170</v></cell><cell r="F337"><v>44264</v></cell><cell r="G337"><v>300</v></cell><cell r="H337"><v>300</v></cell><cell r="I337"><v>0</v></cell><cell r="J337"><v>6</v></cell><cell r="K337"><v>0</v></cell><cell r="L337"><v>7</v></cell><cell r="M337"><v>9</v></cell><cell r="N337"><v>0</v></cell></row><row r="338"><cell r="A338" t="str"><v>MDE_SEC_DUVINE DCDB</v></cell><cell r="B338" t="str"><v>MDE;DC SYS01</v></cell><cell r="C338" t="str"><v>MDE</v></cell><cell r="D338" t="str"><v>N/A</v></cell><cell r="E338" t="str"><v>N/A</v></cell><cell r="F338"><v>45006</v></cell><cell r="G338"><v>300</v></cell><cell r="H338"><v>300</v></cell><cell r="I338"><v>0</v></cell><cell r="J338"><v>10</v></cell><cell r="K338"><v>0</v></cell><cell r="L338"><v>0</v></cell><cell r="M338"><v>0</v></cell><cell r="N338"><v>0</v></cell></row><row r="339"><cell r="A339" t="str"><v>MDE_SEC_EATON DCDB</v></cell><cell r="B339" t="str"><v>MDE;DC SYS01</v></cell><cell r="C339" t="str"><v>MDE</v></cell><cell r="D339" t="str"><v>46A</v></cell><cell r="E339" t="str"><v>46A</v></cell><cell r="F339"><v>45006</v></cell><cell r="G339"><v>300</v></cell><cell r="H339"><v>300</v></cell><cell r="I339"><v>0</v></cell><cell r="J339"><v>0</v></cell><cell r="K339"><v>0</v></cell><cell r="L339"><v>0</v></cell><cell r="M339"><v>0</v></cell><cell r="N339"><v>44</v></cell></row><row r="340"><cell r="A340" t="str"><v>RCR_SEC_CBDB_GH08</v></cell><cell r="B340" t="str"><v>RCR;DC SYS01</v></cell><cell r="C340" t="str"><v>RCR</v></cell><cell r="D340"><v>90</v></cell><cell r="E340"><v>95</v></cell><cell r="F340"><v>45006</v></cell><cell r="G340"><v>300</v></cell><cell r="H340"><v>300</v></cell><cell r="I340"><v>3</v></cell><cell r="J340"><v>0</v></cell><cell r="K340"><v>0</v></cell><cell r="L340"><v>0</v></cell><cell r="M340"><v>0</v></cell><cell r="N340"><v>31</v></cell></row><row r="341"><cell r="A341" t="str"><v>RCR_SEC_WALL_CBDB</v></cell><cell r="B341" t="str"><v>RCR;DC SYS01</v></cell><cell r="C341" t="str"><v>RCR</v></cell><cell r="D341"><v>65</v></cell><cell r="E341" t="str"><v>N/A</v></cell><cell r="F341"><v>45006</v></cell><cell r="G341"><v>300</v></cell><cell r="H341"><v>300</v></cell><cell r="I341"><v>4</v></cell><cell r="J341"><v>0</v></cell><cell r="K341"><v>0</v></cell><cell r="L341"><v>0</v></cell><cell r="M341"><v>0</v></cell><cell r="N341"><v>0</v></cell></row><row r="342"><cell r="A342" t="str"><v>SOSTN1_SEC_DD770_WALL</v></cell><cell r="B342" t="str"><v>SOSTN1;DC SYS01</v></cell><cell r="C342" t="str"><v>SOSTN1</v></cell><cell r="D342"><v>55</v></cell><cell r="E342"><v>45</v></cell><cell r="F342"><v>45055</v></cell><cell r="G342"><v>300</v></cell><cell r="H342"><v>300</v></cell><cell r="I342"><v>5</v></cell><cell r="J342"><v>0</v></cell><cell r="K342"><v>0</v></cell><cell r="L342"><v>15</v></cell><cell r="M342"><v>11</v></cell><cell r="N342"><v>0</v></cell></row><row r="343"><cell r="A343" t="str"><v>AZTCD1 POWER SYSTEM 2 DIST</v></cell><cell r="B343" t="str"><v>AZTCD1&2;DC SYS01</v></cell><cell r="C343" t="str"><v>AZTCD1</v></cell><cell r="D343"><v>87.8</v></cell><cell r="E343"><v>0</v></cell><cell r="F343"><v>40554</v></cell><cell r="G343"><v>300</v></cell><cell r="H343"><v>300</v></cell><cell r="I343"><v>0</v></cell><cell r="J343"><v>0</v></cell><cell r="K343"><v>7</v></cell><cell r="L343"><v>4</v></cell><cell r="M343"><v>11</v></cell><cell r="N343"><v>12</v></cell></row><row r="344"><cell r="A344" t="str"><v>AZTCD1_SEC_EATON DCDB_01_FG07</v></cell><cell r="B344" t="str"><v>AZTCD1&2;DC SYS01</v></cell><cell r="C344" t="str"><v>AZTCD1</v></cell><cell r="D344"><v>200</v></cell><cell r="E344"><v>200</v></cell><cell r="F344"><v>44041</v></cell><cell r="G344"><v>300</v></cell><cell r="H344"><v>300</v></cell><cell r="I344"><v>0</v></cell><cell r="J344"><v>0</v></cell><cell r="K344"><v>4</v></cell><cell r="L344"><v>3</v></cell><cell r="M344"><v>0</v></cell><cell r="N344"><v>28</v></cell></row><row r="345"><cell r="A345" t="str"><v>AZTCD2_SEC_DD770_TU11</v></cell><cell r="B345" t="str"><v>AZTCD1&2;DC SYS01</v></cell><cell r="C345" t="str"><v>AZTCD2</v></cell><cell r="D345"><v>89</v></cell><cell r="E345"><v>78</v></cell><cell r="F345"><v>44977</v></cell><cell r="G345"><v>300</v></cell><cell r="H345"><v>300</v></cell><cell r="I345"><v>4</v></cell><cell r="J345"><v>1</v></cell><cell r="K345"><v>1</v></cell><cell r="L345"><v>12</v></cell><cell r="M345"><v>11</v></cell><cell r="N345"><v>0</v></cell></row><row r="346"><cell r="A346" t="str"><v>AZTCD2_SEC_DD770_Q1</v></cell><cell r="B346" t="str"><v>AZTCD1&2;DC SYS01</v></cell><cell r="C346" t="str"><v>AZTCD2</v></cell><cell r="D346"><v>126</v></cell><cell r="E346"><v>122</v></cell><cell r="F346"><v>44977</v></cell><cell r="G346"><v>300</v></cell><cell r="H346"><v>300</v></cell><cell r="I346"><v>4</v></cell><cell r="J346"><v>5</v></cell><cell r="K346"><v>0</v></cell><cell r="L346"><v>7</v></cell><cell r="M346"><v>10</v></cell><cell r="N346"><v>0</v></cell></row><row r="347"><cell r="A347" t="str"><v>BTLCD1_SYS_H & S Control cubical - ignore line</v></cell><cell r="B347" t="str"><v>BTLCD1;DC SYS01</v></cell><cell r="C347" t="str"><v>BTLCD1</v></cell><cell r="D347"><v>0</v></cell><cell r="E347"><v>0</v></cell><cell r="F347"><v>0</v></cell><cell r="G347"><v>300</v></cell><cell r="H347"><v>300</v></cell><cell r="I347"><v>0</v></cell><cell r="J347"><v>4</v></cell><cell r="K347"><v>0</v></cell><cell r="L347"><v>0</v></cell><cell r="M347"><v>0</v></cell><cell r="N347"><v>0</v></cell></row><row r="348"><cell r="A348" t="str"><v>BTLCD1 EOS Z</v></cell><cell r="B348" t="str"><v>BTLCD1;DC SYS01</v></cell><cell r="C348" t="str"><v>BTLCD1</v></cell><cell r="D348"><v>0</v></cell><cell r="E348"><v>0</v></cell><cell r="F348"><v>44977</v></cell><cell r="G348"><v>80</v></cell><cell r="H348"><v>80</v></cell><cell r="I348"><v>0</v></cell><cell r="J348"><v>0</v></cell><cell r="K348"><v>0</v></cell><cell r="L348"><v>0</v></cell><cell r="M348"><v>0</v></cell><cell r="N348"><v>0</v></cell></row><row r="349"><cell r="A349" t="str"><v>BTLCD1_SEC_DCDB 2_Trident room - Ignore line</v></cell><cell r="B349" t="str"><v>BTLCD1;DC SYS01</v></cell><cell r="C349" t="str"><v>BTLCD1</v></cell><cell r="D349"><v>0</v></cell><cell r="E349"><v>0</v></cell><cell r="F349"><v>0</v></cell><cell r="G349"><v>300</v></cell><cell r="H349"><v>300</v></cell><cell r="I349"><v>0</v></cell><cell r="J349"><v>0</v></cell><cell r="K349"><v>0</v></cell><cell r="L349"><v>0</v></cell><cell r="M349"><v>0</v></cell><cell r="N349"><v>0</v></cell></row><row r="350"><cell r="A350" t="str"><v>BTLCD1_SEC_DCDB_B</v></cell><cell r="B350" t="str"><v>BTLCD1;DC SYS01</v></cell><cell r="C350" t="str"><v>BTLCD1</v></cell><cell r="D350"><v>110</v></cell><cell r="E350"><v>100</v></cell><cell r="F350"><v>44978</v></cell><cell r="G350"><v>300</v></cell><cell r="H350"><v>300</v></cell><cell r="I350"><v>0</v></cell><cell r="J350"><v>1</v></cell><cell r="K350"><v>0</v></cell><cell r="L350"><v>0</v></cell><cell r="M350"><v>1</v></cell><cell r="N350"><v>0</v></cell></row><row r="351"><cell r="A351" t="str"><v>BTLCD1_SEC_DD770_BB1</v></cell><cell r="B351" t="str"><v>BTLCD1;DC SYS01</v></cell><cell r="C351" t="str"><v>BTLCD1</v></cell><cell r="D351"><v>20</v></cell><cell r="E351"><v>20</v></cell><cell r="F351"><v>44978</v></cell><cell r="G351"><v>300</v></cell><cell r="H351"><v>300</v></cell><cell r="I351"><v>5</v></cell><cell r="J351"><v>4</v></cell><cell r="K351"><v>0</v></cell><cell r="L351"><v>23</v></cell><cell r="M351"><v>5</v></cell><cell r="N351"><v>0</v></cell></row><row r="352"><cell r="A352" t="str"><v>BTLCD1_SYS _N2K DCDB</v></cell><cell r="B352" t="str"><v>BTLCD1;DC SYS01</v></cell><cell r="C352" t="str"><v>BTLCD1</v></cell><cell r="D352" t="str"><v>NA</v></cell><cell r="E352" t="str"><v>N/A</v></cell><cell r="F352"><v>44978</v></cell><cell r="G352"><v>100</v></cell><cell r="H352"><v>0</v></cell><cell r="I352"><v>0</v></cell><cell r="J352"><v>0</v></cell><cell r="K352"><v>0</v></cell><cell r="L352"><v>0</v></cell><cell r="M352"><v>0</v></cell><cell r="N352"><v>5</v></cell></row><row r="353"><cell r="A353" t="str"><v>BTLCD1_SYS 2_H & S_DCDB 2B & 2C - Ignore line</v></cell><cell r="B353" t="str"><v>BTLCD1;DC SYS01</v></cell><cell r="C353" t="str"><v>BTLCD1</v></cell><cell r="D353"><v>0</v></cell><cell r="E353"><v>0</v></cell><cell r="F353"><v>0</v></cell><cell r="G353"><v>300</v></cell><cell r="H353"><v>300</v></cell><cell r="I353"><v>0</v></cell><cell r="J353"><v>0</v></cell><cell r="K353"><v>0</v></cell><cell r="L353"><v>0</v></cell><cell r="M353"><v>0</v></cell><cell r="N353"><v>0</v></cell></row><row r="354"><cell r="A354" t="str"><v>BTLCD1_SYS 3_DCDB_A</v></cell><cell r="B354" t="str"><v>BTLCD1;DC SYS01</v></cell><cell r="C354" t="str"><v>BTLCD1</v></cell><cell r="D354"><v>150</v></cell><cell r="E354"><v>160</v></cell><cell r="F354"><v>44978</v></cell><cell r="G354"><v>300</v></cell><cell r="H354"><v>300</v></cell><cell r="I354"><v>0</v></cell><cell r="J354"><v>0</v></cell><cell r="K354"><v>0</v></cell><cell r="L354"><v>0</v></cell><cell r="M354"><v>0</v></cell><cell r="N354"><v>0</v></cell></row><row r="355"><cell r="A355" t="str"><v>BTLN08_SEC_CBDB_CT1</v></cell><cell r="B355" t="str"><v>BTLN08;DC SYS01</v></cell><cell r="C355" t="str"><v>BTLN08</v></cell><cell r="D355"><v>224</v></cell><cell r="E355"><v>223</v></cell><cell r="F355"><v>44977</v></cell><cell r="G355"><v>300</v></cell><cell r="H355"><v>300</v></cell><cell r="I355"><v>0</v></cell><cell r="J355"><v>0</v></cell><cell r="K355"><v>0</v></cell><cell r="L355"><v>0</v></cell><cell r="M355"><v>3</v></cell><cell r="N355"><v>0</v></cell></row><row r="356"><cell r="A356" t="str"><v>BTLN08_SEC_DD770_CA1</v></cell><cell r="B356" t="str"><v>BTLN08;DC SYS01</v></cell><cell r="C356" t="str"><v>BTLN08</v></cell><cell r="D356"><v>150</v></cell><cell r="E356"><v>160</v></cell><cell r="F356"><v>44977</v></cell><cell r="G356"><v>300</v></cell><cell r="H356"><v>300</v></cell><cell r="I356"><v>5</v></cell><cell r="J356"><v>2</v></cell><cell r="K356"><v>0</v></cell><cell r="L356"><v>4</v></cell><cell r="M356"><v>10</v></cell><cell r="N356"><v>0</v></cell></row><row r="357"><cell r="A357" t="str"><v>BTLN08_SEC_DD770_CJ02</v></cell><cell r="B357" t="str"><v>BTLN08;DC SYS01</v></cell><cell r="C357" t="str"><v>BTLN08</v></cell><cell r="D357"><v>160</v></cell><cell r="E357"><v>160</v></cell><cell r="F357"><v>44977</v></cell><cell r="G357"><v>300</v></cell><cell r="H357"><v>300</v></cell><cell r="I357"><v>9</v></cell><cell r="J357"><v>0</v></cell><cell r="K357"><v>5</v></cell><cell r="L357"><v>0</v></cell><cell r="M357"><v>3</v></cell><cell r="N357"><v>1</v></cell></row><row r="358"><cell r="A358" t="str"><v>BTLCD2_ PRI_DD604_ WALL</v></cell><cell r="B358" t="str"><v>BTLCD2;DC SYS01</v></cell><cell r="C358" t="str"><v>BTLCD2</v></cell><cell r="D358"><v>210</v></cell><cell r="E358"><v>0</v></cell><cell r="F358"><v>40634</v></cell><cell r="G358"><v>0</v></cell><cell r="H358"><v>0</v></cell><cell r="I358"><v>0</v></cell><cell r="J358"><v>0</v></cell><cell r="K358"><v>15</v></cell><cell r="L358"><v>2</v></cell><cell r="M358"><v>0</v></cell><cell r="N358"><v>0</v></cell></row><row r="359"><cell r="A359" t="str"><v>BTLN09_PDU1A_B</v></cell><cell r="B359" t="str"><v>BTLN09;DC SYS01 </v></cell><cell r="C359" t="str"><v>BTLN09</v></cell><cell r="D359"><v>259.8</v></cell><cell r="E359"><v>264.7</v></cell><cell r="F359"><v>45631</v></cell><cell r="G359"><v>600</v></cell><cell r="H359"><v>600</v></cell></row><row r="360"><cell r="A360" t="str"><v>BDEN02_SEC_DD770_CD01</v></cell><cell r="B360" t="str"><v>BDEN02;DC SYS01</v></cell><cell r="C360" t="str"><v>BDEN02</v></cell><cell r="D360"><v>45</v></cell><cell r="E360"><v>55</v></cell><cell r="F360"><v>44404</v></cell><cell r="G360"><v>300</v></cell><cell r="H360"><v>300</v></cell><cell r="I360"><v>6</v></cell><cell r="J360"><v>1</v></cell><cell r="K360"><v>0</v></cell><cell r="L360"><v>9</v></cell><cell r="M360"><v>0</v></cell><cell r="N360"><v>0</v></cell></row><row r="361"><cell r="A361" t="str"><v>BDEN02_SEC_DD770_QR01</v></cell><cell r="B361" t="str"><v>BDEN02;DC SYS01</v></cell><cell r="C361" t="str"><v>BDEN02</v></cell><cell r="D361"><v>10</v></cell><cell r="E361"><v>10</v></cell><cell r="F361"><v>44404</v></cell><cell r="G361"><v>300</v></cell><cell r="H361"><v>300</v></cell><cell r="I361"><v>6</v></cell><cell r="J361"><v>6</v></cell><cell r="K361"><v>0</v></cell><cell r="L361"><v>23</v></cell><cell r="M361"><v>9</v></cell><cell r="N361"><v>0</v></cell></row><row r="362"><cell r="A362" t="str"><v>BDEN06 AB01 DD770</v></cell><cell r="B362" t="str"><v>BDEN06;DC SYS01</v></cell><cell r="C362" t="str"><v>BDEN06</v></cell><cell r="D362"><v>170</v></cell><cell r="E362"><v>179</v></cell><cell r="F362"><v>45048</v></cell><cell r="G362"><v>300</v></cell><cell r="H362"><v>300</v></cell><cell r="I362"><v>4</v></cell><cell r="J362"><v>2</v></cell><cell r="K362"><v>0</v></cell><cell r="L362"><v>24</v></cell><cell r="M362"><v>11</v></cell><cell r="N362"><v>0</v></cell></row><row r="363"><cell r="A363" t="str"><v>BDEN06 JK01 DD770</v></cell><cell r="B363" t="str"><v>BDEN06;DC SYS01</v></cell><cell r="C363" t="str"><v>BDEN06</v></cell><cell r="D363"><v>80</v></cell><cell r="E363"><v>90</v></cell><cell r="F363"><v>45048</v></cell><cell r="G363"><v>600</v></cell><cell r="H363"><v>600</v></cell><cell r="I363"><v>1</v></cell><cell r="J363"><v>0</v></cell><cell r="K363"><v>2</v></cell><cell r="L363"><v>17</v></cell><cell r="M363"><v>12</v></cell><cell r="N363"><v>0</v></cell></row><row r="364"><cell r="A364" t="str"><v>BDEN06 QR01 DD770</v></cell><cell r="B364" t="str"><v>BDEN06;DC SYS01</v></cell><cell r="C364" t="str"><v>BDEN06</v></cell><cell r="D364"><v>10</v></cell><cell r="E364"><v>10</v></cell><cell r="F364"><v>45048</v></cell><cell r="G364"><v>600</v></cell><cell r="H364"><v>600</v></cell><cell r="I364"><v>6</v></cell><cell r="J364"><v>6</v></cell><cell r="K364"><v>6</v></cell><cell r="L364"><v>22</v></cell><cell r="M364"><v>4</v></cell><cell r="N364"><v>0</v></cell></row><row r="365"><cell r="A365" t="str"><v>BDEN07_PDU1A_B</v></cell></row><row r="365"><cell r="C365" t="str"><v>BDEN07</v></cell><cell r="D365"><v>156.01</v></cell><cell r="E365"><v>156.01</v></cell><cell r="F365"><v>45631</v></cell><cell r="G365"><v>600</v></cell><cell r="H365"><v>600</v></cell></row><row r="366"><cell r="A366" t="str"><v>CDFN02_SEC_CBDB_AB05</v></cell><cell r="B366" t="str"><v>CDFN02;DC SYS01</v></cell><cell r="C366" t="str"><v>CDFN02</v></cell><cell r="D366"><v>120</v></cell><cell r="E366"><v>140</v></cell><cell r="F366" t="str"><v>23rd JUNE 2021</v></cell><cell r="G366"><v>300</v></cell><cell r="H366"><v>300</v></cell><cell r="I366"><v>4</v></cell><cell r="J366"><v>1</v></cell><cell r="K366"><v>0</v></cell><cell r="L366"><v>5</v></cell><cell r="M366"><v>6</v></cell><cell r="N366"><v>0</v></cell></row><row r="367"><cell r="A367" t="str"><v>CDFN02_SEC_CBDB_GH06</v></cell><cell r="B367" t="str"><v>CDFN02;DC SYS01</v></cell><cell r="C367" t="str"><v>CDFN02</v></cell><cell r="D367"><v>20</v></cell><cell r="E367"><v>20</v></cell><cell r="F367"><v>41866</v></cell><cell r="G367"><v>300</v></cell><cell r="H367"><v>300</v></cell><cell r="I367"><v>0</v></cell><cell r="J367"><v>0</v></cell><cell r="K367"><v>0</v></cell><cell r="L367"><v>0</v></cell><cell r="M367"><v>0</v></cell><cell r="N367"><v>0</v></cell></row><row r="368"><cell r="A368" t="str"><v>CHMN21_SEC_EATON DCDB1</v></cell><cell r="B368" t="str"><v>CHMN21;DC SYS01</v></cell><cell r="C368" t="str"><v>CHMN21</v></cell><cell r="D368"><v>5</v></cell><cell r="E368"><v>5</v></cell><cell r="F368"><v>42871</v></cell><cell r="G368"><v>300</v></cell><cell r="H368"><v>300</v></cell><cell r="I368"><v>0</v></cell><cell r="J368"><v>0</v></cell><cell r="K368"><v>0</v></cell><cell r="L368"><v>0</v></cell><cell r="M368"><v>0</v></cell><cell r="N368"><v>53</v></cell></row><row r="369"><cell r="A369" t="str"><v>CTNN01_PDU1A_B</v></cell><cell r="B369" t="str"><v>CTNN01-DCSYS01A</v></cell><cell r="C369" t="str"><v>CTNN01</v></cell><cell r="D369"><v>6.27</v></cell><cell r="E369"><v>3.37</v></cell><cell r="F369"><v>45631</v></cell><cell r="G369"><v>360</v></cell><cell r="H369"><v>360</v></cell></row><row r="370"><cell r="A370" t="str"><v>CTNN01_SEC_DD770_EF01</v></cell><cell r="B370" t="str"><v>CTNN01-DCSYS01A</v></cell><cell r="C370" t="str"><v>CTNN01</v></cell><cell r="D370"><v>60</v></cell><cell r="E370"><v>50</v></cell><cell r="F370"><v>44571</v></cell><cell r="G370"><v>300</v></cell><cell r="H370"><v>300</v></cell><cell r="I370"><v>6</v></cell><cell r="J370"><v>7</v></cell><cell r="K370"><v>0</v></cell><cell r="L370"><v>14</v></cell><cell r="M370"><v>3</v></cell><cell r="N370"><v>0</v></cell></row><row r="371"><cell r="A371" t="str"><v>CTNN01_SEC_DD770_N01</v></cell><cell r="B371" t="str"><v>CTNN01-DCSYS01A</v></cell><cell r="C371" t="str"><v>CTNN01</v></cell><cell r="D371"><v>0</v></cell><cell r="E371"><v>0</v></cell><cell r="F371"><v>44397</v></cell><cell r="G371"><v>300</v></cell><cell r="H371"><v>300</v></cell><cell r="I371"><v>6</v></cell><cell r="J371"><v>6</v></cell><cell r="K371"><v>12</v></cell><cell r="L371"><v>22</v></cell><cell r="M371"><v>10</v></cell><cell r="N371"><v>0</v></cell></row><row r="372"><cell r="A372" t="str"><v>CKNN03_PDU1A_B</v></cell><cell r="B372" t="str"><v>CKNN03-DCSYS01a</v></cell><cell r="C372" t="str"><v>CKNN03</v></cell><cell r="D372"><v>1.5</v></cell><cell r="E372"><v>5.11</v></cell><cell r="F372"><v>45665</v></cell><cell r="G372"><v>360</v></cell><cell r="H372"><v>360</v></cell></row><row r="373"><cell r="A373" t="str"><v>CKNN03_SEC_DCSYS - IGNORE</v></cell><cell r="B373" t="str"><v>CKNN03-DCSYS01a</v></cell><cell r="C373" t="str"><v>CKNN03</v></cell><cell r="D373"><v>0</v></cell><cell r="E373"><v>0</v></cell><cell r="F373"><v>44382</v></cell><cell r="G373" t="str"><v>NOT SPECIFIED</v></cell><cell r="H373" t="str"><v>NOT SPECIFIED</v></cell><cell r="I373"><v>0</v></cell><cell r="J373"><v>0</v></cell><cell r="K373"><v>0</v></cell><cell r="L373"><v>0</v></cell><cell r="M373"><v>0</v></cell><cell r="N373"><v>0</v></cell></row><row r="374"><cell r="A374" t="str"><v>CKNN03_SEC_DD770_CD01</v></cell><cell r="B374" t="str"><v>CKNN03-DCSYS01a</v></cell><cell r="C374" t="str"><v>CKNN03</v></cell><cell r="D374"><v>30</v></cell><cell r="E374"><v>40</v></cell><cell r="F374"><v>45089</v></cell><cell r="G374"><v>300</v></cell><cell r="H374"><v>300</v></cell><cell r="I374"><v>5</v></cell><cell r="J374"><v>6</v></cell><cell r="K374"><v>2</v></cell><cell r="L374"><v>18</v></cell><cell r="M374"><v>10</v></cell><cell r="N374"><v>0</v></cell></row><row r="375"><cell r="A375" t="str"><v>DVSTB1_DCDB</v></cell><cell r="B375" t="str"><v>DVSTB1; DC SYS01</v></cell><cell r="C375" t="str"><v>DVSTB1</v></cell><cell r="D375"><v>0</v></cell><cell r="E375"><v>0</v></cell><cell r="F375"><v>0</v></cell><cell r="G375"><v>300</v></cell><cell r="H375"><v>300</v></cell><cell r="I375"><v>0</v></cell><cell r="J375"><v>0</v></cell><cell r="K375"><v>0</v></cell><cell r="L375"><v>0</v></cell><cell r="M375"><v>0</v></cell><cell r="N375"><v>0</v></cell></row><row r="376"><cell r="A376" t="str"><v>EXR_SEC_DD770_ JK12</v></cell><cell r="B376" t="str"><v>EXR;DC SYS01</v></cell><cell r="C376" t="str"><v>EXR</v></cell><cell r="D376"><v>90</v></cell><cell r="E376"><v>90</v></cell><cell r="F376"><v>44999</v></cell><cell r="G376"><v>300</v></cell><cell r="H376"><v>300</v></cell><cell r="I376"><v>5</v></cell><cell r="J376"><v>5</v></cell><cell r="K376"><v>0</v></cell><cell r="L376"><v>10</v></cell><cell r="M376"><v>9</v></cell><cell r="N376"><v>0</v></cell></row><row r="377"><cell r="A377" t="str"><v>EXRN03_PDU1A_B</v></cell></row><row r="377"><cell r="C377" t="str"><v>EXRN03</v></cell><cell r="D377"><v>4.89</v></cell><cell r="E377"><v>1.55</v></cell><cell r="F377"><v>45665</v></cell><cell r="G377"><v>360</v></cell><cell r="H377"><v>360</v></cell></row><row r="378"><cell r="A378" t="str"><v>FRNN03_PDU1A_B</v></cell><cell r="B378" t="str"><v>FRNN03-DCSYS01a</v></cell><cell r="C378" t="str"><v>FRNN03</v></cell><cell r="D378"><v>3.77</v></cell><cell r="E378"><v>6.23</v></cell><cell r="F378"><v>45665</v></cell><cell r="G378"><v>360</v></cell><cell r="H378"><v>360</v></cell></row><row r="379"><cell r="A379" t="str"><v>FRNN03_DC SYS01A & 01B_EF09</v></cell><cell r="B379" t="str"><v>FRNN03-DCSYS01a</v></cell><cell r="C379" t="str"><v>FRNN03</v></cell><cell r="D379"><v>0</v></cell><cell r="E379"><v>0</v></cell><cell r="F379"><v>44260</v></cell><cell r="G379"><v>0</v></cell><cell r="H379"><v>0</v></cell><cell r="I379"><v>0</v></cell><cell r="J379"><v>0</v></cell><cell r="K379"><v>0</v></cell><cell r="L379"><v>0</v></cell><cell r="M379"><v>0</v></cell><cell r="N379"><v>36</v></cell></row><row r="380"><cell r="A380" t="str"><v>FRNN03_SEC_DD770_CD1</v></cell><cell r="B380" t="str"><v>FRNN03-DCSYS01a</v></cell><cell r="C380" t="str"><v>FRNN03</v></cell><cell r="D380"><v>20</v></cell><cell r="E380"><v>20</v></cell><cell r="F380"><v>44399</v></cell><cell r="G380"><v>300</v></cell><cell r="H380"><v>300</v></cell><cell r="I380"><v>6</v></cell><cell r="J380"><v>4</v></cell><cell r="K380"><v>8</v></cell><cell r="L380"><v>19</v></cell><cell r="M380"><v>12</v></cell><cell r="N380"><v>0</v></cell></row><row r="381"><cell r="A381" t="str"><v>OKNN01_PDU1A_B</v></cell><cell r="B381" t="str"><v>OKNN01-DCSYS01a</v></cell><cell r="C381" t="str"><v>OKNN01</v></cell><cell r="D381"><v>36.63</v></cell><cell r="E381"><v>17.09</v></cell><cell r="F381"><v>45631</v></cell><cell r="G381"><v>360</v></cell><cell r="H381"><v>360</v></cell></row><row r="382"><cell r="A382" t="str"><v>OKNN01_SEC_DD770_CD01</v></cell><cell r="B382" t="str"><v>OKNN01-DCSYS01a</v></cell><cell r="C382" t="str"><v>OKNN01</v></cell><cell r="D382"><v>40</v></cell><cell r="E382"><v>20</v></cell><cell r="F382"><v>44398</v></cell><cell r="G382"><v>300</v></cell><cell r="H382"><v>300</v></cell><cell r="I382"><v>6</v></cell><cell r="J382"><v>7</v></cell><cell r="K382"><v>0</v></cell><cell r="L382"><v>19</v></cell><cell r="M382"><v>8</v></cell><cell r="N382"><v>0</v></cell></row><row r="383"><cell r="A383" t="str"><v>PLY_PDU1A_B</v></cell><cell r="B383" t="str"><v>PLY-DCSYS01a</v></cell><cell r="C383" t="str"><v>PLY</v></cell><cell r="D383"><v>101.98</v></cell><cell r="E383"><v>0</v></cell><cell r="F383"><v>45631</v></cell><cell r="G383"><v>360</v></cell><cell r="H383"><v>360</v></cell></row><row r="384"><cell r="A384" t="str"><v>PLY_SEC_DD770_EF12</v></cell><cell r="B384" t="str"><v>PLY-DCSYS01a</v></cell><cell r="C384" t="str"><v>PLY</v></cell><cell r="D384"><v>100</v></cell><cell r="E384"><v>25</v></cell><cell r="F384"><v>44999</v></cell><cell r="G384"><v>300</v></cell><cell r="H384"><v>300</v></cell><cell r="I384"><v>0</v></cell><cell r="J384"><v>0</v></cell><cell r="K384"><v>3</v></cell><cell r="L384"><v>14</v></cell><cell r="M384"><v>10</v></cell><cell r="N384"><v>0</v></cell></row><row r="385"><cell r="A385" t="str"><v>PLY_SEC_DD770_UV01</v></cell><cell r="B385" t="str"><v>PLY-DCSYS01a</v></cell><cell r="C385" t="str"><v>PLY</v></cell><cell r="D385"><v>55</v></cell><cell r="E385"><v>50</v></cell><cell r="F385"><v>44999</v></cell><cell r="G385"><v>300</v></cell><cell r="H385"><v>300</v></cell><cell r="I385"><v>6</v></cell><cell r="J385"><v>0</v></cell><cell r="K385"><v>1</v></cell><cell r="L385"><v>22</v></cell><cell r="M385"><v>11</v></cell><cell r="N385"><v>1</v></cell></row><row r="386"><cell r="A386" t="str"><v>PCOTN1_SEC_DD770_XW01_7</v></cell><cell r="B386" t="str"><v>PCOTN1;DC SYS A;GEMINI</v></cell><cell r="C386" t="str"><v>PCOTN1</v></cell><cell r="D386"><v>60</v></cell><cell r="E386"><v>45</v></cell><cell r="F386"><v>45070</v></cell><cell r="G386"><v>300</v></cell><cell r="H386"><v>300</v></cell><cell r="I386"><v>4</v></cell><cell r="J386"><v>2</v></cell><cell r="K386"><v>0</v></cell><cell r="L386"><v>20</v></cell><cell r="M386"><v>8</v></cell><cell r="N386"><v>0</v></cell></row><row r="387"><cell r="A387" t="str"><v>PCOTN1_SEC_WALL_CBDB_2</v></cell><cell r="B387" t="str"><v>PCOTN1;DC SYS A;FLAG</v></cell><cell r="C387" t="str"><v>PCOTN1</v></cell><cell r="D387"><v>10</v></cell><cell r="E387"><v>20</v></cell><cell r="F387"><v>45070</v></cell><cell r="G387"><v>300</v></cell><cell r="H387"><v>300</v></cell><cell r="I387"><v>0</v></cell><cell r="J387"><v>5</v></cell><cell r="K387"><v>0</v></cell><cell r="L387"><v>0</v></cell><cell r="M387"><v>6</v></cell><cell r="N387"><v>0</v></cell></row><row r="388"><cell r="A388" t="str"><v>PCOTN1 DCDB 3 WALL MOUNTED</v></cell><cell r="B388" t="str"><v>PCOTN1;DC SYS A;GEMINI</v></cell><cell r="C388" t="str"><v>PCOTN1</v></cell><cell r="D388"><v>15</v></cell><cell r="E388"><v>0</v></cell><cell r="F388"><v>45070</v></cell><cell r="G388"><v>600</v></cell><cell r="H388"><v>0</v></cell><cell r="I388"><v>0</v></cell><cell r="J388"><v>15</v></cell><cell r="K388"><v>0</v></cell><cell r="L388"><v>0</v></cell><cell r="M388"><v>3</v></cell><cell r="N388"><v>0</v></cell></row><row r="389"><cell r="A389" t="str"><v>PCOTN1 DCDB 4 WALL MOUNTED</v></cell><cell r="B389" t="str"><v>PCOTN1;DC SYS A;GEMINI</v></cell><cell r="C389" t="str"><v>PCOTN1</v></cell><cell r="D389"><v>25</v></cell><cell r="E389"><v>0</v></cell><cell r="F389"><v>45070</v></cell><cell r="G389"><v>600</v></cell><cell r="H389"><v>0</v></cell><cell r="I389"><v>0</v></cell><cell r="J389"><v>14</v></cell><cell r="K389"><v>0</v></cell><cell r="L389"><v>0</v></cell><cell r="M389"><v>3</v></cell><cell r="N389"><v>0</v></cell></row><row r="390"><cell r="A390" t="str"><v>PCOTN1 DCDB 5 WALL MOUNTED</v></cell><cell r="B390" t="str"><v>PCOTN1;DC SYS A;GEMINI</v></cell><cell r="C390" t="str"><v>PCOTN1</v></cell><cell r="D390"><v>10</v></cell><cell r="E390"><v>0</v></cell><cell r="F390"><v>45070</v></cell><cell r="G390"><v>600</v></cell><cell r="H390"><v>0</v></cell><cell r="I390"><v>0</v></cell><cell r="J390"><v>3</v></cell><cell r="K390"><v>0</v></cell><cell r="L390"><v>0</v></cell><cell r="M390"><v>9</v></cell><cell r="N390"><v>0</v></cell></row><row r="391"><cell r="A391" t="str"><v>PCOTN1 DCDB 6 WALL MOUNTED</v></cell><cell r="B391" t="str"><v>PCOTN1;DC SYS A;GEMINI</v></cell><cell r="C391" t="str"><v>PCOTN1</v></cell><cell r="D391"><v>0</v></cell><cell r="E391"><v>0</v></cell><cell r="F391"><v>45070</v></cell><cell r="G391"><v>600</v></cell><cell r="H391"><v>0</v></cell><cell r="I391"><v>0</v></cell><cell r="J391"><v>3</v></cell><cell r="K391"><v>0</v></cell><cell r="L391"><v>0</v></cell><cell r="M391"><v>12</v></cell><cell r="N391"><v>0</v></cell></row><row r="392"><cell r="A392" t="str"><v>PCOTN1_WALL_CBDB_1</v></cell><cell r="B392" t="str"><v>PCOTN1;DC SYS A;FLAG</v></cell><cell r="C392" t="str"><v>PCOTN1</v></cell><cell r="D392"><v>80</v></cell><cell r="E392"><v>80</v></cell><cell r="F392"><v>45070</v></cell><cell r="G392"><v>300</v></cell><cell r="H392"><v>300</v></cell><cell r="I392"><v>0</v></cell><cell r="J392"><v>0</v></cell><cell r="K392"><v>4</v></cell><cell r="L392"><v>0</v></cell><cell r="M392"><v>0</v></cell><cell r="N392"><v>0</v></cell></row><row r="393"><cell r="A393" t="str"><v>SDNN06_PDU1A_B</v></cell><cell r="B393" t="str"><v>SDNN06;DC SYS03</v></cell><cell r="C393" t="str"><v>SDNN06</v></cell><cell r="D393"><v>167.9</v></cell><cell r="E393"><v>150.88</v></cell><cell r="F393"><v>45631</v></cell><cell r="G393"><v>360</v></cell><cell r="H393"><v>360</v></cell></row><row r="394"><cell r="A394" t="str"><v>SDNN06_SEC_CBDB_QR16</v></cell><cell r="B394" t="str"><v>SDNN06;DC SYS02</v></cell><cell r="C394" t="str"><v>SDNN06</v></cell><cell r="D394"><v>200</v></cell><cell r="E394"><v>200</v></cell><cell r="F394"><v>45014</v></cell><cell r="G394"><v>300</v></cell><cell r="H394"><v>300</v></cell><cell r="I394"><v>3</v></cell><cell r="J394"><v>1</v></cell><cell r="K394"><v>7</v></cell><cell r="L394"><v>3</v></cell><cell r="M394"><v>0</v></cell><cell r="N394"><v>4</v></cell></row><row r="395"><cell r="A395" t="str"><v>SDNN06_SEC_CBDB_UV16</v></cell><cell r="B395" t="str"><v>SDNN06;DC SYS03</v></cell><cell r="C395" t="str"><v>SDNN06</v></cell><cell r="D395"><v>245</v></cell><cell r="E395"><v>245</v></cell><cell r="F395"><v>45009</v></cell><cell r="G395"><v>300</v></cell><cell r="H395"><v>300</v></cell><cell r="I395"><v>0</v></cell><cell r="J395"><v>0</v></cell><cell r="K395"><v>0</v></cell><cell r="L395"><v>2</v></cell><cell r="M395"><v>1</v></cell><cell r="N395"><v>0</v></cell></row><row r="396"><cell r="A396" t="str"><v>SDNN06_SEC_DD770_CD1</v></cell><cell r="B396" t="str"><v>SDNN06;DC SYS02</v></cell><cell r="C396" t="str"><v>SDNN06</v></cell><cell r="D396"><v>160</v></cell><cell r="E396"><v>160</v></cell><cell r="F396"><v>44844</v></cell><cell r="G396"><v>300</v></cell><cell r="H396"><v>300</v></cell><cell r="I396"><v>4</v></cell><cell r="J396"><v>4</v></cell><cell r="K396"><v>0</v></cell><cell r="L396"><v>9</v></cell><cell r="M396"><v>8</v></cell><cell r="N396"><v>0</v></cell></row><row r="397"><cell r="A397" t="str"><v>SDNN06_SEC_DD770_GH16</v></cell><cell r="B397" t="str"><v>SDNN06;DC SYS02</v></cell><cell r="C397" t="str"><v>SDNN06</v></cell><cell r="D397"><v>20</v></cell><cell r="E397"><v>20</v></cell><cell r="F397"><v>44844</v></cell><cell r="G397"><v>300</v></cell><cell r="H397"><v>300</v></cell><cell r="I397"><v>6</v></cell><cell r="J397"><v>4</v></cell><cell r="K397"><v>0</v></cell><cell r="L397"><v>24</v></cell><cell r="M397"><v>11</v></cell><cell r="N397"><v>0</v></cell></row><row r="398"><cell r="A398" t="str"><v>SDNN06_SEC_DD770_LM1</v></cell><cell r="B398" t="str"><v>SDNN06;DC SYS02</v></cell><cell r="C398" t="str"><v>SDNN06</v></cell><cell r="D398"><v>160</v></cell><cell r="E398" t="str"><v>No reading</v></cell><cell r="F398"><v>44844</v></cell><cell r="G398"><v>300</v></cell><cell r="H398"><v>300</v></cell><cell r="I398"><v>1</v></cell><cell r="J398"><v>2</v></cell><cell r="K398"><v>0</v></cell><cell r="L398"><v>9</v></cell><cell r="M398"><v>6</v></cell><cell r="N398"><v>0</v></cell></row><row r="399"><cell r="A399" t="str"><v>SDNN06_SEC_DD770_QR1</v></cell><cell r="B399" t="str"><v>SDNN06;DC SYS02</v></cell><cell r="C399" t="str"><v>SDNN06</v></cell><cell r="D399"><v>30</v></cell><cell r="E399" t="str"><v>No reading</v></cell><cell r="F399"><v>44844</v></cell><cell r="G399"><v>300</v></cell><cell r="H399"><v>300</v></cell><cell r="I399"><v>6</v></cell><cell r="J399"><v>6</v></cell><cell r="K399"><v>0</v></cell><cell r="L399"><v>10</v></cell><cell r="M399"><v>9</v></cell><cell r="N399"><v>0</v></cell></row><row r="400"><cell r="A400" t="str"><v>SDNN06_SEC_DD770_WX1</v></cell><cell r="B400" t="str"><v>SDNN06;DC SYS02</v></cell><cell r="C400" t="str"><v>SDNN06</v></cell><cell r="D400"><v>100</v></cell><cell r="E400"><v>100</v></cell><cell r="F400"><v>44844</v></cell><cell r="G400"><v>300</v></cell><cell r="H400"><v>300</v></cell><cell r="I400"><v>3</v></cell><cell r="J400"><v>2</v></cell><cell r="K400"><v>0</v></cell><cell r="L400"><v>16</v></cell><cell r="M400"><v>12</v></cell><cell r="N400"><v>0</v></cell></row><row r="401"><cell r="A401" t="str"><v>SDN_SEC_DD770_GH00</v></cell><cell r="B401" t="str"><v>SDN;DC SYS01</v></cell><cell r="C401" t="str"><v>SDN</v></cell><cell r="D401"><v>110</v></cell><cell r="E401"><v>100</v></cell><cell r="F401"><v>44362</v></cell><cell r="G401"><v>300</v></cell><cell r="H401"><v>300</v></cell><cell r="I401"><v>6</v></cell><cell r="J401"><v>4</v></cell><cell r="K401"><v>0</v></cell><cell r="L401"><v>9</v></cell><cell r="M401"><v>11</v></cell><cell r="N401"><v>30</v></cell></row><row r="402"><cell r="A402" t="str"><v>SDN_SEC_DD770_Z02</v></cell><cell r="B402" t="str"><v>SDN;DC SYS01</v></cell><cell r="C402" t="str"><v>SDN</v></cell><cell r="D402"><v>0</v></cell><cell r="E402"><v>0</v></cell><cell r="F402"><v>44362</v></cell><cell r="G402"><v>300</v></cell><cell r="H402"><v>300</v></cell><cell r="I402"><v>6</v></cell><cell r="J402"><v>10</v></cell><cell r="K402"><v>0</v></cell><cell r="L402"><v>18</v></cell><cell r="M402"><v>11</v></cell><cell r="N402"><v>45</v></cell></row><row r="403"><cell r="A403" t="str"><v>DCDB @ c08</v></cell><cell r="B403" t="str"><v>SDNN11;DC SYS01</v></cell><cell r="C403" t="str"><v>SDNN11</v></cell><cell r="D403"><v>0</v></cell><cell r="E403"><v>0</v></cell><cell r="F403"><v>0</v></cell><cell r="G403"><v>300</v></cell><cell r="H403"><v>0</v></cell><cell r="I403"><v>0</v></cell><cell r="J403"><v>0</v></cell><cell r="K403"><v>0</v></cell><cell r="L403"><v>0</v></cell><cell r="M403"><v>0</v></cell><cell r="N403"><v>0</v></cell></row><row r="404"><cell r="A404" t="str"><v>SDNN13_SEC_EATON_ WALL_New</v></cell><cell r="B404" t="str"><v>SDNN13;DC SYS01</v></cell><cell r="C404" t="str"><v>SDNN13</v></cell><cell r="D404"><v>0</v></cell><cell r="E404"><v>0</v></cell><cell r="F404"><v>0</v></cell><cell r="G404"><v>300</v></cell><cell r="H404"><v>300</v></cell><cell r="I404"><v>0</v></cell><cell r="J404"><v>0</v></cell><cell r="K404"><v>0</v></cell><cell r="L404"><v>0</v></cell><cell r="M404"><v>0</v></cell><cell r="N404"><v>27</v></cell></row><row r="405"><cell r="A405" t="str"><v>TNTTN1_PDU1A_B</v></cell><cell r="B405" t="str"><v>TNTTN1;DC SYS01</v></cell><cell r="C405" t="str"><v>TNTTN1</v></cell><cell r="D405"><v>11.3</v></cell><cell r="E405"><v>7.37</v></cell><cell r="F405"><v>45631</v></cell><cell r="G405"><v>360</v></cell><cell r="H405"><v>360</v></cell></row><row r="406"><cell r="A406" t="str"><v>TNTTN1_SEC_DD770_ GH12</v></cell><cell r="B406" t="str"><v>TNTTN1;DC SYS01</v></cell><cell r="C406" t="str"><v>TNTTN1</v></cell><cell r="D406"><v>55</v></cell><cell r="E406"><v>55</v></cell><cell r="F406"><v>45000</v></cell><cell r="G406"><v>300</v></cell><cell r="H406"><v>300</v></cell><cell r="I406"><v>5</v></cell><cell r="J406"><v>4</v></cell><cell r="K406"><v>0</v></cell><cell r="L406"><v>13</v></cell><cell r="M406"><v>0</v></cell><cell r="N406"><v>18</v></cell></row><row r="407"><cell r="A407" t="str"><v>DC DD770 TRON01</v></cell><cell r="B407" t="str"><v>TRON01;DC SYS01</v></cell><cell r="C407" t="str"><v>TRON01</v></cell><cell r="D407"><v>15</v></cell><cell r="E407"><v>15</v></cell><cell r="F407"><v>44399</v></cell><cell r="G407"><v>300</v></cell><cell r="H407"><v>300</v></cell><cell r="I407"><v>6</v></cell><cell r="J407"><v>8</v></cell><cell r="K407"><v>0</v></cell><cell r="L407"><v>22</v></cell><cell r="M407"><v>5</v></cell><cell r="N407"><v>0</v></cell></row><row r="408"><cell r="A408" t="str"><v>BSG_SEC_DD770_BC17_02</v></cell><cell r="B408" t="str"><v>BSG;DC SYS01</v></cell><cell r="C408" t="str"><v>BSG</v></cell><cell r="D408"><v>100</v></cell><cell r="E408"><v>100</v></cell><cell r="F408"><v>45068</v></cell><cell r="G408"><v>300</v></cell><cell r="H408"><v>300</v></cell><cell r="I408"><v>4</v></cell><cell r="J408"><v>0</v></cell><cell r="K408"><v>1</v></cell><cell r="L408"><v>6</v></cell><cell r="M408"><v>9</v></cell><cell r="N408"><v>0</v></cell></row><row r="409"><cell r="A409" t="str"><v>BSG_SEC_DD770_HJ16_01</v></cell><cell r="B409" t="str"><v>BSG;DC SYS01</v></cell><cell r="C409" t="str"><v>BSG</v></cell><cell r="D409"><v>35</v></cell><cell r="E409"><v>35</v></cell><cell r="F409"><v>45295</v></cell><cell r="G409"><v>300</v></cell><cell r="H409"><v>300</v></cell><cell r="I409"><v>3</v></cell><cell r="J409"><v>0</v></cell><cell r="K409"><v>4</v></cell><cell r="L409"><v>20</v></cell><cell r="M409"><v>10</v></cell><cell r="N409"><v>0</v></cell></row><row r="410"><cell r="A410" t="str"><v>BTN_SEC_DD770_EF09_02</v></cell><cell r="B410" t="str"><v>BTN-DCSYS01</v></cell><cell r="C410" t="str"><v>BTN</v></cell><cell r="D410"><v>120</v></cell><cell r="E410"><v>110</v></cell><cell r="F410"><v>44992</v></cell><cell r="G410"><v>300</v></cell><cell r="H410"><v>300</v></cell><cell r="I410"><v>1</v></cell><cell r="J410"><v>0</v></cell><cell r="K410"><v>0</v></cell><cell r="L410"><v>9</v></cell><cell r="M410"><v>8</v></cell><cell r="N410"><v>0</v></cell></row><row r="411"><cell r="A411" t="str"><v>BTN_SEC_DD770_YZ01_01</v></cell><cell r="B411" t="str"><v>BTN-DCSYS01</v></cell><cell r="C411" t="str"><v>BTN</v></cell><cell r="D411"><v>65</v></cell><cell r="E411"><v>45</v></cell><cell r="F411"><v>44992</v></cell><cell r="G411"><v>300</v></cell><cell r="H411"><v>300</v></cell><cell r="I411"><v>0</v></cell><cell r="J411"><v>0</v></cell><cell r="K411"><v>5</v></cell><cell r="L411"><v>23</v></cell><cell r="M411"><v>12</v></cell><cell r="N411"><v>0</v></cell></row><row r="412"><cell r="A412" t="str"><v>GFDCD1_SEC_DCDB_T0</v></cell><cell r="B412" t="str"><v>GFDCD1;DC SYS01A</v></cell><cell r="C412" t="str"><v>GFDCD1</v></cell><cell r="D412"><v>75</v></cell><cell r="E412"><v>100</v></cell><cell r="F412"><v>45068</v></cell><cell r="G412"><v>200</v></cell><cell r="H412"><v>200</v></cell><cell r="I412"><v>3</v></cell><cell r="J412"><v>0</v></cell><cell r="K412"><v>0</v></cell><cell r="L412"><v>0</v></cell><cell r="M412"><v>0</v></cell><cell r="N412"><v>30</v></cell></row><row r="413"><cell r="A413" t="str"><v>GFDCD1_SEC_DD770_M09</v></cell><cell r="B413" t="str"><v>GFDCD1;DC SYS01A</v></cell><cell r="C413" t="str"><v>GFDCD1</v></cell><cell r="D413"><v>140</v></cell><cell r="E413"><v>170</v></cell><cell r="F413"><v>45068</v></cell><cell r="G413"><v>300</v></cell><cell r="H413"><v>300</v></cell><cell r="I413"><v>3</v></cell><cell r="J413"><v>0</v></cell><cell r="K413"><v>1</v></cell><cell r="L413"><v>0</v></cell><cell r="M413"><v>8</v></cell><cell r="N413"><v>0</v></cell></row><row r="414"><cell r="A414" t="str"><v>PTMN03_SEC_DD770_BCBD01</v></cell><cell r="B414" t="str"><v>PTMN03;DC SYS01</v></cell><cell r="C414" t="str"><v>PTMN03</v></cell><cell r="D414"><v>30</v></cell><cell r="E414"><v>0</v></cell><cell r="F414"><v>44169</v></cell><cell r="G414"><v>300</v></cell><cell r="H414"><v>300</v></cell><cell r="I414"><v>6</v></cell><cell r="J414"><v>12</v></cell><cell r="K414"><v>0</v></cell><cell r="L414"><v>24</v></cell><cell r="M414"><v>7</v></cell><cell r="N414"><v>0</v></cell></row><row r="415"><cell r="A415" t="str"><v>PTMN03_SEC_DD770_GH01</v></cell><cell r="B415" t="str"><v>PTMN03;DC SYS01</v></cell><cell r="C415" t="str"><v>PTMN03</v></cell><cell r="D415"><v>40</v></cell><cell r="E415"><v>40</v></cell><cell r="F415"><v>44169</v></cell><cell r="G415"><v>300</v></cell><cell r="H415"><v>300</v></cell><cell r="I415"><v>6</v></cell><cell r="J415"><v>10</v></cell><cell r="K415"><v>0</v></cell><cell r="L415"><v>18</v></cell><cell r="M415"><v>10</v></cell><cell r="N415"><v>0</v></cell></row><row r="416"><cell r="A416" t="str"><v>PTMN03_SEC_DD770_LM01</v></cell><cell r="B416" t="str"><v>PTMN03;DC SYS01</v></cell><cell r="C416" t="str"><v>PTMN03</v></cell><cell r="D416"><v>60</v></cell><cell r="E416"><v>60</v></cell><cell r="F416"><v>44169</v></cell><cell r="G416"><v>300</v></cell><cell r="H416"><v>300</v></cell><cell r="I416"><v>4</v></cell><cell r="J416"><v>10</v></cell><cell r="K416"><v>0</v></cell><cell r="L416"><v>7</v></cell><cell r="M416"><v>1</v></cell><cell r="N416"><v>0</v></cell></row><row r="417"><cell r="A417" t="str"><v>PTMN03_SEC_DD770_QR01</v></cell><cell r="B417" t="str"><v>PTMN03;DC SYS01</v></cell><cell r="C417" t="str"><v>PTMN03</v></cell><cell r="D417"><v>50</v></cell><cell r="E417"><v>50</v></cell><cell r="F417"><v>44169</v></cell><cell r="G417"><v>300</v></cell><cell r="H417"><v>300</v></cell><cell r="I417"><v>6</v></cell><cell r="J417"><v>0</v></cell><cell r="K417"><v>0</v></cell><cell r="L417"><v>23</v></cell><cell r="M417"><v>11</v></cell><cell r="N417"><v>0</v></cell></row><row r="418"><cell r="A418" t="str"><v>PTMN03_SEC_DD770_UV01</v></cell><cell r="B418" t="str"><v>PTMN03;DC SYS01</v></cell><cell r="C418" t="str"><v>PTMN03</v></cell><cell r="D418"><v>20</v></cell><cell r="E418"><v>20</v></cell><cell r="F418"><v>44169</v></cell><cell r="G418"><v>300</v></cell><cell r="H418"><v>300</v></cell><cell r="I418"><v>6</v></cell><cell r="J418"><v>8</v></cell><cell r="K418"><v>0</v></cell><cell r="L418"><v>23</v></cell><cell r="M418"><v>12</v></cell><cell r="N418"><v>0</v></cell></row><row r="419"><cell r="A419" t="str"><v>SHTN03_SEC_DD770_AD10</v></cell><cell r="B419" t="str"><v>SHTN03;DC SYS01</v></cell><cell r="C419" t="str"><v>SHTN03</v></cell><cell r="D419"><v>210</v></cell><cell r="E419"><v>210</v></cell><cell r="F419"><v>45301</v></cell><cell r="G419"><v>240</v></cell><cell r="H419"><v>240</v></cell><cell r="I419"><v>1</v></cell><cell r="J419"><v>1</v></cell><cell r="K419"><v>0</v></cell><cell r="L419"><v>0</v></cell><cell r="M419"><v>5</v></cell><cell r="N419"><v>0</v></cell></row><row r="420"><cell r="A420" t="str"><v>SHTN03_SEC_Eaton_ ANAP0</v></cell><cell r="B420" t="str"><v>SHTN03;DC SYS01</v></cell><cell r="C420" t="str"><v>SHTN03</v></cell><cell r="D420"><v>30</v></cell><cell r="E420"><v>27</v></cell><cell r="F420"><v>44937</v></cell><cell r="G420"><v>300</v></cell><cell r="H420"><v>300</v></cell><cell r="I420"><v>0</v></cell><cell r="J420"><v>0</v></cell><cell r="K420"><v>0</v></cell><cell r="L420"><v>0</v></cell><cell r="M420"><v>0</v></cell><cell r="N420"><v>54</v></cell></row><row r="421"><cell r="A421" t="str"><v>DCDB_WKGN01_CD1.</v></cell><cell r="B421" t="str"><v>WKGN01;DC SYS01</v></cell><cell r="C421" t="str"><v>WKGN01</v></cell><cell r="D421"><v>25</v></cell><cell r="E421"><v>25</v></cell><cell r="F421"><v>44092</v></cell><cell r="G421"><v>300</v></cell><cell r="H421"><v>300</v></cell><cell r="I421"><v>6</v></cell><cell r="J421"><v>5</v></cell><cell r="K421"><v>12</v></cell><cell r="L421"><v>15</v></cell><cell r="M421"><v>12</v></cell><cell r="N421"><v>0</v></cell></row><row r="422"><cell r="A422" t="str"><v>DCDB_WKGN01_EF1.</v></cell><cell r="B422" t="str"><v>WKGN01;DC SYS01</v></cell><cell r="C422" t="str"><v>WKGN01</v></cell><cell r="D422"><v>20</v></cell><cell r="E422"><v>20</v></cell><cell r="F422"><v>0</v></cell><cell r="G422"><v>300</v></cell><cell r="H422"><v>300</v></cell><cell r="I422"><v>6</v></cell><cell r="J422"><v>2</v></cell><cell r="K422"><v>7</v></cell><cell r="L422"><v>23</v></cell><cell r="M422"><v>11</v></cell><cell r="N422"><v>0</v></cell></row><row r="423"><cell r="A423" t="str"><v>ASMN02_SEC_DD770_CD1</v></cell><cell r="B423" t="str"><v>ASMN02;DC SYS01</v></cell><cell r="C423" t="str"><v>ASMN02</v></cell><cell r="D423"><v>20</v></cell><cell r="E423"><v>20</v></cell><cell r="F423"><v>44119</v></cell><cell r="G423"><v>300</v></cell><cell r="H423"><v>300</v></cell><cell r="I423"><v>6</v></cell><cell r="J423"><v>5</v></cell><cell r="K423"><v>7</v></cell><cell r="L423"><v>23</v></cell><cell r="M423"><v>12</v></cell><cell r="N423"><v>0</v></cell></row><row r="424"><cell r="A424" t="str"><v>ASMN02_SEC_DD770_EF1</v></cell><cell r="B424" t="str"><v>ASMN02;DC SYS01</v></cell><cell r="C424" t="str"><v>ASMN02</v></cell><cell r="D424"><v>0</v></cell><cell r="E424"><v>0</v></cell><cell r="F424"><v>44119</v></cell><cell r="G424"><v>0</v></cell><cell r="H424"><v>0</v></cell><cell r="I424"><v>0</v></cell><cell r="J424"><v>6</v></cell><cell r="K424"><v>0</v></cell><cell r="L424"><v>24</v></cell><cell r="M424"><v>12</v></cell><cell r="N424"><v>6</v></cell></row><row r="425"><cell r="A425" t="str"><v>BKLN05_SEC_CBDB_BUBV01</v></cell><cell r="B425" t="str"><v>BKLN05;DC SYS03;NEAR CK</v></cell><cell r="C425" t="str"><v>BKLN05</v></cell><cell r="D425"><v>225</v></cell><cell r="E425"><v>225</v></cell><cell r="F425"><v>45358</v></cell><cell r="G425"><v>300</v></cell><cell r="H425"><v>300</v></cell><cell r="I425"><v>0</v></cell><cell r="J425"><v>3</v></cell><cell r="K425"><v>0</v></cell><cell r="L425"><v>0</v></cell><cell r="M425"><v>0</v></cell><cell r="N425"><v>26</v></cell></row><row r="426"><cell r="A426" t="str"><v>BKLN05_SEC_CBDB_BWBX01</v></cell><cell r="B426" t="str"><v>BKLN05;DC SYS02</v></cell><cell r="C426" t="str"><v>BKLN05</v></cell><cell r="D426"><v>100</v></cell><cell r="E426"><v>110</v></cell><cell r="F426"><v>44470</v></cell><cell r="G426"><v>300</v></cell><cell r="H426"><v>300</v></cell><cell r="I426"><v>0</v></cell><cell r="J426"><v>0</v></cell><cell r="K426"><v>0</v></cell><cell r="L426"><v>0</v></cell><cell r="M426"><v>0</v></cell><cell r="N426"><v>48</v></cell></row><row r="427"><cell r="A427" t="str"><v>BKLN05_SEC_DD770_ACAD01</v></cell><cell r="B427" t="str"><v>BKLN05;DC SYS02</v></cell><cell r="C427" t="str"><v>BKLN05</v></cell><cell r="D427"><v>120</v></cell><cell r="E427"><v>120</v></cell><cell r="F427"><v>44484</v></cell><cell r="G427"><v>300</v></cell><cell r="H427"><v>300</v></cell><cell r="I427"><v>3</v></cell><cell r="J427"><v>6</v></cell><cell r="K427"><v>0</v></cell><cell r="L427"><v>13</v></cell><cell r="M427"><v>10</v></cell><cell r="N427"><v>7</v></cell></row><row r="428"><cell r="A428" t="str"><v>BKLN05_SEC_DD770_AGAH01</v></cell><cell r="B428" t="str"><v>BKLN05;DC SYS03;NEAR CK</v></cell><cell r="C428" t="str"><v>BKLN05</v></cell><cell r="D428"><v>90</v></cell><cell r="E428"><v>85</v></cell><cell r="F428"><v>44470</v></cell><cell r="G428"><v>300</v></cell><cell r="H428"><v>300</v></cell><cell r="I428"><v>5</v></cell><cell r="J428"><v>5</v></cell><cell r="K428"><v>0</v></cell><cell r="L428"><v>3</v></cell><cell r="M428"><v>12</v></cell><cell r="N428"><v>0</v></cell></row><row r="429"><cell r="A429" t="str"><v>BKLN05_SEC_DD770_BABB01</v></cell><cell r="B429" t="str"><v>BKLN05-DCSYS04a</v></cell><cell r="C429" t="str"><v>BKLN05</v></cell><cell r="D429"><v>190</v></cell><cell r="E429"><v>195</v></cell><cell r="F429"><v>44470</v></cell><cell r="G429"><v>300</v></cell><cell r="H429"><v>300</v></cell><cell r="I429"><v>2</v></cell><cell r="J429"><v>3</v></cell><cell r="K429"><v>0</v></cell><cell r="L429"><v>9</v></cell><cell r="M429"><v>12</v></cell><cell r="N429"><v>0</v></cell></row><row r="430"><cell r="A430" t="str"><v>BKLN05_SEC_DD770_BLBM01</v></cell><cell r="B430" t="str"><v>BKLN05-DCSYS04a</v></cell><cell r="C430" t="str"><v>BKLN05</v></cell><cell r="D430"><v>115</v></cell><cell r="E430"><v>100</v></cell><cell r="F430"><v>44470</v></cell><cell r="G430"><v>300</v></cell><cell r="H430"><v>300</v></cell><cell r="I430"><v>0</v></cell><cell r="J430"><v>0</v></cell><cell r="K430"><v>0</v></cell><cell r="L430"><v>17</v></cell><cell r="M430"><v>6</v></cell><cell r="N430"><v>0</v></cell></row><row r="431"><cell r="A431" t="str"><v>BKLN05_SEC_DD770_BQBR01</v></cell><cell r="B431" t="str"><v>BKLN05;DC SYS03;NEAR CK</v></cell><cell r="C431" t="str"><v>BKLN05</v></cell><cell r="D431"><v>135</v></cell><cell r="E431"><v>140</v></cell><cell r="F431"><v>44470</v></cell><cell r="G431"><v>300</v></cell><cell r="H431"><v>300</v></cell><cell r="I431"><v>0</v></cell><cell r="J431"><v>0</v></cell><cell r="K431"><v>0</v></cell><cell r="L431"><v>19</v></cell><cell r="M431"><v>8</v></cell><cell r="N431"><v>0</v></cell></row><row r="432"><cell r="A432" t="str"><v>BKLN05_SEC_DD770_BYBZ01</v></cell><cell r="B432" t="str"><v>BKLN05;DC SYS03;NEAR CK</v></cell><cell r="C432" t="str"><v>BKLN05</v></cell><cell r="D432"><v>105</v></cell><cell r="E432"><v>110</v></cell><cell r="F432"><v>44473</v></cell><cell r="G432"><v>300</v></cell><cell r="H432"><v>300</v></cell><cell r="I432"><v>4</v></cell><cell r="J432"><v>6</v></cell><cell r="K432"><v>0</v></cell><cell r="L432"><v>11</v></cell><cell r="M432"><v>10</v></cell><cell r="N432"><v>0</v></cell></row><row r="433"><cell r="A433" t="str"><v>BKLN05_SEC_DD770_CD01</v></cell><cell r="B433" t="str"><v>BKLN05-DCSYS04a</v></cell><cell r="C433" t="str"><v>BKLN05</v></cell><cell r="D433"><v>115</v></cell><cell r="E433"><v>140</v></cell><cell r="F433"><v>44470</v></cell><cell r="G433"><v>300</v></cell><cell r="H433"><v>300</v></cell><cell r="I433"><v>4</v></cell><cell r="J433"><v>1</v></cell><cell r="K433"><v>0</v></cell><cell r="L433"><v>11</v></cell><cell r="M433"><v>11</v></cell><cell r="N433"><v>0</v></cell></row><row r="434"><cell r="A434" t="str"><v>BKLN05_SEC_DD770_CJCK01</v></cell><cell r="B434" t="str"><v>BKLN05;DC SYS03;NEAR CK</v></cell><cell r="C434" t="str"><v>BKLN05</v></cell><cell r="D434"><v>210</v></cell><cell r="E434"><v>200</v></cell><cell r="F434"><v>44470</v></cell><cell r="G434"><v>300</v></cell><cell r="H434"><v>300</v></cell><cell r="I434"><v>6</v></cell><cell r="J434"><v>1</v></cell><cell r="K434"><v>0</v></cell><cell r="L434"><v>10</v></cell><cell r="M434"><v>12</v></cell><cell r="N434"><v>0</v></cell></row><row r="435"><cell r="A435" t="str"><v>BKLN05_SEC_DD770_GH01</v></cell><cell r="B435" t="str"><v>BKLN05-DCSYS04a</v></cell><cell r="C435" t="str"><v>BKLN05</v></cell><cell r="D435"><v>135</v></cell><cell r="E435"><v>140</v></cell><cell r="F435"><v>44470</v></cell><cell r="G435"><v>300</v></cell><cell r="H435"><v>300</v></cell><cell r="I435"><v>4</v></cell><cell r="J435"><v>0</v></cell><cell r="K435"><v>0</v></cell><cell r="L435"><v>11</v></cell><cell r="M435"><v>8</v></cell><cell r="N435"><v>0</v></cell></row><row r="436"><cell r="A436" t="str"><v>BKLN05_SEC_DD770_LM01</v></cell><cell r="B436" t="str"><v>BKLN05-DCSYS04a</v></cell><cell r="C436" t="str"><v>BKLN05</v></cell><cell r="D436"><v>10.6</v></cell><cell r="E436" t="str"><v>NA</v></cell><cell r="F436"><v>44824</v></cell><cell r="G436"><v>300</v></cell><cell r="H436"><v>300</v></cell><cell r="I436"><v>3</v></cell><cell r="J436"><v>0</v></cell><cell r="K436"><v>0</v></cell><cell r="L436"><v>3</v></cell><cell r="M436"><v>4</v></cell><cell r="N436"><v>1</v></cell></row><row r="437"><cell r="A437" t="str"><v>BKLN05_SEC_DD770_UV01</v></cell><cell r="B437" t="str"><v>BKLN05;DC SYS02</v></cell><cell r="C437" t="str"><v>BKLN05</v></cell><cell r="D437"><v>160</v></cell><cell r="E437"><v>165</v></cell><cell r="F437"><v>44470</v></cell><cell r="G437"><v>300</v></cell><cell r="H437"><v>300</v></cell><cell r="I437"><v>0</v></cell><cell r="J437"><v>1</v></cell><cell r="K437"><v>0</v></cell><cell r="L437"><v>19</v></cell><cell r="M437"><v>12</v></cell><cell r="N437"><v>0</v></cell></row><row r="438"><cell r="A438" t="str"><v>BKLN05_SEC_DD770_YZ01</v></cell><cell r="B438" t="str"><v>BKLN05;DC SYS02</v></cell><cell r="C438" t="str"><v>BKLN05</v></cell><cell r="D438"><v>85</v></cell><cell r="E438"><v>80</v></cell><cell r="F438"><v>44441</v></cell><cell r="G438"><v>300</v></cell><cell r="H438"><v>300</v></cell><cell r="I438"><v>5</v></cell><cell r="J438"><v>10</v></cell><cell r="K438"><v>0</v></cell><cell r="L438"><v>16</v></cell><cell r="M438"><v>3</v></cell><cell r="N438"><v>0</v></cell></row><row r="439"><cell r="A439" t="str"><v>BKLN05_DCSYS04-PDU1</v></cell><cell r="B439" t="str"><v>BKLN05-DCSYS04a</v></cell><cell r="C439" t="str"><v>BKLN05</v></cell><cell r="D439"><v>366.91</v></cell><cell r="E439"><v>118.3</v></cell><cell r="F439"><v>45665</v></cell><cell r="G439"><v>1200</v></cell></row><row r="440"><cell r="A440" t="str"><v>BKLN05_DCSYS04-PDU2</v></cell><cell r="B440" t="str"><v>BKLN05-DCSYS04a</v></cell><cell r="C440" t="str"><v>BKLN05</v></cell><cell r="D440"><v>278.05</v></cell><cell r="E440"><v>35.8</v></cell><cell r="F440"><v>45665</v></cell><cell r="G440"><v>1200</v></cell></row><row r="441"><cell r="A441" t="str"><v>BKLN05_DCSYS04-PDU3</v></cell><cell r="B441" t="str"><v>BKLN05-DCSYS04a</v></cell><cell r="C441" t="str"><v>BKLN05</v></cell><cell r="D441"><v>260.31</v></cell><cell r="E441"><v>60.07</v></cell><cell r="F441"><v>45631</v></cell><cell r="G441"><v>1200</v></cell></row><row r="442"><cell r="A442" t="str"><v>DCDB _DC CUBICLE IN POWER ROOM NEAR BATTERY</v></cell><cell r="B442" t="str"><v>DCT;DC SYS01</v></cell><cell r="C442" t="str"><v>DCT</v></cell><cell r="D442"><v>0</v></cell><cell r="E442"><v>0</v></cell><cell r="F442"><v>0</v></cell><cell r="G442"><v>300</v></cell><cell r="H442"><v>300</v></cell><cell r="I442"><v>0</v></cell><cell r="J442"><v>0</v></cell><cell r="K442"><v>0</v></cell><cell r="L442"><v>0</v></cell><cell r="M442"><v>0</v></cell><cell r="N442"><v>0</v></cell></row><row r="443"><cell r="A443" t="str"><v>FMYN31_SEC_CBDB_ BC01</v></cell><cell r="B443" t="str"><v>FMYN31; DC SYS01</v></cell><cell r="C443" t="str"><v>FMYN31</v></cell><cell r="D443" t="str"><v>not showing on meter</v></cell><cell r="E443" t="str"><v>not showing on meter</v></cell><cell r="F443"><v>44084</v></cell><cell r="G443"><v>250</v></cell><cell r="H443"><v>250</v></cell><cell r="I443"><v>10</v></cell><cell r="J443"><v>10</v></cell><cell r="K443"><v>2</v></cell><cell r="L443"><v>0</v></cell><cell r="M443"><v>0</v></cell><cell r="N443"><v>19</v></cell></row><row r="444"><cell r="A444" t="str"><v>DCDB _2B</v></cell><cell r="B444" t="str"><v>IVER02; DC SYS01</v></cell><cell r="C444" t="str"><v>IVER02</v></cell><cell r="D444"><v>42</v></cell><cell r="E444"><v>42</v></cell><cell r="F444"><v>44113</v></cell><cell r="G444" t="str"><v>unknown</v></cell><cell r="H444" t="str"><v>unknown</v></cell><cell r="I444"><v>0</v></cell><cell r="J444"><v>0</v></cell><cell r="K444"><v>3</v></cell><cell r="L444"><v>3</v></cell><cell r="M444"><v>3</v></cell><cell r="N444"><v>3</v></cell></row><row r="445"><cell r="A445" t="str"><v>NBYCD1_SEC_CBDB_F9</v></cell><cell r="B445" t="str"><v>NBYCD1;DC SYS01</v></cell><cell r="C445" t="str"><v>NBYCD1</v></cell><cell r="D445"><v>60</v></cell><cell r="E445"><v>60</v></cell><cell r="F445"><v>44991</v></cell><cell r="G445"><v>300</v></cell><cell r="H445" t="str"><v>300</v></cell><cell r="I445"><v>0</v></cell><cell r="J445"><v>0</v></cell><cell r="K445"><v>0</v></cell><cell r="L445"><v>0</v></cell><cell r="M445"><v>0</v></cell><cell r="N445"><v>38</v></cell></row><row r="446"><cell r="A446" t="str"><v>NBYCD1_SEC_CBDB_GG11</v></cell><cell r="B446" t="str"><v>NBYCD1;DC SYS01</v></cell><cell r="C446" t="str"><v>NBYCD1</v></cell><cell r="D446"><v>180</v></cell><cell r="E446"><v>0</v></cell><cell r="F446"><v>44991</v></cell><cell r="G446"><v>300</v></cell><cell r="H446"><v>300</v></cell><cell r="I446"><v>1</v></cell><cell r="J446"><v>0</v></cell><cell r="K446"><v>0</v></cell><cell r="L446"><v>1</v></cell><cell r="M446"><v>0</v></cell><cell r="N446"><v>0</v></cell></row><row r="447"><cell r="A447" t="str"><v>POLN02_PDUA_B</v></cell><cell r="B447" t="str"><v>POLN02-DCSYS01a</v></cell><cell r="C447" t="str"><v>POLN02</v></cell><cell r="D447"><v>52.97</v></cell><cell r="E447"><v>4.96</v></cell><cell r="F447"><v>45631</v></cell><cell r="G447"><v>360</v></cell><cell r="H447"><v>360</v></cell></row><row r="448"><cell r="A448" t="str"><v>POLN02_SEC_DD770_CD01</v></cell><cell r="B448" t="str"><v>POLN02-DCSYS01a</v></cell><cell r="C448" t="str"><v>POLN02</v></cell><cell r="D448"><v>140</v></cell><cell r="E448"><v>40</v></cell><cell r="F448"><v>44991</v></cell><cell r="G448"><v>300</v></cell><cell r="H448"><v>300</v></cell><cell r="I448"><v>6</v></cell><cell r="J448"><v>2</v></cell><cell r="K448"><v>0</v></cell><cell r="L448"><v>14</v></cell><cell r="M448"><v>7</v></cell><cell r="N448"><v>0</v></cell></row><row r="449"><cell r="A449" t="str"><v>POLN02_SEC_DD770_EF01</v></cell><cell r="B449" t="str"><v>POLN02-DCSYS01a</v></cell><cell r="C449" t="str"><v>POLN02</v></cell><cell r="D449"><v>80</v></cell><cell r="E449"><v>15</v></cell><cell r="F449"><v>44991</v></cell><cell r="G449"><v>300</v></cell><cell r="H449"><v>300</v></cell><cell r="I449"><v>6</v></cell><cell r="J449"><v>1</v></cell><cell r="K449"><v>2</v></cell><cell r="L449"><v>24</v></cell><cell r="M449"><v>11</v></cell><cell r="N449"><v>0</v></cell></row><row r="450"><cell r="A450" t="str"><v>RDG_SEC_DD770_FO</v></cell><cell r="B450" t="str"><v>RDG;DC SYS01</v></cell><cell r="C450" t="str"><v>RDG</v></cell><cell r="D450"><v>125</v></cell><cell r="E450"><v>125</v></cell><cell r="F450"><v>44991</v></cell><cell r="G450"><v>300</v></cell><cell r="H450"><v>300</v></cell><cell r="I450"><v>5</v></cell><cell r="J450"><v>0</v></cell><cell r="K450"><v>0</v></cell><cell r="L450"><v>9</v></cell><cell r="M450"><v>9</v></cell><cell r="N450"><v>0</v></cell></row><row r="451"><cell r="A451" t="str"><v>RDGCD1_SEC_CDDB_A05</v></cell><cell r="B451" t="str"><v>RDGCD1;DC SYS01</v></cell><cell r="C451" t="str"><v>RDGCD1</v></cell><cell r="D451"><v>0</v></cell><cell r="E451"><v>0</v></cell><cell r="F451"><v>0</v></cell><cell r="G451"><v>300</v></cell><cell r="H451"><v>300</v></cell><cell r="I451"><v>0</v></cell><cell r="J451"><v>0</v></cell><cell r="K451"><v>0</v></cell><cell r="L451"><v>0</v></cell><cell r="M451"><v>0</v></cell><cell r="N451"><v>0</v></cell></row><row r="452"><cell r="A452" t="str"><v>RDGCD2_SEC_CDDB_TU09</v></cell><cell r="B452" t="str"><v>RDGCD1;DC SYS01</v></cell><cell r="C452" t="str"><v>RDGCD2</v></cell><cell r="D452"><v>50</v></cell><cell r="E452"><v>50</v></cell><cell r="F452"><v>45579</v></cell><cell r="G452"><v>300</v></cell><cell r="H452"><v>300</v></cell><cell r="I452"><v>4</v></cell><cell r="J452"><v>0</v></cell><cell r="K452"><v>0</v></cell><cell r="L452"><v>3</v></cell><cell r="M452"><v>1</v></cell><cell r="N452"><v>24</v></cell></row><row r="453"><cell r="A453" t="str"><v>SLO_SEC_DD770_AB0</v></cell><cell r="B453" t="str"><v>SLO;DC SYS01</v></cell><cell r="C453" t="str"><v>SLO</v></cell><cell r="D453"><v>160</v></cell><cell r="E453"><v>160</v></cell><cell r="F453"><v>45068</v></cell><cell r="G453"><v>300</v></cell><cell r="H453"><v>300</v></cell><cell r="I453"><v>2</v></cell><cell r="J453"><v>0</v></cell><cell r="K453"><v>0</v></cell><cell r="L453"><v>2</v></cell><cell r="M453"><v>9</v></cell><cell r="N453"><v>0</v></cell></row><row r="454"><cell r="A454" t="str"><v>SLO_SEC_DD770_AB00</v></cell><cell r="B454" t="str"><v>SLO;DC SYS01</v></cell><cell r="C454" t="str"><v>SLO</v></cell><cell r="D454"><v>170</v></cell><cell r="E454"><v>170</v></cell><cell r="F454"><v>45068</v></cell><cell r="G454"><v>300</v></cell><cell r="H454"><v>300</v></cell><cell r="I454"><v>4</v></cell><cell r="J454"><v>0</v></cell><cell r="K454"><v>0</v></cell><cell r="L454"><v>4</v></cell><cell r="M454"><v>6</v></cell><cell r="N454"><v>0</v></cell></row><row r="455"><cell r="A455" t="str"><v>WHHN03_SEC_DD770_CD01_01</v></cell><cell r="B455" t="str"><v>WHHN03;DC SYS01</v></cell><cell r="C455" t="str"><v>WHHN03</v></cell><cell r="D455"><v>80</v></cell><cell r="E455"><v>90</v></cell><cell r="F455"><v>44042</v></cell><cell r="G455"><v>300</v></cell><cell r="H455"><v>300</v></cell><cell r="I455"><v>0</v></cell><cell r="J455"><v>8</v></cell><cell r="K455"><v>0</v></cell><cell r="L455"><v>17</v></cell><cell r="M455"><v>11</v></cell><cell r="N455"><v>0</v></cell></row><row r="456"><cell r="A456" t="str"><v>WHHN03_SEC_DD770_EF01_02</v></cell><cell r="B456" t="str"><v>WHHN03;DC SYS01</v></cell><cell r="C456" t="str"><v>WHHN03</v></cell><cell r="D456"><v>80</v></cell><cell r="E456"><v>70</v></cell><cell r="F456"><v>44042</v></cell><cell r="G456"><v>0</v></cell><cell r="H456"><v>0</v></cell><cell r="I456"><v>5</v></cell><cell r="J456"><v>10</v></cell><cell r="K456"><v>0</v></cell><cell r="L456"><v>6</v></cell><cell r="M456"><v>11</v></cell><cell r="N456"><v>0</v></cell></row><row r="457"><cell r="A457" t="str"><v>WHHN03_SEC_Eaton CBDB_LM01</v></cell><cell r="B457" t="str"><v>WHHN03;DC SYS01</v></cell><cell r="C457" t="str"><v>WHHN03</v></cell><cell r="D457"><v>90</v></cell><cell r="E457"><v>90</v></cell><cell r="F457"><v>42983</v></cell><cell r="G457"><v>300</v></cell><cell r="H457"><v>300</v></cell><cell r="I457"><v>1</v></cell><cell r="J457"><v>0</v></cell><cell r="K457"><v>2</v></cell><cell r="L457"><v>1</v></cell><cell r="M457"><v>0</v></cell><cell r="N457"><v>12</v></cell></row><row r="458"><cell r="A458" t="str"><v>OHB_SEC_DCDB01_WALL_OPP TO SUITE EF</v></cell><cell r="B458" t="str"><v>OHB;DC SYS02;PSU2</v></cell><cell r="C458" t="str"><v>OHB</v></cell><cell r="D458" t="str"><v>N/A</v></cell><cell r="E458" t="str"><v>N/A</v></cell><cell r="F458"><v>44998</v></cell><cell r="G458"><v>300</v></cell><cell r="H458"><v>300</v></cell><cell r="I458"><v>0</v></cell><cell r="J458"><v>0</v></cell><cell r="K458"><v>0</v></cell><cell r="L458"><v>0</v></cell><cell r="M458"><v>0</v></cell><cell r="N458"><v>0</v></cell></row><row r="459"><cell r="A459" t="str"><v>OHB_SEC_DCDB03_WALL</v></cell><cell r="B459" t="str"><v>OHB;DC SYS02;PSU2</v></cell><cell r="C459" t="str"><v>OHB</v></cell><cell r="D459"><v>0</v></cell><cell r="E459"><v>50</v></cell><cell r="F459"><v>44998</v></cell><cell r="G459"><v>300</v></cell><cell r="H459"><v>300</v></cell><cell r="I459"><v>0</v></cell><cell r="J459"><v>0</v></cell><cell r="K459"><v>0</v></cell><cell r="L459"><v>0</v></cell><cell r="M459"><v>0</v></cell><cell r="N459"><v>0</v></cell></row><row r="460"><cell r="A460" t="str"><v>OHB_SEC_DCDB04_WALL</v></cell><cell r="B460" t="str"><v>OHB;DC SYS01;PSU1</v></cell><cell r="C460" t="str"><v>OHB</v></cell><cell r="D460"><v>45</v></cell><cell r="E460"><v>0</v></cell><cell r="F460"><v>44998</v></cell><cell r="G460"><v>300</v></cell><cell r="H460"><v>300</v></cell><cell r="I460"><v>0</v></cell><cell r="J460"><v>6</v></cell><cell r="K460"><v>0</v></cell><cell r="L460"><v>0</v></cell><cell r="M460"><v>0</v></cell><cell r="N460"><v>0</v></cell></row><row r="461"><cell r="A461" t="str"><v>OHB_SEC_DCDB05_WALL</v></cell><cell r="B461" t="str"><v>OHB;DC SYS02;PSU2</v></cell><cell r="C461" t="str"><v>OHB</v></cell><cell r="D461"><v>0</v></cell><cell r="E461"><v>85</v></cell><cell r="F461"><v>44998</v></cell><cell r="G461"><v>300</v></cell><cell r="H461"><v>300</v></cell><cell r="I461"><v>0</v></cell><cell r="J461"><v>0</v></cell><cell r="K461"><v>0</v></cell><cell r="L461"><v>0</v></cell><cell r="M461"><v>0</v></cell><cell r="N461"><v>0</v></cell></row><row r="462"><cell r="A462" t="str"><v>OHB_SEC_DCDB06_WALL</v></cell><cell r="B462" t="str"><v>OHB;DC SYS01;PSU1</v></cell><cell r="C462" t="str"><v>OHB</v></cell><cell r="D462"><v>80</v></cell><cell r="E462"><v>7</v></cell><cell r="F462"><v>42914</v></cell><cell r="G462"><v>300</v></cell><cell r="H462"><v>300</v></cell><cell r="I462"><v>0</v></cell><cell r="J462"><v>4</v></cell><cell r="K462"><v>0</v></cell><cell r="L462"><v>0</v></cell><cell r="M462"><v>0</v></cell><cell r="N462"><v>0</v></cell></row><row r="463"><cell r="A463" t="str"><v>SWNN03_DCDB 1</v></cell><cell r="B463" t="str"><v>SWNN03;DC SYS01</v></cell><cell r="C463" t="str"><v>SWNN03</v></cell><cell r="D463"><v>61</v></cell><cell r="E463"><v>93</v></cell><cell r="F463"><v>44999</v></cell><cell r="G463"><v>300</v></cell><cell r="H463"><v>300</v></cell><cell r="I463"><v>0</v></cell><cell r="J463"><v>2</v></cell><cell r="K463"><v>0</v></cell><cell r="L463"><v>0</v></cell><cell r="M463"><v>0</v></cell><cell r="N463"><v>29</v></cell></row><row r="464"><cell r="A464" t="str"><v>SWNN03_SYS01_PER_K - ignore</v></cell><cell r="B464" t="str"><v>SWNN03;DC SYS01</v></cell><cell r="C464" t="str"><v>SWNN03</v></cell><cell r="D464"><v>0</v></cell><cell r="E464"><v>0</v></cell><cell r="F464"><v>39873</v></cell><cell r="G464"><v>0</v></cell><cell r="H464"><v>0</v></cell><cell r="I464"><v>0</v></cell><cell r="J464"><v>0</v></cell><cell r="K464"><v>0</v></cell><cell r="L464"><v>0</v></cell><cell r="M464"><v>0</v></cell><cell r="N464"><v>0</v></cell></row><row r="465"><cell r="A465" t="str"><v>SQYN02_SEC_DCDB_HVHU1</v></cell><cell r="B465" t="str"><v>SQYN02;DC SYS09A</v></cell><cell r="C465" t="str"><v>SQYN02</v></cell><cell r="D465"><v>63</v></cell><cell r="E465"><v>59</v></cell><cell r="F465"><v>45034</v></cell><cell r="G465"><v>300</v></cell><cell r="H465"><v>300</v></cell><cell r="I465"><v>1</v></cell><cell r="J465"><v>0</v></cell><cell r="K465"><v>2</v></cell><cell r="L465"><v>0</v></cell><cell r="M465"><v>0</v></cell><cell r="N465"><v>36</v></cell></row><row r="466"><cell r="A466" t="str"><v>LLDTE1_SEC_DCDB_Q4</v></cell><cell r="B466" t="str"><v>LLDTE1;DC SYS01</v></cell><cell r="C466" t="str"><v>LLDTE1</v></cell><cell r="D466"><v>97</v></cell><cell r="E466"><v>101</v></cell><cell r="F466"><v>0</v></cell><cell r="G466"><v>300</v></cell><cell r="H466"><v>300</v></cell><cell r="I466"><v>0</v></cell><cell r="J466"><v>0</v></cell><cell r="K466"><v>0</v></cell><cell r="L466"><v>0</v></cell><cell r="M466"><v>0</v></cell><cell r="N466"><v>37</v></cell></row><row r="467"><cell r="A467" t="str"><v>BSHN08_PDU2A_B</v></cell><cell r="B467" t="str"><v>BSH;DC SYS01A</v></cell><cell r="C467" t="str"><v>BSHN08</v></cell><cell r="D467"><v>111.66</v></cell><cell r="E467"><v>116.68</v></cell><cell r="F467"><v>45631</v></cell><cell r="G467"><v>360</v></cell><cell r="H467"><v>360</v></cell></row><row r="468"><cell r="A468" t="str"><v>BTLN09_PDU2A_B</v></cell><cell r="B468" t="str"><v>BTLN09;DC SYS01 </v></cell><cell r="C468" t="str"><v>BTLN09</v></cell><cell r="D468"><v>57.91</v></cell><cell r="E468"><v>56.55</v></cell><cell r="F468"><v>45631</v></cell><cell r="G468"><v>360</v></cell><cell r="H468"><v>360</v></cell></row><row r="469"><cell r="A469" t="str"><v>LDSCD2_PDU2A_B</v></cell><cell r="B469" t="str"><v>LDSCD2;DC SYS A</v></cell><cell r="C469" t="str"><v>LDSCD2</v></cell><cell r="D469"><v>64.98</v></cell><cell r="E469"><v>63.82</v></cell><cell r="F469"><v>45665</v></cell><cell r="G469"><v>360</v></cell><cell r="H469"><v>360</v></cell></row><row r="470"><cell r="A470" t="str"><v>MCRCD2_PDU2A_B</v></cell><cell r="B470" t="str"><v>MCRCD2;DC SYS02 [Rect 3&4]</v></cell><cell r="C470" t="str"><v>MCRCD2</v></cell><cell r="D470"><v>14.57</v></cell><cell r="E470"><v>18.99</v></cell><cell r="F470"><v>45631</v></cell><cell r="G470"><v>360</v></cell><cell r="H470"><v>360</v></cell></row><row r="471"><cell r="A471" t="str"><v>SQYN02_PDU2A_B</v></cell><cell r="B471" t="str"><v>SQYN02;DC SYS08A</v></cell><cell r="C471" t="str"><v>SQYN02</v></cell><cell r="D471"><v>0</v></cell><cell r="E471"><v>0</v></cell><cell r="F471"><v>45631</v></cell><cell r="G471"><v>600</v></cell><cell r="H471"><v>600</v></cell></row><row r="472"><cell r="A472" t="str"><v>CHTTN3_PDU2A_B</v></cell><cell r="B472" t="str"><v>CHTTN3;DC SYS01A</v></cell><cell r="C472" t="str"><v>CHTTN3</v></cell><cell r="D472"><v>0</v></cell><cell r="E472"><v>13.51</v></cell><cell r="F472"><v>0</v></cell><cell r="G472"><v>600</v></cell><cell r="H472"><v>600</v></cell></row><row r="473"><cell r="A473" t="str"><v>STGCD1_Eaton DIST@G0</v></cell><cell r="B473" t="str"><v>STGCD1;DC SYS01</v></cell><cell r="C473" t="str"><v>STGCD1</v></cell><cell r="D473"><v>0</v></cell><cell r="E473"><v>0</v></cell><cell r="F473"><v>44860</v></cell><cell r="G473"><v>300</v></cell><cell r="H473"><v>300</v></cell><cell r="I473"><v>0</v></cell><cell r="J473"><v>0</v></cell><cell r="K473"><v>0</v></cell><cell r="L473"><v>0</v></cell><cell r="M473"><v>0</v></cell><cell r="N473"><v>0</v></cell></row><row r="474"><cell r="A474" t="str"><v>SHDTR1_SEC_CBDB_N10</v></cell><cell r="B474" t="str"><v>SHDTR1;DC SYS01</v></cell><cell r="C474" t="str"><v>SHDTR1</v></cell><cell r="D474"><v>140</v></cell><cell r="E474"><v>137</v></cell><cell r="F474"><v>44971</v></cell><cell r="G474"><v>300</v></cell><cell r="H474"><v>300</v></cell><cell r="I474"><v>0</v></cell><cell r="J474"><v>0</v></cell><cell r="K474"><v>0</v></cell><cell r="L474"><v>0</v></cell><cell r="M474"><v>0</v></cell><cell r="N474"><v>34</v></cell></row><row r="475"><cell r="A475" t="str"><v>SHDTR1_EOS_D</v></cell><cell r="B475" t="str"><v>SHDTR1;DC SYS01</v></cell><cell r="C475" t="str"><v>SHDTR1</v></cell><cell r="D475"><v>3</v></cell><cell r="E475"><v>2.7</v></cell><cell r="F475"><v>44971</v></cell><cell r="G475"><v>80</v></cell><cell r="H475"><v>80</v></cell><cell r="I475"><v>0</v></cell><cell r="J475"><v>0</v></cell><cell r="K475"><v>0</v></cell><cell r="L475"><v>0</v></cell><cell r="M475"><v>18</v></cell><cell r="N475"><v>0</v></cell></row><row r="476"><cell r="A476" t="str"><v>SHDTR1_EOS_E</v></cell><cell r="B476" t="str"><v>SHDTR1;DC SYS01</v></cell><cell r="C476" t="str"><v>SHDTR1</v></cell><cell r="D476" t="str"><v>N/A</v></cell><cell r="E476" t="str"><v>N/A</v></cell><cell r="F476"><v>44971</v></cell><cell r="G476"><v>80</v></cell><cell r="H476"><v>80</v></cell><cell r="I476"><v>0</v></cell><cell r="J476"><v>0</v></cell><cell r="K476"><v>0</v></cell><cell r="L476"><v>0</v></cell><cell r="M476"><v>18</v></cell><cell r="N476"><v>0</v></cell></row><row r="477"><cell r="A477" t="str"><v>SHDTR1_EOS_F</v></cell><cell r="B477" t="str"><v>SHDTR1;DC SYS01</v></cell><cell r="C477" t="str"><v>SHDTR1</v></cell><cell r="D477"><v>2.5</v></cell><cell r="E477"><v>2.5</v></cell><cell r="F477"><v>44971</v></cell><cell r="G477"><v>80</v></cell><cell r="H477"><v>80</v></cell><cell r="I477"><v>0</v></cell><cell r="J477"><v>0</v></cell><cell r="K477"><v>0</v></cell><cell r="L477"><v>1</v></cell><cell r="M477"><v>6</v></cell><cell r="N477"><v>0</v></cell></row><row r="478"><cell r="A478" t="str"><v>SHDTR1_EOS_G</v></cell><cell r="B478" t="str"><v>SHDTR1;DC SYS01</v></cell><cell r="C478" t="str"><v>SHDTR1</v></cell><cell r="D478"><v>2.8</v></cell><cell r="E478"><v>1.9</v></cell><cell r="F478"><v>44971</v></cell><cell r="G478"><v>80</v></cell><cell r="H478"><v>80</v></cell><cell r="I478"><v>0</v></cell><cell r="J478"><v>0</v></cell><cell r="K478"><v>0</v></cell><cell r="L478"><v>0</v></cell><cell r="M478"><v>7</v></cell><cell r="N478"><v>0</v></cell></row><row r="479"><cell r="A479" t="str"><v>SHDTR1_EOS_H</v></cell><cell r="B479" t="str"><v>SHDTR1;DC SYS01</v></cell><cell r="C479" t="str"><v>SHDTR1</v></cell><cell r="D479"><v>13.2</v></cell><cell r="E479"><v>10.8</v></cell><cell r="F479"><v>44971</v></cell><cell r="G479"><v>80</v></cell><cell r="H479"><v>80</v></cell><cell r="I479"><v>0</v></cell><cell r="J479"><v>0</v></cell><cell r="K479"><v>0</v></cell><cell r="L479"><v>0</v></cell><cell r="M479"><v>10</v></cell><cell r="N479"><v>0</v></cell></row><row r="480"><cell r="A480" t="str"><v>SHDTR1_EOS_J</v></cell><cell r="B480" t="str"><v>SHDTR1;DC SYS01</v></cell><cell r="C480" t="str"><v>SHDTR1</v></cell><cell r="D480"><v>9.6</v></cell><cell r="E480"><v>9.1</v></cell><cell r="F480"><v>44971</v></cell><cell r="G480"><v>80</v></cell><cell r="H480"><v>80</v></cell><cell r="I480"><v>0</v></cell><cell r="J480"><v>0</v></cell><cell r="K480"><v>0</v></cell><cell r="L480"><v>0</v></cell><cell r="M480"><v>11</v></cell><cell r="N480"><v>0</v></cell></row><row r="481"><cell r="A481" t="str"><v>SHDTR1_EOS_K</v></cell><cell r="B481" t="str"><v>SHDTR1;DC SYS01</v></cell><cell r="C481" t="str"><v>SHDTR1</v></cell><cell r="D481"><v>30.4</v></cell><cell r="E481"><v>31.4</v></cell><cell r="F481"><v>44971</v></cell><cell r="G481"><v>80</v></cell><cell r="H481"><v>80</v></cell><cell r="I481"><v>0</v></cell><cell r="J481"><v>0</v></cell><cell r="K481"><v>0</v></cell><cell r="L481"><v>0</v></cell><cell r="M481"><v>0</v></cell><cell r="N481"><v>0</v></cell></row><row r="482"><cell r="A482" t="str"><v>SHDTR1_EOS_L</v></cell><cell r="B482" t="str"><v>SHDTR1;DC SYS01</v></cell><cell r="C482" t="str"><v>SHDTR1</v></cell><cell r="D482"><v>25.7</v></cell><cell r="E482"><v>25.7</v></cell><cell r="F482"><v>44971</v></cell><cell r="G482"><v>80</v></cell><cell r="H482"><v>80</v></cell><cell r="I482"><v>0</v></cell><cell r="J482"><v>0</v></cell><cell r="K482"><v>1</v></cell><cell r="L482"><v>0</v></cell><cell r="M482"><v>0</v></cell><cell r="N482"><v>0</v></cell></row><row r="483"><cell r="A483" t="str"><v>SHDTR1_EOS_M</v></cell><cell r="B483" t="str"><v>SHDTR1;DC SYS01</v></cell><cell r="C483" t="str"><v>SHDTR1</v></cell><cell r="D483"><v>0</v></cell><cell r="E483"><v>0</v></cell><cell r="F483"><v>44971</v></cell><cell r="G483"><v>80</v></cell><cell r="H483"><v>80</v></cell><cell r="I483"><v>0</v></cell><cell r="J483"><v>0</v></cell><cell r="K483"><v>0</v></cell><cell r="L483"><v>0</v></cell><cell r="M483"><v>20</v></cell><cell r="N483"><v>0</v></cell></row></sheetData></sheetDataSet></externalBook>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</v>
          </cell>
        </row>
        <row r="15">
          <cell r="A15" t="str">
            <v>Power One PMP 11.48</v>
          </cell>
          <cell r="B15">
            <v>23</v>
          </cell>
          <cell r="C15">
            <v>18.4</v>
          </cell>
        </row>
        <row r="16">
          <cell r="A16" t="str">
            <v>Power One PMP 13.48</v>
          </cell>
          <cell r="B16">
            <v>28</v>
          </cell>
          <cell r="C16">
            <v>22.4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ables/table1.xml><?xml version="1.0" encoding="utf-8"?>
<table xmlns="http://schemas.openxmlformats.org/spreadsheetml/2006/main" id="1" name="Table4" displayName="Table4" ref="A1:D14" headerRowCount="1" totalsRowCount="0" totalsRowShown="0">
  <autoFilter ref="A1:D14"/>
  <tableColumns count="4">
    <tableColumn id="1" name="Site"/>
    <tableColumn id="2" name="Issue"/>
    <tableColumn id="3" name="Date raised"/>
    <tableColumn id="4" name="Resolution"/>
  </tableColumns>
</table>
</file>

<file path=xl/tables/table2.xml><?xml version="1.0" encoding="utf-8"?>
<table xmlns="http://schemas.openxmlformats.org/spreadsheetml/2006/main" id="2" name="Table7" displayName="Table7" ref="A3:P52" headerRowCount="1" totalsRowCount="0" totalsRowShown="0">
  <autoFilter ref="A3:P52"/>
  <tableColumns count="16">
    <tableColumn id="1" name="Battery Type"/>
    <tableColumn id="2" name="1 hr"/>
    <tableColumn id="3" name="2 hrs"/>
    <tableColumn id="4" name="3 hrs"/>
    <tableColumn id="5" name="4 hrs"/>
    <tableColumn id="6" name="1 hr2"/>
    <tableColumn id="7" name="2 hrs3"/>
    <tableColumn id="8" name="3 hrs4"/>
    <tableColumn id="9" name="4 hrs5"/>
    <tableColumn id="10" name="1 hr6"/>
    <tableColumn id="11" name="2 hrs7"/>
    <tableColumn id="12" name="3 hrs8"/>
    <tableColumn id="13" name="4 hrs9"/>
    <tableColumn id="14" name="Ah Rating"/>
    <tableColumn id="15" name="Recharge"/>
    <tableColumn id="16" name="Temp"/>
  </tableColumns>
</table>
</file>

<file path=xl/tables/table3.xml><?xml version="1.0" encoding="utf-8"?>
<table xmlns="http://schemas.openxmlformats.org/spreadsheetml/2006/main" id="3" name="Table72" displayName="Table72" ref="A3:P52" headerRowCount="1" totalsRowCount="0" totalsRowShown="0">
  <autoFilter ref="A3:P52"/>
  <tableColumns count="16">
    <tableColumn id="1" name="Battery Type"/>
    <tableColumn id="2" name="1 hr"/>
    <tableColumn id="3" name="2 hrs"/>
    <tableColumn id="4" name="3 hrs"/>
    <tableColumn id="5" name="4 hrs"/>
    <tableColumn id="6" name="1 hr2"/>
    <tableColumn id="7" name="2 hrs3"/>
    <tableColumn id="8" name="3 hrs4"/>
    <tableColumn id="9" name="4 hrs5"/>
    <tableColumn id="10" name="1 hr6"/>
    <tableColumn id="11" name="2 hrs7"/>
    <tableColumn id="12" name="3 hrs8"/>
    <tableColumn id="13" name="4 hrs9"/>
    <tableColumn id="14" name="Ah Rating"/>
    <tableColumn id="15" name="Recharge"/>
    <tableColumn id="16" name="Temp"/>
  </tableColumns>
</table>
</file>

<file path=xl/tables/table4.xml><?xml version="1.0" encoding="utf-8"?>
<table xmlns="http://schemas.openxmlformats.org/spreadsheetml/2006/main" id="4" name="Table83" displayName="Table83" ref="A1:C24" headerRowCount="1" totalsRowCount="0" totalsRowShown="0">
  <autoFilter ref="A1:C24"/>
  <tableColumns count="3">
    <tableColumn id="1" name="Rectifier Model"/>
    <tableColumn id="2" name="Output (Amps)"/>
    <tableColumn id="3" name="80% 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29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1" ySplit="7" topLeftCell="B183" activePane="bottomRight" state="frozen"/>
      <selection pane="topLeft" activeCell="A1" activeCellId="0" sqref="A1"/>
      <selection pane="topRight" activeCell="B1" activeCellId="0" sqref="B1"/>
      <selection pane="bottomLeft" activeCell="A183" activeCellId="0" sqref="A183"/>
      <selection pane="bottomRight" activeCell="L218" activeCellId="0" sqref="L218"/>
    </sheetView>
  </sheetViews>
  <sheetFormatPr defaultColWidth="9.30078125" defaultRowHeight="13.15" zeroHeight="false" outlineLevelRow="0" outlineLevelCol="0"/>
  <cols>
    <col collapsed="false" customWidth="true" hidden="false" outlineLevel="0" max="1" min="1" style="1" width="43.42"/>
    <col collapsed="false" customWidth="true" hidden="false" outlineLevel="0" max="3" min="2" style="1" width="30.57"/>
    <col collapsed="false" customWidth="true" hidden="false" outlineLevel="0" max="4" min="4" style="2" width="9.42"/>
    <col collapsed="false" customWidth="true" hidden="false" outlineLevel="0" max="6" min="5" style="2" width="13.57"/>
    <col collapsed="false" customWidth="true" hidden="false" outlineLevel="0" max="10" min="7" style="2" width="12.42"/>
    <col collapsed="false" customWidth="true" hidden="false" outlineLevel="0" max="12" min="11" style="3" width="12.42"/>
    <col collapsed="false" customWidth="true" hidden="false" outlineLevel="0" max="13" min="13" style="2" width="8.29"/>
    <col collapsed="false" customWidth="true" hidden="false" outlineLevel="0" max="14" min="14" style="2" width="5.01"/>
    <col collapsed="false" customWidth="true" hidden="false" outlineLevel="0" max="15" min="15" style="2" width="4.71"/>
    <col collapsed="false" customWidth="true" hidden="false" outlineLevel="0" max="17" min="16" style="2" width="6.28"/>
    <col collapsed="false" customWidth="false" hidden="false" outlineLevel="0" max="18" min="18" style="2" width="9.29"/>
    <col collapsed="false" customWidth="true" hidden="false" outlineLevel="0" max="19" min="19" style="2" width="37.29"/>
    <col collapsed="false" customWidth="false" hidden="false" outlineLevel="0" max="1024" min="20" style="2" width="9.29"/>
  </cols>
  <sheetData>
    <row r="1" customFormat="false" ht="18.75" hidden="false" customHeight="true" outlineLevel="0" collapsed="false">
      <c r="A1" s="4" t="s">
        <v>0</v>
      </c>
      <c r="C1" s="5" t="s">
        <v>1</v>
      </c>
      <c r="D1" s="6"/>
      <c r="F1" s="7" t="s">
        <v>2</v>
      </c>
      <c r="G1" s="8" t="n">
        <v>45671</v>
      </c>
    </row>
    <row r="2" customFormat="false" ht="13.15" hidden="false" customHeight="false" outlineLevel="0" collapsed="false">
      <c r="A2" s="9" t="s">
        <v>3</v>
      </c>
      <c r="C2" s="10" t="n">
        <f aca="false">All!B2</f>
        <v>41</v>
      </c>
      <c r="R2" s="1"/>
    </row>
    <row r="3" customFormat="false" ht="13.15" hidden="false" customHeight="false" outlineLevel="0" collapsed="false">
      <c r="A3" s="11" t="s">
        <v>4</v>
      </c>
    </row>
    <row r="4" customFormat="false" ht="13.15" hidden="false" customHeight="false" outlineLevel="0" collapsed="false">
      <c r="A4" s="12" t="s">
        <v>4</v>
      </c>
    </row>
    <row r="7" s="19" customFormat="true" ht="96" hidden="false" customHeight="true" outlineLevel="0" collapsed="false">
      <c r="A7" s="13" t="s">
        <v>5</v>
      </c>
      <c r="B7" s="14" t="s">
        <v>6</v>
      </c>
      <c r="C7" s="15" t="s">
        <v>7</v>
      </c>
      <c r="D7" s="14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6" t="s">
        <v>13</v>
      </c>
      <c r="J7" s="16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8" t="s">
        <v>22</v>
      </c>
      <c r="S7" s="19" t="s">
        <v>23</v>
      </c>
    </row>
    <row r="8" customFormat="false" ht="13.15" hidden="true" customHeight="false" outlineLevel="0" collapsed="false">
      <c r="A8" s="20" t="s">
        <v>24</v>
      </c>
      <c r="B8" s="21" t="str">
        <f aca="false">VLOOKUP(A8,All!A:AM,2,0)</f>
        <v>ANGLIA</v>
      </c>
      <c r="C8" s="22" t="n">
        <f aca="false">VLOOKUP(A8,All!A:AM,11,0)</f>
        <v>45659</v>
      </c>
      <c r="D8" s="23"/>
      <c r="E8" s="24" t="n">
        <f aca="false">VLOOKUP(A8,All!A:AM,30,0)</f>
        <v>74.3852459016393</v>
      </c>
      <c r="F8" s="24" t="n">
        <f aca="false">VLOOKUP(A8,All!A:AM,28,0)</f>
        <v>4.74804</v>
      </c>
      <c r="G8" s="24" t="n">
        <f aca="false">VLOOKUP(A8,All!A:AM,31,0)</f>
        <v>-0.80645161290322</v>
      </c>
      <c r="H8" s="24" t="n">
        <f aca="false">VLOOKUP(A8,All!A:AM,29,0)</f>
        <v>-0.0130799999999999</v>
      </c>
      <c r="I8" s="25" t="n">
        <f aca="false">VLOOKUP(A8,All!A:AM,33,0)</f>
        <v>87.5706987775953</v>
      </c>
      <c r="J8" s="25" t="n">
        <f aca="false">VLOOKUP(A8,All!A:AM,32,0)</f>
        <v>11.5194</v>
      </c>
      <c r="K8" s="26" t="n">
        <f aca="false">VLOOKUP(A8,All!A:AM,39,0)</f>
        <v>78.2</v>
      </c>
      <c r="L8" s="26" t="n">
        <f aca="false">VLOOKUP(A8,All!A:AM,38,0)</f>
        <v>5.865</v>
      </c>
      <c r="M8" s="27" t="n">
        <f aca="false">VLOOKUP(A8,'SYS Allocations'!A:G,2,0)</f>
        <v>0</v>
      </c>
      <c r="N8" s="28" t="n">
        <f aca="false">VLOOKUP(A8,'SYS Allocations'!A:G,3,0)</f>
        <v>0</v>
      </c>
      <c r="O8" s="28" t="n">
        <f aca="false">VLOOKUP(A8,'SYS Allocations'!A:G,4,0)</f>
        <v>0</v>
      </c>
      <c r="P8" s="28" t="n">
        <f aca="false">VLOOKUP(A8,'SYS Allocations'!A:G,5,0)</f>
        <v>0</v>
      </c>
      <c r="Q8" s="28" t="n">
        <f aca="false">VLOOKUP(A8,'SYS Allocations'!A:G,6,0)</f>
        <v>0</v>
      </c>
      <c r="R8" s="29" t="n">
        <f aca="false">VLOOKUP(A8,'SYS Allocations'!A:G,7,0)</f>
        <v>0</v>
      </c>
      <c r="S8" s="30"/>
    </row>
    <row r="9" customFormat="false" ht="13.15" hidden="true" customHeight="false" outlineLevel="0" collapsed="false">
      <c r="A9" s="20" t="s">
        <v>25</v>
      </c>
      <c r="B9" s="21" t="str">
        <f aca="false">VLOOKUP(A9,All!A:AM,2,0)</f>
        <v>SCOTLAND</v>
      </c>
      <c r="C9" s="22" t="n">
        <f aca="false">VLOOKUP(A9,All!A:AM,11,0)</f>
        <v>45622</v>
      </c>
      <c r="D9" s="23"/>
      <c r="E9" s="24" t="n">
        <f aca="false">VLOOKUP(A9,All!A:AM,30,0)</f>
        <v>62.8334940533591</v>
      </c>
      <c r="F9" s="24" t="n">
        <f aca="false">VLOOKUP(A9,All!A:AM,28,0)</f>
        <v>17.04542</v>
      </c>
      <c r="G9" s="24" t="n">
        <f aca="false">VLOOKUP(A9,All!A:AM,31,0)</f>
        <v>41.4927261227072</v>
      </c>
      <c r="H9" s="24" t="n">
        <f aca="false">VLOOKUP(A9,All!A:AM,29,0)</f>
        <v>7.1504</v>
      </c>
      <c r="I9" s="25" t="n">
        <f aca="false">VLOOKUP(A9,All!A:AM,33,0)</f>
        <v>61.3910332996355</v>
      </c>
      <c r="J9" s="25" t="n">
        <f aca="false">VLOOKUP(A9,All!A:AM,32,0)</f>
        <v>16.0319</v>
      </c>
      <c r="K9" s="26" t="n">
        <f aca="false">VLOOKUP(A9,All!A:AM,39,0)</f>
        <v>55.1888888888889</v>
      </c>
      <c r="L9" s="26" t="n">
        <f aca="false">VLOOKUP(A9,All!A:AM,38,0)</f>
        <v>12.4175</v>
      </c>
      <c r="M9" s="28" t="n">
        <f aca="false">VLOOKUP(A9,'SYS Allocations'!A:G,2,0)</f>
        <v>0</v>
      </c>
      <c r="N9" s="28" t="n">
        <f aca="false">VLOOKUP(A9,'SYS Allocations'!A:G,3,0)</f>
        <v>0</v>
      </c>
      <c r="O9" s="28" t="n">
        <f aca="false">VLOOKUP(A9,'SYS Allocations'!A:G,4,0)</f>
        <v>0</v>
      </c>
      <c r="P9" s="28" t="n">
        <f aca="false">VLOOKUP(A9,'SYS Allocations'!A:G,5,0)</f>
        <v>0</v>
      </c>
      <c r="Q9" s="28" t="n">
        <f aca="false">VLOOKUP(A9,'SYS Allocations'!A:G,6,0)</f>
        <v>0</v>
      </c>
      <c r="R9" s="29" t="n">
        <f aca="false">VLOOKUP(A9,'SYS Allocations'!A:G,7,0)</f>
        <v>6.5</v>
      </c>
      <c r="S9" s="30"/>
    </row>
    <row r="10" customFormat="false" ht="13.15" hidden="true" customHeight="false" outlineLevel="0" collapsed="false">
      <c r="A10" s="20" t="s">
        <v>26</v>
      </c>
      <c r="B10" s="21" t="str">
        <f aca="false">VLOOKUP(A10,All!A:AM,2,0)</f>
        <v>SCOTLAND</v>
      </c>
      <c r="C10" s="22" t="n">
        <f aca="false">VLOOKUP(A10,All!A:AM,11,0)</f>
        <v>45659</v>
      </c>
      <c r="D10" s="23"/>
      <c r="E10" s="24" t="n">
        <f aca="false">VLOOKUP(A10,All!A:AM,30,0)</f>
        <v>46.860599078341</v>
      </c>
      <c r="F10" s="24" t="n">
        <f aca="false">VLOOKUP(A10,All!A:AM,28,0)</f>
        <v>17.7343</v>
      </c>
      <c r="G10" s="24" t="n">
        <f aca="false">VLOOKUP(A10,All!A:AM,31,0)</f>
        <v>27.3622047244094</v>
      </c>
      <c r="H10" s="24" t="n">
        <f aca="false">VLOOKUP(A10,All!A:AM,29,0)</f>
        <v>7.5755</v>
      </c>
      <c r="I10" s="25" t="n">
        <f aca="false">VLOOKUP(A10,All!A:AM,33,0)</f>
        <v>36.5343103840036</v>
      </c>
      <c r="J10" s="25" t="n">
        <f aca="false">VLOOKUP(A10,All!A:AM,32,0)</f>
        <v>11.5767</v>
      </c>
      <c r="K10" s="26" t="n">
        <f aca="false">VLOOKUP(A10,All!A:AM,39,0)</f>
        <v>40.4133333333333</v>
      </c>
      <c r="L10" s="26" t="n">
        <f aca="false">VLOOKUP(A10,All!A:AM,38,0)</f>
        <v>13.6395</v>
      </c>
      <c r="M10" s="28" t="n">
        <f aca="false">VLOOKUP(A10,'SYS Allocations'!A:G,2,0)</f>
        <v>0</v>
      </c>
      <c r="N10" s="28" t="n">
        <f aca="false">VLOOKUP(A10,'SYS Allocations'!A:G,3,0)</f>
        <v>0</v>
      </c>
      <c r="O10" s="28" t="n">
        <f aca="false">VLOOKUP(A10,'SYS Allocations'!A:G,4,0)</f>
        <v>0</v>
      </c>
      <c r="P10" s="28" t="n">
        <f aca="false">VLOOKUP(A10,'SYS Allocations'!A:G,5,0)</f>
        <v>0</v>
      </c>
      <c r="Q10" s="28" t="n">
        <f aca="false">VLOOKUP(A10,'SYS Allocations'!A:G,6,0)</f>
        <v>0</v>
      </c>
      <c r="R10" s="29" t="n">
        <f aca="false">VLOOKUP(A10,'SYS Allocations'!A:G,7,0)</f>
        <v>2</v>
      </c>
      <c r="S10" s="31"/>
    </row>
    <row r="11" customFormat="false" ht="13.15" hidden="true" customHeight="false" outlineLevel="0" collapsed="false">
      <c r="A11" s="20" t="s">
        <v>27</v>
      </c>
      <c r="B11" s="21" t="str">
        <f aca="false">VLOOKUP(A11,All!A:AM,2,0)</f>
        <v>SCOTLAND</v>
      </c>
      <c r="C11" s="22" t="n">
        <f aca="false">VLOOKUP(A11,All!A:AM,11,0)</f>
        <v>45659</v>
      </c>
      <c r="D11" s="23"/>
      <c r="E11" s="24" t="n">
        <f aca="false">VLOOKUP(A11,All!A:AM,30,0)</f>
        <v>56.8208430913349</v>
      </c>
      <c r="F11" s="24" t="n">
        <f aca="false">VLOOKUP(A11,All!A:AM,28,0)</f>
        <v>12.69414</v>
      </c>
      <c r="G11" s="24" t="n">
        <f aca="false">VLOOKUP(A11,All!A:AM,31,0)</f>
        <v>29.8732171156894</v>
      </c>
      <c r="H11" s="24" t="n">
        <f aca="false">VLOOKUP(A11,All!A:AM,29,0)</f>
        <v>4.1093</v>
      </c>
      <c r="I11" s="25" t="n">
        <f aca="false">VLOOKUP(A11,All!A:AM,33,0)</f>
        <v>57.7885423230414</v>
      </c>
      <c r="J11" s="25" t="n">
        <f aca="false">VLOOKUP(A11,All!A:AM,32,0)</f>
        <v>13.2063</v>
      </c>
      <c r="K11" s="26" t="n">
        <f aca="false">VLOOKUP(A11,All!A:AM,39,0)</f>
        <v>78.5633333333333</v>
      </c>
      <c r="L11" s="26" t="n">
        <f aca="false">VLOOKUP(A11,All!A:AM,38,0)</f>
        <v>35.3535</v>
      </c>
      <c r="M11" s="28" t="n">
        <f aca="false">VLOOKUP(A11,'SYS Allocations'!A:G,2,0)</f>
        <v>0</v>
      </c>
      <c r="N11" s="28" t="n">
        <f aca="false">VLOOKUP(A11,'SYS Allocations'!A:G,3,0)</f>
        <v>0</v>
      </c>
      <c r="O11" s="28" t="n">
        <f aca="false">VLOOKUP(A11,'SYS Allocations'!A:G,4,0)</f>
        <v>0</v>
      </c>
      <c r="P11" s="28" t="n">
        <f aca="false">VLOOKUP(A11,'SYS Allocations'!A:G,5,0)</f>
        <v>0</v>
      </c>
      <c r="Q11" s="28" t="n">
        <f aca="false">VLOOKUP(A11,'SYS Allocations'!A:G,6,0)</f>
        <v>0</v>
      </c>
      <c r="R11" s="29" t="n">
        <f aca="false">VLOOKUP(A11,'SYS Allocations'!A:G,7,0)</f>
        <v>5</v>
      </c>
      <c r="S11" s="30"/>
    </row>
    <row r="12" customFormat="false" ht="13.15" hidden="true" customHeight="false" outlineLevel="0" collapsed="false">
      <c r="A12" s="32" t="s">
        <v>28</v>
      </c>
      <c r="B12" s="21" t="str">
        <f aca="false">VLOOKUP(A12,All!A:AM,2,0)</f>
        <v>LONDON</v>
      </c>
      <c r="C12" s="22" t="n">
        <f aca="false">VLOOKUP(A12,All!A:AM,11,0)</f>
        <v>45659</v>
      </c>
      <c r="D12" s="23"/>
      <c r="E12" s="24" t="n">
        <f aca="false">VLOOKUP(A12,All!A:AM,30,0)</f>
        <v>58.8427340928036</v>
      </c>
      <c r="F12" s="24" t="n">
        <f aca="false">VLOOKUP(A12,All!A:AM,28,0)</f>
        <v>55.40034</v>
      </c>
      <c r="G12" s="24" t="n">
        <f aca="false">VLOOKUP(A12,All!A:AM,31,0)</f>
        <v>38.6751768155943</v>
      </c>
      <c r="H12" s="24" t="n">
        <f aca="false">VLOOKUP(A12,All!A:AM,29,0)</f>
        <v>24.4378</v>
      </c>
      <c r="I12" s="25" t="n">
        <f aca="false">VLOOKUP(A12,All!A:AM,33,0)</f>
        <v>56.404414742811</v>
      </c>
      <c r="J12" s="25" t="n">
        <f aca="false">VLOOKUP(A12,All!A:AM,32,0)</f>
        <v>50.1345000000002</v>
      </c>
      <c r="K12" s="26" t="n">
        <f aca="false">VLOOKUP(A12,All!A:AM,39,0)</f>
        <v>85.7098616688978</v>
      </c>
      <c r="L12" s="26" t="n">
        <f aca="false">VLOOKUP(A12,All!A:AM,38,0)</f>
        <v>480.1895</v>
      </c>
      <c r="M12" s="28" t="n">
        <f aca="false">VLOOKUP(A12,'SYS Allocations'!A:G,2,0)</f>
        <v>0</v>
      </c>
      <c r="N12" s="28" t="str">
        <f aca="false">VLOOKUP(A12,'SYS Allocations'!A:G,3,0)</f>
        <v>RA</v>
      </c>
      <c r="O12" s="28" t="n">
        <f aca="false">VLOOKUP(A12,'SYS Allocations'!A:G,4,0)</f>
        <v>0</v>
      </c>
      <c r="P12" s="28" t="n">
        <f aca="false">VLOOKUP(A12,'SYS Allocations'!A:G,5,0)</f>
        <v>0</v>
      </c>
      <c r="Q12" s="28" t="str">
        <f aca="false">VLOOKUP(A12,'SYS Allocations'!A:G,6,0)</f>
        <v>OPEX</v>
      </c>
      <c r="R12" s="29" t="n">
        <f aca="false">VLOOKUP(A12,'SYS Allocations'!A:G,7,0)</f>
        <v>7.35</v>
      </c>
      <c r="S12" s="30"/>
    </row>
    <row r="13" customFormat="false" ht="13.15" hidden="true" customHeight="false" outlineLevel="0" collapsed="false">
      <c r="A13" s="32" t="s">
        <v>29</v>
      </c>
      <c r="B13" s="21" t="str">
        <f aca="false">VLOOKUP(A13,All!A:AM,2,0)</f>
        <v>LONDON</v>
      </c>
      <c r="C13" s="22" t="n">
        <f aca="false">VLOOKUP(A13,All!A:AM,11,0)</f>
        <v>45659</v>
      </c>
      <c r="D13" s="23"/>
      <c r="E13" s="24" t="n">
        <f aca="false">VLOOKUP(A13,All!A:AM,30,0)</f>
        <v>56.122070945633</v>
      </c>
      <c r="F13" s="24" t="n">
        <f aca="false">VLOOKUP(A13,All!A:AM,28,0)</f>
        <v>52.83884</v>
      </c>
      <c r="G13" s="24" t="n">
        <f aca="false">VLOOKUP(A13,All!A:AM,31,0)</f>
        <v>34.6213558737278</v>
      </c>
      <c r="H13" s="24" t="n">
        <f aca="false">VLOOKUP(A13,All!A:AM,29,0)</f>
        <v>21.8763</v>
      </c>
      <c r="I13" s="25" t="n">
        <f aca="false">VLOOKUP(A13,All!A:AM,33,0)</f>
        <v>53.5225687412809</v>
      </c>
      <c r="J13" s="25" t="n">
        <f aca="false">VLOOKUP(A13,All!A:AM,32,0)</f>
        <v>47.5730000000002</v>
      </c>
      <c r="K13" s="26"/>
      <c r="L13" s="26"/>
      <c r="M13" s="28"/>
      <c r="N13" s="28"/>
      <c r="O13" s="28"/>
      <c r="P13" s="28"/>
      <c r="Q13" s="28"/>
      <c r="R13" s="29" t="n">
        <f aca="false">VLOOKUP(A13,'SYS Allocations'!A:G,7,0)</f>
        <v>7.25</v>
      </c>
      <c r="S13" s="30"/>
    </row>
    <row r="14" customFormat="false" ht="13.15" hidden="true" customHeight="false" outlineLevel="0" collapsed="false">
      <c r="A14" s="20" t="s">
        <v>30</v>
      </c>
      <c r="B14" s="21" t="str">
        <f aca="false">VLOOKUP(A14,All!A:AM,2,0)</f>
        <v>SCOTTISH HIGHLANDS &amp; ISLANDS </v>
      </c>
      <c r="C14" s="22" t="n">
        <f aca="false">VLOOKUP(A14,All!A:AM,11,0)</f>
        <v>45590</v>
      </c>
      <c r="D14" s="23"/>
      <c r="E14" s="24" t="n">
        <f aca="false">VLOOKUP(A14,All!A:AM,30,0)</f>
        <v>64.0151515151515</v>
      </c>
      <c r="F14" s="24" t="n">
        <f aca="false">VLOOKUP(A14,All!A:AM,28,0)</f>
        <v>1.8421</v>
      </c>
      <c r="G14" s="24" t="n">
        <f aca="false">VLOOKUP(A14,All!A:AM,31,0)</f>
        <v>69.8412698412699</v>
      </c>
      <c r="H14" s="24" t="n">
        <f aca="false">VLOOKUP(A14,All!A:AM,29,0)</f>
        <v>2.398</v>
      </c>
      <c r="I14" s="25" t="n">
        <f aca="false">VLOOKUP(A14,All!A:AM,33,0)</f>
        <v>60.0501543209877</v>
      </c>
      <c r="J14" s="25" t="n">
        <f aca="false">VLOOKUP(A14,All!A:AM,32,0)</f>
        <v>1.5565</v>
      </c>
      <c r="K14" s="26" t="n">
        <f aca="false">VLOOKUP(A14,All!A:AM,39,0)</f>
        <v>79.3930348258707</v>
      </c>
      <c r="L14" s="26" t="n">
        <f aca="false">VLOOKUP(A14,All!A:AM,38,0)</f>
        <v>3.9895</v>
      </c>
      <c r="M14" s="28" t="n">
        <f aca="false">VLOOKUP(A14,'SYS Allocations'!A:G,2,0)</f>
        <v>0</v>
      </c>
      <c r="N14" s="28" t="n">
        <f aca="false">VLOOKUP(A14,'SYS Allocations'!A:G,3,0)</f>
        <v>0</v>
      </c>
      <c r="O14" s="28" t="n">
        <f aca="false">VLOOKUP(A14,'SYS Allocations'!A:G,4,0)</f>
        <v>0</v>
      </c>
      <c r="P14" s="28" t="n">
        <f aca="false">VLOOKUP(A14,'SYS Allocations'!A:G,5,0)</f>
        <v>0</v>
      </c>
      <c r="Q14" s="28" t="n">
        <f aca="false">VLOOKUP(A14,'SYS Allocations'!A:G,6,0)</f>
        <v>0</v>
      </c>
      <c r="R14" s="29" t="n">
        <f aca="false">VLOOKUP(A14,'SYS Allocations'!A:G,7,0)</f>
        <v>0.4</v>
      </c>
      <c r="S14" s="30"/>
    </row>
    <row r="15" customFormat="false" ht="13.15" hidden="true" customHeight="false" outlineLevel="0" collapsed="false">
      <c r="A15" s="20" t="s">
        <v>31</v>
      </c>
      <c r="B15" s="21" t="str">
        <f aca="false">VLOOKUP(A15,All!A:AM,2,0)</f>
        <v>SOUTH EAST</v>
      </c>
      <c r="C15" s="22" t="n">
        <f aca="false">VLOOKUP(A15,All!A:AM,11,0)</f>
        <v>45435</v>
      </c>
      <c r="D15" s="23"/>
      <c r="E15" s="24" t="n">
        <f aca="false">VLOOKUP(A15,All!A:AM,30,0)</f>
        <v>58.0849478390462</v>
      </c>
      <c r="F15" s="24" t="n">
        <f aca="false">VLOOKUP(A15,All!A:AM,28,0)</f>
        <v>10.19586</v>
      </c>
      <c r="G15" s="24" t="n">
        <f aca="false">VLOOKUP(A15,All!A:AM,31,0)</f>
        <v>52.8795796716098</v>
      </c>
      <c r="H15" s="24" t="n">
        <f aca="false">VLOOKUP(A15,All!A:AM,29,0)</f>
        <v>8.2567495095</v>
      </c>
      <c r="I15" s="25" t="n">
        <f aca="false">VLOOKUP(A15,All!A:AM,33,0)</f>
        <v>41.7735042735041</v>
      </c>
      <c r="J15" s="25" t="n">
        <f aca="false">VLOOKUP(A15,All!A:AM,32,0)</f>
        <v>5.27849999999998</v>
      </c>
      <c r="K15" s="26" t="n">
        <f aca="false">VLOOKUP(A15,All!A:AM,39,0)</f>
        <v>24.5384615384615</v>
      </c>
      <c r="L15" s="26" t="n">
        <f aca="false">VLOOKUP(A15,All!A:AM,38,0)</f>
        <v>2.3925</v>
      </c>
      <c r="M15" s="28" t="n">
        <f aca="false">VLOOKUP(A15,'SYS Allocations'!A:G,2,0)</f>
        <v>0</v>
      </c>
      <c r="N15" s="28" t="n">
        <f aca="false">VLOOKUP(A15,'SYS Allocations'!A:G,3,0)</f>
        <v>0</v>
      </c>
      <c r="O15" s="28" t="n">
        <f aca="false">VLOOKUP(A15,'SYS Allocations'!A:G,4,0)</f>
        <v>0</v>
      </c>
      <c r="P15" s="28" t="n">
        <f aca="false">VLOOKUP(A15,'SYS Allocations'!A:G,5,0)</f>
        <v>0</v>
      </c>
      <c r="Q15" s="28" t="n">
        <f aca="false">VLOOKUP(A15,'SYS Allocations'!A:G,6,0)</f>
        <v>0</v>
      </c>
      <c r="R15" s="29" t="n">
        <f aca="false">VLOOKUP(A15,'SYS Allocations'!A:G,7,0)</f>
        <v>0.5</v>
      </c>
      <c r="S15" s="30"/>
    </row>
    <row r="16" customFormat="false" ht="13.15" hidden="true" customHeight="false" outlineLevel="0" collapsed="false">
      <c r="A16" s="20" t="s">
        <v>32</v>
      </c>
      <c r="B16" s="21" t="str">
        <f aca="false">VLOOKUP(A16,All!A:AM,2,0)</f>
        <v>THAMES VALLEY</v>
      </c>
      <c r="C16" s="22" t="n">
        <f aca="false">VLOOKUP(A16,All!A:AM,11,0)</f>
        <v>45297</v>
      </c>
      <c r="D16" s="23"/>
      <c r="E16" s="24" t="n">
        <f aca="false">VLOOKUP(A16,All!A:AM,30,0)</f>
        <v>83.3333333333333</v>
      </c>
      <c r="F16" s="24" t="n">
        <f aca="false">VLOOKUP(A16,All!A:AM,28,0)</f>
        <v>13.625</v>
      </c>
      <c r="G16" s="24" t="n">
        <f aca="false">VLOOKUP(A16,All!A:AM,31,0)</f>
        <v>80.46875</v>
      </c>
      <c r="H16" s="24" t="n">
        <f aca="false">VLOOKUP(A16,All!A:AM,29,0)</f>
        <v>11.227</v>
      </c>
      <c r="I16" s="25" t="n">
        <f aca="false">VLOOKUP(A16,All!A:AM,33,0)</f>
        <v>73.043289015511</v>
      </c>
      <c r="J16" s="25" t="n">
        <f aca="false">VLOOKUP(A16,All!A:AM,32,0)</f>
        <v>7.38379999999998</v>
      </c>
      <c r="K16" s="26" t="n">
        <f aca="false">VLOOKUP(A16,All!A:AM,39,0)</f>
        <v>97.5777777777778</v>
      </c>
      <c r="L16" s="26" t="n">
        <f aca="false">VLOOKUP(A16,All!A:AM,38,0)</f>
        <v>109.775</v>
      </c>
      <c r="M16" s="28" t="n">
        <f aca="false">VLOOKUP(A16,'SYS Allocations'!A:G,2,0)</f>
        <v>0</v>
      </c>
      <c r="N16" s="28" t="n">
        <f aca="false">VLOOKUP(A16,'SYS Allocations'!A:G,3,0)</f>
        <v>0</v>
      </c>
      <c r="O16" s="28" t="n">
        <f aca="false">VLOOKUP(A16,'SYS Allocations'!A:G,4,0)</f>
        <v>0</v>
      </c>
      <c r="P16" s="28" t="n">
        <f aca="false">VLOOKUP(A16,'SYS Allocations'!A:G,5,0)</f>
        <v>0</v>
      </c>
      <c r="Q16" s="28" t="n">
        <f aca="false">VLOOKUP(A16,'SYS Allocations'!A:G,6,0)</f>
        <v>0</v>
      </c>
      <c r="R16" s="29" t="n">
        <f aca="false">VLOOKUP(A16,'SYS Allocations'!A:G,7,0)</f>
        <v>0</v>
      </c>
      <c r="S16" s="30"/>
    </row>
    <row r="17" customFormat="false" ht="13.15" hidden="true" customHeight="false" outlineLevel="0" collapsed="false">
      <c r="A17" s="20" t="s">
        <v>33</v>
      </c>
      <c r="B17" s="21" t="str">
        <f aca="false">VLOOKUP(A17,All!A:AM,2,0)</f>
        <v>SCOTLAND</v>
      </c>
      <c r="C17" s="22" t="n">
        <f aca="false">VLOOKUP(A17,All!A:AM,11,0)</f>
        <v>45502</v>
      </c>
      <c r="D17" s="23"/>
      <c r="E17" s="24" t="n">
        <f aca="false">VLOOKUP(A17,All!A:AM,30,0)</f>
        <v>38.8586956521739</v>
      </c>
      <c r="F17" s="24" t="n">
        <f aca="false">VLOOKUP(A17,All!A:AM,28,0)</f>
        <v>1.5587</v>
      </c>
      <c r="G17" s="24" t="n">
        <f aca="false">VLOOKUP(A17,All!A:AM,31,0)</f>
        <v>48.8636363636364</v>
      </c>
      <c r="H17" s="24" t="n">
        <f aca="false">VLOOKUP(A17,All!A:AM,29,0)</f>
        <v>2.3435</v>
      </c>
      <c r="I17" s="25" t="n">
        <f aca="false">VLOOKUP(A17,All!A:AM,33,0)</f>
        <v>29.0364583333333</v>
      </c>
      <c r="J17" s="25" t="n">
        <f aca="false">VLOOKUP(A17,All!A:AM,32,0)</f>
        <v>1.0035</v>
      </c>
      <c r="K17" s="26" t="n">
        <f aca="false">VLOOKUP(A17,All!A:AM,39,0)</f>
        <v>83.65</v>
      </c>
      <c r="L17" s="26" t="n">
        <f aca="false">VLOOKUP(A17,All!A:AM,38,0)</f>
        <v>12.5475</v>
      </c>
      <c r="M17" s="28" t="n">
        <f aca="false">VLOOKUP(A17,'SYS Allocations'!A:G,2,0)</f>
        <v>0</v>
      </c>
      <c r="N17" s="28" t="n">
        <f aca="false">VLOOKUP(A17,'SYS Allocations'!A:G,3,0)</f>
        <v>0</v>
      </c>
      <c r="O17" s="28" t="n">
        <f aca="false">VLOOKUP(A17,'SYS Allocations'!A:G,4,0)</f>
        <v>0</v>
      </c>
      <c r="P17" s="28" t="n">
        <f aca="false">VLOOKUP(A17,'SYS Allocations'!A:G,5,0)</f>
        <v>0</v>
      </c>
      <c r="Q17" s="28" t="n">
        <f aca="false">VLOOKUP(A17,'SYS Allocations'!A:G,6,0)</f>
        <v>0</v>
      </c>
      <c r="R17" s="29" t="n">
        <f aca="false">VLOOKUP(A17,'SYS Allocations'!A:G,7,0)</f>
        <v>0</v>
      </c>
      <c r="S17" s="30"/>
    </row>
    <row r="18" customFormat="false" ht="13.15" hidden="true" customHeight="false" outlineLevel="0" collapsed="false">
      <c r="A18" s="20" t="s">
        <v>34</v>
      </c>
      <c r="B18" s="21" t="str">
        <f aca="false">VLOOKUP(A18,All!A:AM,2,0)</f>
        <v>SOUTH WEST</v>
      </c>
      <c r="C18" s="22" t="n">
        <f aca="false">VLOOKUP(A18,All!A:AM,11,0)</f>
        <v>45587</v>
      </c>
      <c r="D18" s="23"/>
      <c r="E18" s="24" t="n">
        <f aca="false">VLOOKUP(A18,All!A:AM,30,0)</f>
        <v>61.1181168558218</v>
      </c>
      <c r="F18" s="24" t="n">
        <f aca="false">VLOOKUP(A18,All!A:AM,28,0)</f>
        <v>63.3944</v>
      </c>
      <c r="G18" s="24" t="n">
        <f aca="false">VLOOKUP(A18,All!A:AM,31,0)</f>
        <v>37.2349448685327</v>
      </c>
      <c r="H18" s="24" t="n">
        <f aca="false">VLOOKUP(A18,All!A:AM,29,0)</f>
        <v>23.9255</v>
      </c>
      <c r="I18" s="25" t="n">
        <f aca="false">VLOOKUP(A18,All!A:AM,33,0)</f>
        <v>62.1885453699954</v>
      </c>
      <c r="J18" s="25" t="n">
        <f aca="false">VLOOKUP(A18,All!A:AM,32,0)</f>
        <v>66.3308000000001</v>
      </c>
      <c r="K18" s="26" t="n">
        <f aca="false">VLOOKUP(A18,All!A:AM,39,0)</f>
        <v>65.3075268817204</v>
      </c>
      <c r="L18" s="26" t="n">
        <f aca="false">VLOOKUP(A18,All!A:AM,38,0)</f>
        <v>75.92</v>
      </c>
      <c r="M18" s="28" t="n">
        <f aca="false">VLOOKUP(A18,'SYS Allocations'!A:G,2,0)</f>
        <v>0</v>
      </c>
      <c r="N18" s="28" t="str">
        <f aca="false">VLOOKUP(A18,'SYS Allocations'!A:G,3,0)</f>
        <v>RA</v>
      </c>
      <c r="O18" s="28" t="n">
        <f aca="false">VLOOKUP(A18,'SYS Allocations'!A:G,4,0)</f>
        <v>0</v>
      </c>
      <c r="P18" s="28" t="n">
        <f aca="false">VLOOKUP(A18,'SYS Allocations'!A:G,5,0)</f>
        <v>0</v>
      </c>
      <c r="Q18" s="28" t="n">
        <f aca="false">VLOOKUP(A18,'SYS Allocations'!A:G,6,0)</f>
        <v>0</v>
      </c>
      <c r="R18" s="29" t="n">
        <f aca="false">VLOOKUP(A18,'SYS Allocations'!A:G,7,0)</f>
        <v>6.9</v>
      </c>
      <c r="S18" s="30"/>
    </row>
    <row r="19" customFormat="false" ht="13.15" hidden="true" customHeight="false" outlineLevel="0" collapsed="false">
      <c r="A19" s="20" t="s">
        <v>35</v>
      </c>
      <c r="B19" s="21" t="str">
        <f aca="false">VLOOKUP(A19,All!A:AM,2,0)</f>
        <v>MIDLANDS</v>
      </c>
      <c r="C19" s="22" t="n">
        <f aca="false">VLOOKUP(A19,All!A:AM,11,0)</f>
        <v>45659</v>
      </c>
      <c r="D19" s="23"/>
      <c r="E19" s="24" t="n">
        <f aca="false">VLOOKUP(A19,All!A:AM,30,0)</f>
        <v>71.2545537340619</v>
      </c>
      <c r="F19" s="24" t="n">
        <f aca="false">VLOOKUP(A19,All!A:AM,28,0)</f>
        <v>13.64462</v>
      </c>
      <c r="G19" s="24" t="n">
        <f aca="false">VLOOKUP(A19,All!A:AM,31,0)</f>
        <v>61.2581511315689</v>
      </c>
      <c r="H19" s="24" t="n">
        <f aca="false">VLOOKUP(A19,All!A:AM,29,0)</f>
        <v>8.70365</v>
      </c>
      <c r="I19" s="25" t="n">
        <f aca="false">VLOOKUP(A19,All!A:AM,33,0)</f>
        <v>63.6982958742217</v>
      </c>
      <c r="J19" s="25" t="n">
        <f aca="false">VLOOKUP(A19,All!A:AM,32,0)</f>
        <v>9.65869999999999</v>
      </c>
      <c r="K19" s="26" t="n">
        <f aca="false">VLOOKUP(A19,All!A:AM,39,0)</f>
        <v>79.612962962963</v>
      </c>
      <c r="L19" s="26" t="n">
        <f aca="false">VLOOKUP(A19,All!A:AM,38,0)</f>
        <v>21.4955</v>
      </c>
      <c r="M19" s="28" t="n">
        <f aca="false">VLOOKUP(A19,'SYS Allocations'!A:G,2,0)</f>
        <v>0</v>
      </c>
      <c r="N19" s="28" t="n">
        <f aca="false">VLOOKUP(A19,'SYS Allocations'!A:G,3,0)</f>
        <v>0</v>
      </c>
      <c r="O19" s="28" t="n">
        <f aca="false">VLOOKUP(A19,'SYS Allocations'!A:G,4,0)</f>
        <v>0</v>
      </c>
      <c r="P19" s="28" t="n">
        <f aca="false">VLOOKUP(A19,'SYS Allocations'!A:G,5,0)</f>
        <v>0</v>
      </c>
      <c r="Q19" s="28" t="n">
        <f aca="false">VLOOKUP(A19,'SYS Allocations'!A:G,6,0)</f>
        <v>0</v>
      </c>
      <c r="R19" s="29" t="n">
        <f aca="false">VLOOKUP(A19,'SYS Allocations'!A:G,7,0)</f>
        <v>2</v>
      </c>
      <c r="S19" s="30"/>
    </row>
    <row r="20" customFormat="false" ht="13.15" hidden="true" customHeight="false" outlineLevel="0" collapsed="false">
      <c r="A20" s="20" t="s">
        <v>36</v>
      </c>
      <c r="B20" s="21" t="str">
        <f aca="false">VLOOKUP(A20,All!A:AM,2,0)</f>
        <v>SOUTH WEST</v>
      </c>
      <c r="C20" s="22" t="n">
        <f aca="false">VLOOKUP(A20,All!A:AM,11,0)</f>
        <v>45581</v>
      </c>
      <c r="D20" s="23"/>
      <c r="E20" s="24" t="n">
        <f aca="false">VLOOKUP(A20,All!A:AM,30,0)</f>
        <v>38.0681818181818</v>
      </c>
      <c r="F20" s="24" t="n">
        <f aca="false">VLOOKUP(A20,All!A:AM,28,0)</f>
        <v>3.6515</v>
      </c>
      <c r="G20" s="24" t="n">
        <f aca="false">VLOOKUP(A20,All!A:AM,31,0)</f>
        <v>-5.45665634674923</v>
      </c>
      <c r="H20" s="24" t="n">
        <f aca="false">VLOOKUP(A20,All!A:AM,29,0)</f>
        <v>-0.30738</v>
      </c>
      <c r="I20" s="25" t="n">
        <f aca="false">VLOOKUP(A20,All!A:AM,33,0)</f>
        <v>54.8402055585964</v>
      </c>
      <c r="J20" s="25" t="n">
        <f aca="false">VLOOKUP(A20,All!A:AM,32,0)</f>
        <v>7.21390000000001</v>
      </c>
      <c r="K20" s="26" t="n">
        <f aca="false">VLOOKUP(A20,All!A:AM,39,0)</f>
        <v>73.5977777777778</v>
      </c>
      <c r="L20" s="26" t="n">
        <f aca="false">VLOOKUP(A20,All!A:AM,38,0)</f>
        <v>16.5595</v>
      </c>
      <c r="M20" s="28" t="n">
        <f aca="false">VLOOKUP(A20,'SYS Allocations'!A:G,2,0)</f>
        <v>0</v>
      </c>
      <c r="N20" s="28" t="n">
        <f aca="false">VLOOKUP(A20,'SYS Allocations'!A:G,3,0)</f>
        <v>0</v>
      </c>
      <c r="O20" s="28" t="n">
        <f aca="false">VLOOKUP(A20,'SYS Allocations'!A:G,4,0)</f>
        <v>0</v>
      </c>
      <c r="P20" s="28" t="n">
        <f aca="false">VLOOKUP(A20,'SYS Allocations'!A:G,5,0)</f>
        <v>0</v>
      </c>
      <c r="Q20" s="28" t="n">
        <f aca="false">VLOOKUP(A20,'SYS Allocations'!A:G,6,0)</f>
        <v>0</v>
      </c>
      <c r="R20" s="29" t="n">
        <f aca="false">VLOOKUP(A20,'SYS Allocations'!A:G,7,0)</f>
        <v>0</v>
      </c>
      <c r="S20" s="30"/>
    </row>
    <row r="21" customFormat="false" ht="13.15" hidden="true" customHeight="false" outlineLevel="0" collapsed="false">
      <c r="A21" s="20" t="s">
        <v>37</v>
      </c>
      <c r="B21" s="21" t="str">
        <f aca="false">VLOOKUP(A21,All!A:AM,2,0)</f>
        <v>SOUTH WEST</v>
      </c>
      <c r="C21" s="22" t="n">
        <f aca="false">VLOOKUP(A21,All!A:AM,11,0)</f>
        <v>45558</v>
      </c>
      <c r="D21" s="23"/>
      <c r="E21" s="24" t="n">
        <f aca="false">VLOOKUP(A21,All!A:AM,30,0)</f>
        <v>41.6666666666667</v>
      </c>
      <c r="F21" s="24" t="n">
        <f aca="false">VLOOKUP(A21,All!A:AM,28,0)</f>
        <v>16.35</v>
      </c>
      <c r="G21" s="24" t="n">
        <f aca="false">VLOOKUP(A21,All!A:AM,31,0)</f>
        <v>35.4541263254956</v>
      </c>
      <c r="H21" s="24" t="n">
        <f aca="false">VLOOKUP(A21,All!A:AM,29,0)</f>
        <v>12.57315</v>
      </c>
      <c r="I21" s="25" t="n">
        <f aca="false">VLOOKUP(A21,All!A:AM,33,0)</f>
        <v>17.6595009928342</v>
      </c>
      <c r="J21" s="25" t="n">
        <f aca="false">VLOOKUP(A21,All!A:AM,32,0)</f>
        <v>4.90919999999997</v>
      </c>
      <c r="K21" s="26" t="n">
        <f aca="false">VLOOKUP(A21,All!A:AM,39,0)</f>
        <v>73.3263415486803</v>
      </c>
      <c r="L21" s="26" t="n">
        <f aca="false">VLOOKUP(A21,All!A:AM,38,0)</f>
        <v>62.925</v>
      </c>
      <c r="M21" s="28" t="n">
        <f aca="false">VLOOKUP(A21,'SYS Allocations'!A:G,2,0)</f>
        <v>0</v>
      </c>
      <c r="N21" s="28" t="n">
        <f aca="false">VLOOKUP(A21,'SYS Allocations'!A:G,3,0)</f>
        <v>0</v>
      </c>
      <c r="O21" s="28" t="n">
        <f aca="false">VLOOKUP(A21,'SYS Allocations'!A:G,4,0)</f>
        <v>0</v>
      </c>
      <c r="P21" s="28" t="n">
        <f aca="false">VLOOKUP(A21,'SYS Allocations'!A:G,5,0)</f>
        <v>0</v>
      </c>
      <c r="Q21" s="28" t="n">
        <f aca="false">VLOOKUP(A21,'SYS Allocations'!A:G,6,0)</f>
        <v>0</v>
      </c>
      <c r="R21" s="29" t="n">
        <f aca="false">VLOOKUP(A21,'SYS Allocations'!A:G,7,0)</f>
        <v>7.5</v>
      </c>
      <c r="S21" s="30"/>
    </row>
    <row r="22" customFormat="false" ht="13.15" hidden="true" customHeight="false" outlineLevel="0" collapsed="false">
      <c r="A22" s="33" t="s">
        <v>38</v>
      </c>
      <c r="B22" s="21" t="str">
        <f aca="false">VLOOKUP(A22,All!A:AM,2,0)</f>
        <v>NORTHERN HOME COUNTIES</v>
      </c>
      <c r="C22" s="22" t="n">
        <f aca="false">VLOOKUP(A22,All!A:AM,11,0)</f>
        <v>45659</v>
      </c>
      <c r="D22" s="23"/>
      <c r="E22" s="24" t="n">
        <f aca="false">VLOOKUP(A22,All!A:AM,30,0)</f>
        <v>54.337899543379</v>
      </c>
      <c r="F22" s="24" t="n">
        <f aca="false">VLOOKUP(A22,All!A:AM,28,0)</f>
        <v>63.29848</v>
      </c>
      <c r="G22" s="24" t="n">
        <f aca="false">VLOOKUP(A22,All!A:AM,31,0)</f>
        <v>33.6866422068216</v>
      </c>
      <c r="H22" s="24" t="n">
        <f aca="false">VLOOKUP(A22,All!A:AM,29,0)</f>
        <v>27.0211</v>
      </c>
      <c r="I22" s="25" t="n">
        <f aca="false">VLOOKUP(A22,All!A:AM,33,0)</f>
        <v>50.1297571366426</v>
      </c>
      <c r="J22" s="25" t="n">
        <f aca="false">VLOOKUP(A22,All!A:AM,32,0)</f>
        <v>53.4688000000001</v>
      </c>
      <c r="K22" s="26" t="n">
        <f aca="false">VLOOKUP(A22,All!A:AM,39,0)</f>
        <v>34.5324031007752</v>
      </c>
      <c r="L22" s="26" t="n">
        <f aca="false">VLOOKUP(A22,All!A:AM,38,0)</f>
        <v>55.6835</v>
      </c>
      <c r="M22" s="28" t="str">
        <f aca="false">VLOOKUP(A22,'SYS Allocations'!A:G,2,0)</f>
        <v>P-Core</v>
      </c>
      <c r="N22" s="28" t="str">
        <f aca="false">VLOOKUP(A22,'SYS Allocations'!A:G,3,0)</f>
        <v>RA</v>
      </c>
      <c r="O22" s="28" t="str">
        <f aca="false">VLOOKUP(A22,'SYS Allocations'!A:G,4,0)</f>
        <v>PX</v>
      </c>
      <c r="P22" s="28" t="n">
        <f aca="false">VLOOKUP(A22,'SYS Allocations'!A:G,5,0)</f>
        <v>0</v>
      </c>
      <c r="Q22" s="28" t="str">
        <f aca="false">VLOOKUP(A22,'SYS Allocations'!A:G,6,0)</f>
        <v>OPEX</v>
      </c>
      <c r="R22" s="29" t="n">
        <f aca="false">VLOOKUP(A22,'SYS Allocations'!A:G,7,0)</f>
        <v>12.95</v>
      </c>
      <c r="S22" s="30"/>
    </row>
    <row r="23" customFormat="false" ht="13.15" hidden="true" customHeight="false" outlineLevel="0" collapsed="false">
      <c r="A23" s="33" t="s">
        <v>39</v>
      </c>
      <c r="B23" s="21" t="str">
        <f aca="false">VLOOKUP(A23,All!A:AM,2,0)</f>
        <v>NORTHERN HOME COUNTIES</v>
      </c>
      <c r="C23" s="22" t="n">
        <f aca="false">VLOOKUP(A23,All!A:AM,11,0)</f>
        <v>45659</v>
      </c>
      <c r="D23" s="23"/>
      <c r="E23" s="24" t="n">
        <f aca="false">VLOOKUP(A23,All!A:AM,30,0)</f>
        <v>55.0396736282656</v>
      </c>
      <c r="F23" s="24" t="n">
        <f aca="false">VLOOKUP(A23,All!A:AM,28,0)</f>
        <v>64.11598</v>
      </c>
      <c r="G23" s="24" t="n">
        <f aca="false">VLOOKUP(A23,All!A:AM,31,0)</f>
        <v>34.7058024188069</v>
      </c>
      <c r="H23" s="24" t="n">
        <f aca="false">VLOOKUP(A23,All!A:AM,29,0)</f>
        <v>27.8386</v>
      </c>
      <c r="I23" s="25" t="n">
        <f aca="false">VLOOKUP(A23,All!A:AM,33,0)</f>
        <v>50.8962055413049</v>
      </c>
      <c r="J23" s="25" t="n">
        <f aca="false">VLOOKUP(A23,All!A:AM,32,0)</f>
        <v>54.2863000000001</v>
      </c>
      <c r="K23" s="26"/>
      <c r="L23" s="26"/>
      <c r="M23" s="28" t="n">
        <f aca="false">VLOOKUP(A23,'SYS Allocations'!A:G,2,0)</f>
        <v>0</v>
      </c>
      <c r="N23" s="28" t="n">
        <f aca="false">VLOOKUP(A23,'SYS Allocations'!A:G,3,0)</f>
        <v>0</v>
      </c>
      <c r="O23" s="28" t="n">
        <f aca="false">VLOOKUP(A23,'SYS Allocations'!A:G,4,0)</f>
        <v>0</v>
      </c>
      <c r="P23" s="28" t="n">
        <f aca="false">VLOOKUP(A23,'SYS Allocations'!A:G,5,0)</f>
        <v>0</v>
      </c>
      <c r="Q23" s="28" t="n">
        <f aca="false">VLOOKUP(A23,'SYS Allocations'!A:G,6,0)</f>
        <v>0</v>
      </c>
      <c r="R23" s="29" t="n">
        <f aca="false">VLOOKUP(A23,'SYS Allocations'!A:G,7,0)</f>
        <v>11.95</v>
      </c>
      <c r="S23" s="30"/>
    </row>
    <row r="24" customFormat="false" ht="13.15" hidden="true" customHeight="false" outlineLevel="0" collapsed="false">
      <c r="A24" s="20" t="s">
        <v>40</v>
      </c>
      <c r="B24" s="21" t="str">
        <f aca="false">VLOOKUP(A24,All!A:AM,2,0)</f>
        <v>NORTH EAST</v>
      </c>
      <c r="C24" s="22" t="n">
        <f aca="false">VLOOKUP(A24,All!A:AM,11,0)</f>
        <v>45348</v>
      </c>
      <c r="D24" s="23"/>
      <c r="E24" s="24" t="n">
        <f aca="false">VLOOKUP(A24,All!A:AM,30,0)</f>
        <v>49.375</v>
      </c>
      <c r="F24" s="24" t="n">
        <f aca="false">VLOOKUP(A24,All!A:AM,28,0)</f>
        <v>4.3055</v>
      </c>
      <c r="G24" s="24" t="n">
        <f aca="false">VLOOKUP(A24,All!A:AM,31,0)</f>
        <v>42.1428571428571</v>
      </c>
      <c r="H24" s="24" t="n">
        <f aca="false">VLOOKUP(A24,All!A:AM,29,0)</f>
        <v>3.2155</v>
      </c>
      <c r="I24" s="25" t="n">
        <f aca="false">VLOOKUP(A24,All!A:AM,33,0)</f>
        <v>15.547520661157</v>
      </c>
      <c r="J24" s="25" t="n">
        <f aca="false">VLOOKUP(A24,All!A:AM,32,0)</f>
        <v>0.8127</v>
      </c>
      <c r="K24" s="26" t="n">
        <f aca="false">VLOOKUP(A24,All!A:AM,39,0)</f>
        <v>88.228</v>
      </c>
      <c r="L24" s="26" t="n">
        <f aca="false">VLOOKUP(A24,All!A:AM,38,0)</f>
        <v>33.0855</v>
      </c>
      <c r="M24" s="28" t="n">
        <f aca="false">VLOOKUP(A24,'SYS Allocations'!A:G,2,0)</f>
        <v>0</v>
      </c>
      <c r="N24" s="28" t="n">
        <f aca="false">VLOOKUP(A24,'SYS Allocations'!A:G,3,0)</f>
        <v>0</v>
      </c>
      <c r="O24" s="28" t="n">
        <f aca="false">VLOOKUP(A24,'SYS Allocations'!A:G,4,0)</f>
        <v>0</v>
      </c>
      <c r="P24" s="28" t="n">
        <f aca="false">VLOOKUP(A24,'SYS Allocations'!A:G,5,0)</f>
        <v>0</v>
      </c>
      <c r="Q24" s="28" t="n">
        <f aca="false">VLOOKUP(A24,'SYS Allocations'!A:G,6,0)</f>
        <v>0</v>
      </c>
      <c r="R24" s="29" t="n">
        <f aca="false">VLOOKUP(A24,'SYS Allocations'!A:G,7,0)</f>
        <v>0</v>
      </c>
      <c r="S24" s="30"/>
    </row>
    <row r="25" customFormat="false" ht="13.15" hidden="true" customHeight="false" outlineLevel="0" collapsed="false">
      <c r="A25" s="20" t="s">
        <v>41</v>
      </c>
      <c r="B25" s="21" t="str">
        <f aca="false">VLOOKUP(A25,All!A:AM,2,0)</f>
        <v>NORTHERN IRELAND</v>
      </c>
      <c r="C25" s="22" t="n">
        <f aca="false">VLOOKUP(A25,All!A:AM,11,0)</f>
        <v>45343</v>
      </c>
      <c r="D25" s="23"/>
      <c r="E25" s="24" t="n">
        <f aca="false">VLOOKUP(A25,All!A:AM,30,0)</f>
        <v>63.9344262295082</v>
      </c>
      <c r="F25" s="24" t="n">
        <f aca="false">VLOOKUP(A25,All!A:AM,28,0)</f>
        <v>25.506</v>
      </c>
      <c r="G25" s="24" t="n">
        <f aca="false">VLOOKUP(A25,All!A:AM,31,0)</f>
        <v>55.6302521008403</v>
      </c>
      <c r="H25" s="24" t="n">
        <f aca="false">VLOOKUP(A25,All!A:AM,29,0)</f>
        <v>18.0395</v>
      </c>
      <c r="I25" s="25" t="n">
        <f aca="false">VLOOKUP(A25,All!A:AM,33,0)</f>
        <v>48.8393923877795</v>
      </c>
      <c r="J25" s="25" t="n">
        <f aca="false">VLOOKUP(A25,All!A:AM,32,0)</f>
        <v>13.7352</v>
      </c>
      <c r="K25" s="26" t="n">
        <f aca="false">VLOOKUP(A25,All!A:AM,39,0)</f>
        <v>73.3555555555556</v>
      </c>
      <c r="L25" s="26" t="n">
        <f aca="false">VLOOKUP(A25,All!A:AM,38,0)</f>
        <v>39.612</v>
      </c>
      <c r="M25" s="28" t="n">
        <f aca="false">VLOOKUP(A25,'SYS Allocations'!A:G,2,0)</f>
        <v>0</v>
      </c>
      <c r="N25" s="28" t="str">
        <f aca="false">VLOOKUP(A25,'SYS Allocations'!A:G,3,0)</f>
        <v>RA</v>
      </c>
      <c r="O25" s="28" t="n">
        <f aca="false">VLOOKUP(A25,'SYS Allocations'!A:G,4,0)</f>
        <v>0</v>
      </c>
      <c r="P25" s="28" t="n">
        <f aca="false">VLOOKUP(A25,'SYS Allocations'!A:G,5,0)</f>
        <v>0</v>
      </c>
      <c r="Q25" s="28" t="n">
        <f aca="false">VLOOKUP(A25,'SYS Allocations'!A:G,6,0)</f>
        <v>0</v>
      </c>
      <c r="R25" s="29" t="n">
        <f aca="false">VLOOKUP(A25,'SYS Allocations'!A:G,7,0)</f>
        <v>22.6</v>
      </c>
      <c r="S25" s="30"/>
    </row>
    <row r="26" customFormat="false" ht="13.15" hidden="true" customHeight="false" outlineLevel="0" collapsed="false">
      <c r="A26" s="20" t="s">
        <v>42</v>
      </c>
      <c r="B26" s="21" t="str">
        <f aca="false">VLOOKUP(A26,All!A:AM,2,0)</f>
        <v>NORTHERN IRELAND</v>
      </c>
      <c r="C26" s="22" t="n">
        <f aca="false">VLOOKUP(A26,All!A:AM,11,0)</f>
        <v>45356</v>
      </c>
      <c r="D26" s="23"/>
      <c r="E26" s="24" t="n">
        <f aca="false">VLOOKUP(A26,All!A:AM,30,0)</f>
        <v>41.0860655737705</v>
      </c>
      <c r="F26" s="24" t="n">
        <f aca="false">VLOOKUP(A26,All!A:AM,28,0)</f>
        <v>15.73524</v>
      </c>
      <c r="G26" s="24" t="n">
        <f aca="false">VLOOKUP(A26,All!A:AM,31,0)</f>
        <v>-3.9156626506024</v>
      </c>
      <c r="H26" s="24" t="n">
        <f aca="false">VLOOKUP(A26,All!A:AM,29,0)</f>
        <v>-0.850199999999998</v>
      </c>
      <c r="I26" s="25" t="n">
        <f aca="false">VLOOKUP(A26,All!A:AM,33,0)</f>
        <v>46.5139102235876</v>
      </c>
      <c r="J26" s="25" t="n">
        <f aca="false">VLOOKUP(A26,All!A:AM,32,0)</f>
        <v>19.6218</v>
      </c>
      <c r="K26" s="26" t="n">
        <f aca="false">VLOOKUP(A26,All!A:AM,39,0)</f>
        <v>67.6516129032258</v>
      </c>
      <c r="L26" s="26" t="n">
        <f aca="false">VLOOKUP(A26,All!A:AM,38,0)</f>
        <v>47.187</v>
      </c>
      <c r="M26" s="28" t="n">
        <f aca="false">VLOOKUP(A26,'SYS Allocations'!A:G,2,0)</f>
        <v>0</v>
      </c>
      <c r="N26" s="28" t="str">
        <f aca="false">VLOOKUP(A26,'SYS Allocations'!A:G,3,0)</f>
        <v>RA</v>
      </c>
      <c r="O26" s="28" t="n">
        <f aca="false">VLOOKUP(A26,'SYS Allocations'!A:G,4,0)</f>
        <v>0</v>
      </c>
      <c r="P26" s="28" t="n">
        <f aca="false">VLOOKUP(A26,'SYS Allocations'!A:G,5,0)</f>
        <v>0</v>
      </c>
      <c r="Q26" s="28" t="n">
        <f aca="false">VLOOKUP(A26,'SYS Allocations'!A:G,6,0)</f>
        <v>0</v>
      </c>
      <c r="R26" s="29" t="n">
        <f aca="false">VLOOKUP(A26,'SYS Allocations'!A:G,7,0)</f>
        <v>18.4</v>
      </c>
      <c r="S26" s="30"/>
    </row>
    <row r="27" customFormat="false" ht="13.15" hidden="true" customHeight="false" outlineLevel="0" collapsed="false">
      <c r="A27" s="20" t="s">
        <v>43</v>
      </c>
      <c r="B27" s="21" t="str">
        <f aca="false">VLOOKUP(A27,All!A:AM,2,0)</f>
        <v>MIDLANDS</v>
      </c>
      <c r="C27" s="22" t="n">
        <f aca="false">VLOOKUP(A27,All!A:AM,11,0)</f>
        <v>44964</v>
      </c>
      <c r="D27" s="23"/>
      <c r="E27" s="24" t="n">
        <f aca="false">VLOOKUP(A27,All!A:AM,30,0)</f>
        <v>53.8934426229508</v>
      </c>
      <c r="F27" s="24" t="n">
        <f aca="false">VLOOKUP(A27,All!A:AM,28,0)</f>
        <v>25.8003</v>
      </c>
      <c r="G27" s="24" t="n">
        <f aca="false">VLOOKUP(A27,All!A:AM,31,0)</f>
        <v>41.9770773638969</v>
      </c>
      <c r="H27" s="24" t="n">
        <f aca="false">VLOOKUP(A27,All!A:AM,29,0)</f>
        <v>15.9685</v>
      </c>
      <c r="I27" s="25" t="n">
        <f aca="false">VLOOKUP(A27,All!A:AM,33,0)</f>
        <v>37.9176792223572</v>
      </c>
      <c r="J27" s="25" t="n">
        <f aca="false">VLOOKUP(A27,All!A:AM,32,0)</f>
        <v>13.4811</v>
      </c>
      <c r="K27" s="26" t="n">
        <f aca="false">VLOOKUP(A27,All!A:AM,39,0)</f>
        <v>-133.571428571429</v>
      </c>
      <c r="L27" s="26" t="n">
        <f aca="false">VLOOKUP(A27,All!A:AM,38,0)</f>
        <v>-12.6225</v>
      </c>
      <c r="M27" s="28" t="str">
        <f aca="false">VLOOKUP(A27,'SYS Allocations'!A:G,2,0)</f>
        <v>P-Core</v>
      </c>
      <c r="N27" s="28" t="n">
        <f aca="false">VLOOKUP(A27,'SYS Allocations'!A:G,3,0)</f>
        <v>0</v>
      </c>
      <c r="O27" s="28" t="n">
        <f aca="false">VLOOKUP(A27,'SYS Allocations'!A:G,4,0)</f>
        <v>0</v>
      </c>
      <c r="P27" s="28" t="n">
        <f aca="false">VLOOKUP(A27,'SYS Allocations'!A:G,5,0)</f>
        <v>0</v>
      </c>
      <c r="Q27" s="28" t="n">
        <f aca="false">VLOOKUP(A27,'SYS Allocations'!A:G,6,0)</f>
        <v>0</v>
      </c>
      <c r="R27" s="29" t="n">
        <f aca="false">VLOOKUP(A27,'SYS Allocations'!A:G,7,0)</f>
        <v>0</v>
      </c>
      <c r="S27" s="30"/>
    </row>
    <row r="28" customFormat="false" ht="13.15" hidden="true" customHeight="false" outlineLevel="0" collapsed="false">
      <c r="A28" s="32" t="s">
        <v>44</v>
      </c>
      <c r="B28" s="21" t="str">
        <f aca="false">VLOOKUP(A28,All!A:AM,2,0)</f>
        <v>MIDLANDS</v>
      </c>
      <c r="C28" s="22" t="n">
        <f aca="false">VLOOKUP(A28,All!A:AM,11,0)</f>
        <v>45659</v>
      </c>
      <c r="D28" s="23"/>
      <c r="E28" s="24" t="n">
        <f aca="false">VLOOKUP(A28,All!A:AM,30,0)</f>
        <v>65.9058790276993</v>
      </c>
      <c r="F28" s="24" t="n">
        <f aca="false">VLOOKUP(A28,All!A:AM,28,0)</f>
        <v>60.99858</v>
      </c>
      <c r="G28" s="24" t="n">
        <f aca="false">VLOOKUP(A28,All!A:AM,31,0)</f>
        <v>62.7125193199382</v>
      </c>
      <c r="H28" s="24" t="n">
        <f aca="false">VLOOKUP(A28,All!A:AM,29,0)</f>
        <v>53.0721</v>
      </c>
      <c r="I28" s="25" t="n">
        <f aca="false">VLOOKUP(A28,All!A:AM,33,0)</f>
        <v>34.3532498527106</v>
      </c>
      <c r="J28" s="25" t="n">
        <f aca="false">VLOOKUP(A28,All!A:AM,32,0)</f>
        <v>16.51314</v>
      </c>
      <c r="K28" s="26" t="n">
        <f aca="false">VLOOKUP(A28,All!A:AM,39,0)</f>
        <v>61.7509090909091</v>
      </c>
      <c r="L28" s="26" t="n">
        <f aca="false">VLOOKUP(A28,All!A:AM,38,0)</f>
        <v>50.9445</v>
      </c>
      <c r="M28" s="28" t="n">
        <f aca="false">VLOOKUP(A28,'SYS Allocations'!A:G,2,0)</f>
        <v>0</v>
      </c>
      <c r="N28" s="28" t="n">
        <f aca="false">VLOOKUP(A28,'SYS Allocations'!A:G,3,0)</f>
        <v>0</v>
      </c>
      <c r="O28" s="28" t="n">
        <f aca="false">VLOOKUP(A28,'SYS Allocations'!A:G,4,0)</f>
        <v>0</v>
      </c>
      <c r="P28" s="28" t="n">
        <f aca="false">VLOOKUP(A28,'SYS Allocations'!A:G,5,0)</f>
        <v>0</v>
      </c>
      <c r="Q28" s="28" t="n">
        <f aca="false">VLOOKUP(A28,'SYS Allocations'!A:G,6,0)</f>
        <v>0</v>
      </c>
      <c r="R28" s="29" t="n">
        <f aca="false">VLOOKUP(A28,'SYS Allocations'!A:G,7,0)</f>
        <v>1</v>
      </c>
      <c r="S28" s="30"/>
    </row>
    <row r="29" customFormat="false" ht="13.15" hidden="true" customHeight="false" outlineLevel="0" collapsed="false">
      <c r="A29" s="32" t="s">
        <v>45</v>
      </c>
      <c r="B29" s="21" t="str">
        <f aca="false">VLOOKUP(A29,All!A:AM,2,0)</f>
        <v>MIDLANDS</v>
      </c>
      <c r="C29" s="22" t="n">
        <f aca="false">VLOOKUP(A29,All!A:AM,11,0)</f>
        <v>45659</v>
      </c>
      <c r="D29" s="23"/>
      <c r="E29" s="24" t="n">
        <f aca="false">VLOOKUP(A29,All!A:AM,30,0)</f>
        <v>62.1961560203505</v>
      </c>
      <c r="F29" s="24" t="n">
        <f aca="false">VLOOKUP(A29,All!A:AM,28,0)</f>
        <v>57.56508</v>
      </c>
      <c r="G29" s="24" t="n">
        <f aca="false">VLOOKUP(A29,All!A:AM,31,0)</f>
        <v>57.8408195429472</v>
      </c>
      <c r="H29" s="24" t="n">
        <f aca="false">VLOOKUP(A29,All!A:AM,29,0)</f>
        <v>48.0036</v>
      </c>
      <c r="I29" s="25" t="n">
        <f aca="false">VLOOKUP(A29,All!A:AM,33,0)</f>
        <v>34.3920165609109</v>
      </c>
      <c r="J29" s="25" t="n">
        <f aca="false">VLOOKUP(A29,All!A:AM,32,0)</f>
        <v>18.3414</v>
      </c>
      <c r="K29" s="26" t="n">
        <f aca="false">VLOOKUP(A29,All!A:AM,39,0)</f>
        <v>57.5890909090909</v>
      </c>
      <c r="L29" s="26" t="n">
        <f aca="false">VLOOKUP(A29,All!A:AM,38,0)</f>
        <v>47.511</v>
      </c>
      <c r="M29" s="28" t="n">
        <f aca="false">VLOOKUP(A29,'SYS Allocations'!A:G,2,0)</f>
        <v>0</v>
      </c>
      <c r="N29" s="28" t="n">
        <f aca="false">VLOOKUP(A29,'SYS Allocations'!A:G,3,0)</f>
        <v>0</v>
      </c>
      <c r="O29" s="28" t="n">
        <f aca="false">VLOOKUP(A29,'SYS Allocations'!A:G,4,0)</f>
        <v>0</v>
      </c>
      <c r="P29" s="28" t="n">
        <f aca="false">VLOOKUP(A29,'SYS Allocations'!A:G,5,0)</f>
        <v>0</v>
      </c>
      <c r="Q29" s="28" t="n">
        <f aca="false">VLOOKUP(A29,'SYS Allocations'!A:G,6,0)</f>
        <v>0</v>
      </c>
      <c r="R29" s="29" t="n">
        <f aca="false">VLOOKUP(A29,'SYS Allocations'!A:G,7,0)</f>
        <v>1</v>
      </c>
      <c r="S29" s="30"/>
    </row>
    <row r="30" customFormat="false" ht="13.15" hidden="true" customHeight="false" outlineLevel="0" collapsed="false">
      <c r="A30" s="33" t="s">
        <v>46</v>
      </c>
      <c r="B30" s="21" t="str">
        <f aca="false">VLOOKUP(A30,All!A:AM,2,0)</f>
        <v>MIDLANDS</v>
      </c>
      <c r="C30" s="22" t="n">
        <f aca="false">VLOOKUP(A30,All!A:AM,11,0)</f>
        <v>45441</v>
      </c>
      <c r="D30" s="23"/>
      <c r="E30" s="24" t="n">
        <f aca="false">VLOOKUP(A30,All!A:AM,30,0)</f>
        <v>81.0735428051002</v>
      </c>
      <c r="F30" s="24" t="n">
        <f aca="false">VLOOKUP(A30,All!A:AM,28,0)</f>
        <v>31.04974</v>
      </c>
      <c r="G30" s="24" t="n">
        <f aca="false">VLOOKUP(A30,All!A:AM,31,0)</f>
        <v>72.1989966555184</v>
      </c>
      <c r="H30" s="24" t="n">
        <f aca="false">VLOOKUP(A30,All!A:AM,29,0)</f>
        <v>18.8243</v>
      </c>
      <c r="I30" s="25" t="n">
        <f aca="false">VLOOKUP(A30,All!A:AM,33,0)</f>
        <v>79.612472435984</v>
      </c>
      <c r="J30" s="25" t="n">
        <f aca="false">VLOOKUP(A30,All!A:AM,32,0)</f>
        <v>28.3051</v>
      </c>
      <c r="K30" s="26" t="n">
        <f aca="false">VLOOKUP(A30,All!A:AM,39,0)</f>
        <v>83.8922222222222</v>
      </c>
      <c r="L30" s="26" t="n">
        <f aca="false">VLOOKUP(A30,All!A:AM,38,0)</f>
        <v>37.7515</v>
      </c>
      <c r="M30" s="28" t="n">
        <f aca="false">VLOOKUP(A30,'SYS Allocations'!A:G,2,0)</f>
        <v>0</v>
      </c>
      <c r="N30" s="28" t="str">
        <f aca="false">VLOOKUP(A30,'SYS Allocations'!A:G,3,0)</f>
        <v>RA</v>
      </c>
      <c r="O30" s="28" t="str">
        <f aca="false">VLOOKUP(A30,'SYS Allocations'!A:G,4,0)</f>
        <v>PX</v>
      </c>
      <c r="P30" s="28" t="n">
        <f aca="false">VLOOKUP(A30,'SYS Allocations'!A:G,5,0)</f>
        <v>0</v>
      </c>
      <c r="Q30" s="28" t="str">
        <f aca="false">VLOOKUP(A30,'SYS Allocations'!A:G,6,0)</f>
        <v>OPEX</v>
      </c>
      <c r="R30" s="29" t="n">
        <f aca="false">VLOOKUP(A30,'SYS Allocations'!A:G,7,0)</f>
        <v>9.65</v>
      </c>
      <c r="S30" s="30"/>
    </row>
    <row r="31" customFormat="false" ht="13.15" hidden="true" customHeight="false" outlineLevel="0" collapsed="false">
      <c r="A31" s="33" t="s">
        <v>47</v>
      </c>
      <c r="B31" s="21" t="str">
        <f aca="false">VLOOKUP(A31,All!A:AM,2,0)</f>
        <v>MIDLANDS</v>
      </c>
      <c r="C31" s="22" t="n">
        <f aca="false">VLOOKUP(A31,All!A:AM,11,0)</f>
        <v>45441</v>
      </c>
      <c r="D31" s="23"/>
      <c r="E31" s="24" t="n">
        <f aca="false">VLOOKUP(A31,All!A:AM,30,0)</f>
        <v>78.0851548269581</v>
      </c>
      <c r="F31" s="24" t="n">
        <f aca="false">VLOOKUP(A31,All!A:AM,28,0)</f>
        <v>29.90524</v>
      </c>
      <c r="G31" s="24" t="n">
        <f aca="false">VLOOKUP(A31,All!A:AM,31,0)</f>
        <v>67.809364548495</v>
      </c>
      <c r="H31" s="24" t="n">
        <f aca="false">VLOOKUP(A31,All!A:AM,29,0)</f>
        <v>17.6798</v>
      </c>
      <c r="I31" s="25" t="n">
        <f aca="false">VLOOKUP(A31,All!A:AM,33,0)</f>
        <v>76.3933891364025</v>
      </c>
      <c r="J31" s="25" t="n">
        <f aca="false">VLOOKUP(A31,All!A:AM,32,0)</f>
        <v>27.1606</v>
      </c>
      <c r="K31" s="26" t="n">
        <f aca="false">VLOOKUP(A31,All!A:AM,39,0)</f>
        <v>81.3488888888889</v>
      </c>
      <c r="L31" s="26" t="n">
        <f aca="false">VLOOKUP(A31,All!A:AM,38,0)</f>
        <v>36.607</v>
      </c>
      <c r="M31" s="28" t="n">
        <f aca="false">VLOOKUP(A31,'SYS Allocations'!A:G,2,0)</f>
        <v>0</v>
      </c>
      <c r="N31" s="28" t="n">
        <f aca="false">VLOOKUP(A31,'SYS Allocations'!A:G,3,0)</f>
        <v>0</v>
      </c>
      <c r="O31" s="28" t="n">
        <f aca="false">VLOOKUP(A31,'SYS Allocations'!A:G,4,0)</f>
        <v>0</v>
      </c>
      <c r="P31" s="28" t="n">
        <f aca="false">VLOOKUP(A31,'SYS Allocations'!A:G,5,0)</f>
        <v>0</v>
      </c>
      <c r="Q31" s="28" t="n">
        <f aca="false">VLOOKUP(A31,'SYS Allocations'!A:G,6,0)</f>
        <v>0</v>
      </c>
      <c r="R31" s="29" t="n">
        <f aca="false">VLOOKUP(A31,'SYS Allocations'!A:G,7,0)</f>
        <v>7.98</v>
      </c>
      <c r="S31" s="30"/>
    </row>
    <row r="32" customFormat="false" ht="13.15" hidden="true" customHeight="false" outlineLevel="0" collapsed="false">
      <c r="A32" s="32" t="s">
        <v>48</v>
      </c>
      <c r="B32" s="21" t="str">
        <f aca="false">VLOOKUP(A32,All!A:AM,2,0)</f>
        <v>MIDLANDS</v>
      </c>
      <c r="C32" s="22" t="n">
        <f aca="false">VLOOKUP(A32,All!A:AM,11,0)</f>
        <v>45659</v>
      </c>
      <c r="D32" s="23"/>
      <c r="E32" s="24" t="n">
        <f aca="false">VLOOKUP(A32,All!A:AM,30,0)</f>
        <v>87.2950819672131</v>
      </c>
      <c r="F32" s="24" t="n">
        <f aca="false">VLOOKUP(A32,All!A:AM,28,0)</f>
        <v>34.8255</v>
      </c>
      <c r="G32" s="24" t="n">
        <f aca="false">VLOOKUP(A32,All!A:AM,31,0)</f>
        <v>81.9417475728155</v>
      </c>
      <c r="H32" s="24" t="n">
        <f aca="false">VLOOKUP(A32,All!A:AM,29,0)</f>
        <v>22.999</v>
      </c>
      <c r="I32" s="25" t="n">
        <f aca="false">VLOOKUP(A32,All!A:AM,33,0)</f>
        <v>85.744059673282</v>
      </c>
      <c r="J32" s="25" t="n">
        <f aca="false">VLOOKUP(A32,All!A:AM,32,0)</f>
        <v>30.4851</v>
      </c>
      <c r="K32" s="26" t="n">
        <f aca="false">VLOOKUP(A32,All!A:AM,39,0)</f>
        <v>94.3683333333333</v>
      </c>
      <c r="L32" s="26" t="n">
        <f aca="false">VLOOKUP(A32,All!A:AM,38,0)</f>
        <v>84.9315</v>
      </c>
      <c r="M32" s="28" t="n">
        <f aca="false">VLOOKUP(A32,'SYS Allocations'!A:G,2,0)</f>
        <v>0</v>
      </c>
      <c r="N32" s="28" t="str">
        <f aca="false">VLOOKUP(A32,'SYS Allocations'!A:G,3,0)</f>
        <v>RA</v>
      </c>
      <c r="O32" s="28" t="n">
        <f aca="false">VLOOKUP(A32,'SYS Allocations'!A:G,4,0)</f>
        <v>0</v>
      </c>
      <c r="P32" s="28" t="n">
        <f aca="false">VLOOKUP(A32,'SYS Allocations'!A:G,5,0)</f>
        <v>0</v>
      </c>
      <c r="Q32" s="28" t="n">
        <f aca="false">VLOOKUP(A32,'SYS Allocations'!A:G,6,0)</f>
        <v>0</v>
      </c>
      <c r="R32" s="29" t="n">
        <f aca="false">VLOOKUP(A32,'SYS Allocations'!A:G,7,0)</f>
        <v>2.4</v>
      </c>
      <c r="S32" s="30"/>
    </row>
    <row r="33" customFormat="false" ht="13.15" hidden="true" customHeight="false" outlineLevel="0" collapsed="false">
      <c r="A33" s="32" t="s">
        <v>49</v>
      </c>
      <c r="B33" s="21" t="str">
        <f aca="false">VLOOKUP(A33,All!A:AM,2,0)</f>
        <v>MIDLANDS</v>
      </c>
      <c r="C33" s="22" t="n">
        <f aca="false">VLOOKUP(A33,All!A:AM,11,0)</f>
        <v>45659</v>
      </c>
      <c r="D33" s="23"/>
      <c r="E33" s="24" t="n">
        <f aca="false">VLOOKUP(A33,All!A:AM,30,0)</f>
        <v>81.9273679417122</v>
      </c>
      <c r="F33" s="24" t="n">
        <f aca="false">VLOOKUP(A33,All!A:AM,28,0)</f>
        <v>31.37674</v>
      </c>
      <c r="G33" s="24" t="n">
        <f aca="false">VLOOKUP(A33,All!A:AM,31,0)</f>
        <v>73.4531772575251</v>
      </c>
      <c r="H33" s="24" t="n">
        <f aca="false">VLOOKUP(A33,All!A:AM,29,0)</f>
        <v>19.1513</v>
      </c>
      <c r="I33" s="25" t="n">
        <f aca="false">VLOOKUP(A33,All!A:AM,33,0)</f>
        <v>80.5322105215787</v>
      </c>
      <c r="J33" s="25" t="n">
        <f aca="false">VLOOKUP(A33,All!A:AM,32,0)</f>
        <v>28.6321</v>
      </c>
      <c r="K33" s="26" t="n">
        <f aca="false">VLOOKUP(A33,All!A:AM,39,0)</f>
        <v>92.3094444444445</v>
      </c>
      <c r="L33" s="26" t="n">
        <f aca="false">VLOOKUP(A33,All!A:AM,38,0)</f>
        <v>83.0785</v>
      </c>
      <c r="M33" s="28" t="n">
        <f aca="false">VLOOKUP(A33,'SYS Allocations'!A:G,2,0)</f>
        <v>0</v>
      </c>
      <c r="N33" s="28" t="n">
        <f aca="false">VLOOKUP(A33,'SYS Allocations'!A:G,3,0)</f>
        <v>0</v>
      </c>
      <c r="O33" s="28" t="n">
        <f aca="false">VLOOKUP(A33,'SYS Allocations'!A:G,4,0)</f>
        <v>0</v>
      </c>
      <c r="P33" s="28" t="n">
        <f aca="false">VLOOKUP(A33,'SYS Allocations'!A:G,5,0)</f>
        <v>0</v>
      </c>
      <c r="Q33" s="28" t="n">
        <f aca="false">VLOOKUP(A33,'SYS Allocations'!A:G,6,0)</f>
        <v>0</v>
      </c>
      <c r="R33" s="29" t="n">
        <f aca="false">VLOOKUP(A33,'SYS Allocations'!A:G,7,0)</f>
        <v>2.5</v>
      </c>
      <c r="S33" s="30"/>
    </row>
    <row r="34" customFormat="false" ht="13.15" hidden="true" customHeight="false" outlineLevel="0" collapsed="false">
      <c r="A34" s="20" t="s">
        <v>50</v>
      </c>
      <c r="B34" s="21" t="str">
        <f aca="false">VLOOKUP(A34,All!A:AM,2,0)</f>
        <v>LONDON</v>
      </c>
      <c r="C34" s="22" t="n">
        <f aca="false">VLOOKUP(A34,All!A:AM,11,0)</f>
        <v>45526</v>
      </c>
      <c r="D34" s="23"/>
      <c r="E34" s="24" t="n">
        <f aca="false">VLOOKUP(A34,All!A:AM,30,0)</f>
        <v>60.2272727272727</v>
      </c>
      <c r="F34" s="24" t="n">
        <f aca="false">VLOOKUP(A34,All!A:AM,28,0)</f>
        <v>11.554</v>
      </c>
      <c r="G34" s="24" t="n">
        <f aca="false">VLOOKUP(A34,All!A:AM,31,0)</f>
        <v>46.4627151051625</v>
      </c>
      <c r="H34" s="24" t="n">
        <f aca="false">VLOOKUP(A34,All!A:AM,29,0)</f>
        <v>6.62175</v>
      </c>
      <c r="I34" s="25" t="n">
        <f aca="false">VLOOKUP(A34,All!A:AM,33,0)</f>
        <v>49.6808061622876</v>
      </c>
      <c r="J34" s="25" t="n">
        <f aca="false">VLOOKUP(A34,All!A:AM,32,0)</f>
        <v>7.53319999999999</v>
      </c>
      <c r="K34" s="26" t="n">
        <f aca="false">VLOOKUP(A34,All!A:AM,39,0)</f>
        <v>49.1333333333333</v>
      </c>
      <c r="L34" s="26" t="n">
        <f aca="false">VLOOKUP(A34,All!A:AM,38,0)</f>
        <v>7.37</v>
      </c>
      <c r="M34" s="28" t="n">
        <f aca="false">VLOOKUP(A34,'SYS Allocations'!A:G,2,0)</f>
        <v>0</v>
      </c>
      <c r="N34" s="28" t="n">
        <f aca="false">VLOOKUP(A34,'SYS Allocations'!A:G,3,0)</f>
        <v>0</v>
      </c>
      <c r="O34" s="28" t="n">
        <f aca="false">VLOOKUP(A34,'SYS Allocations'!A:G,4,0)</f>
        <v>0</v>
      </c>
      <c r="P34" s="28" t="n">
        <f aca="false">VLOOKUP(A34,'SYS Allocations'!A:G,5,0)</f>
        <v>0</v>
      </c>
      <c r="Q34" s="28" t="n">
        <f aca="false">VLOOKUP(A34,'SYS Allocations'!A:G,6,0)</f>
        <v>0</v>
      </c>
      <c r="R34" s="29" t="n">
        <f aca="false">VLOOKUP(A34,'SYS Allocations'!A:G,7,0)</f>
        <v>1</v>
      </c>
      <c r="S34" s="30"/>
    </row>
    <row r="35" customFormat="false" ht="13.15" hidden="true" customHeight="false" outlineLevel="0" collapsed="false">
      <c r="A35" s="20" t="s">
        <v>51</v>
      </c>
      <c r="B35" s="21" t="str">
        <f aca="false">VLOOKUP(A35,All!A:AM,2,0)</f>
        <v>NORTH WEST</v>
      </c>
      <c r="C35" s="22" t="n">
        <f aca="false">VLOOKUP(A35,All!A:AM,11,0)</f>
        <v>45568</v>
      </c>
      <c r="D35" s="23"/>
      <c r="E35" s="24" t="n">
        <f aca="false">VLOOKUP(A35,All!A:AM,30,0)</f>
        <v>61.9565217391304</v>
      </c>
      <c r="F35" s="24" t="n">
        <f aca="false">VLOOKUP(A35,All!A:AM,28,0)</f>
        <v>3.1065</v>
      </c>
      <c r="G35" s="24" t="n">
        <f aca="false">VLOOKUP(A35,All!A:AM,31,0)</f>
        <v>68.1818181818182</v>
      </c>
      <c r="H35" s="24" t="n">
        <f aca="false">VLOOKUP(A35,All!A:AM,29,0)</f>
        <v>4.0875</v>
      </c>
      <c r="I35" s="25" t="n">
        <f aca="false">VLOOKUP(A35,All!A:AM,33,0)</f>
        <v>55.8449074074074</v>
      </c>
      <c r="J35" s="25" t="n">
        <f aca="false">VLOOKUP(A35,All!A:AM,32,0)</f>
        <v>2.4125</v>
      </c>
      <c r="K35" s="26" t="n">
        <f aca="false">VLOOKUP(A35,All!A:AM,39,0)</f>
        <v>49.1333333333333</v>
      </c>
      <c r="L35" s="26" t="n">
        <f aca="false">VLOOKUP(A35,All!A:AM,38,0)</f>
        <v>1.8425</v>
      </c>
      <c r="M35" s="28" t="n">
        <f aca="false">VLOOKUP(A35,'SYS Allocations'!A:G,2,0)</f>
        <v>0</v>
      </c>
      <c r="N35" s="28" t="n">
        <f aca="false">VLOOKUP(A35,'SYS Allocations'!A:G,3,0)</f>
        <v>0</v>
      </c>
      <c r="O35" s="28" t="n">
        <f aca="false">VLOOKUP(A35,'SYS Allocations'!A:G,4,0)</f>
        <v>0</v>
      </c>
      <c r="P35" s="28" t="n">
        <f aca="false">VLOOKUP(A35,'SYS Allocations'!A:G,5,0)</f>
        <v>0</v>
      </c>
      <c r="Q35" s="28" t="n">
        <f aca="false">VLOOKUP(A35,'SYS Allocations'!A:G,6,0)</f>
        <v>0</v>
      </c>
      <c r="R35" s="29" t="n">
        <f aca="false">VLOOKUP(A35,'SYS Allocations'!A:G,7,0)</f>
        <v>0</v>
      </c>
      <c r="S35" s="30"/>
    </row>
    <row r="36" customFormat="false" ht="13.15" hidden="true" customHeight="false" outlineLevel="0" collapsed="false">
      <c r="A36" s="20" t="s">
        <v>52</v>
      </c>
      <c r="B36" s="21" t="str">
        <f aca="false">VLOOKUP(A36,All!A:AM,2,0)</f>
        <v>NORTH WEST</v>
      </c>
      <c r="C36" s="22" t="n">
        <f aca="false">VLOOKUP(A36,All!A:AM,11,0)</f>
        <v>45659</v>
      </c>
      <c r="D36" s="23"/>
      <c r="E36" s="24" t="n">
        <f aca="false">VLOOKUP(A36,All!A:AM,30,0)</f>
        <v>73.5314207650273</v>
      </c>
      <c r="F36" s="24" t="n">
        <f aca="false">VLOOKUP(A36,All!A:AM,28,0)</f>
        <v>9.38708</v>
      </c>
      <c r="G36" s="24" t="n">
        <f aca="false">VLOOKUP(A36,All!A:AM,31,0)</f>
        <v>64.3268124280782</v>
      </c>
      <c r="H36" s="24" t="n">
        <f aca="false">VLOOKUP(A36,All!A:AM,29,0)</f>
        <v>6.0931</v>
      </c>
      <c r="I36" s="25" t="n">
        <f aca="false">VLOOKUP(A36,All!A:AM,33,0)</f>
        <v>66.5736783792337</v>
      </c>
      <c r="J36" s="25" t="n">
        <f aca="false">VLOOKUP(A36,All!A:AM,32,0)</f>
        <v>6.72979999999998</v>
      </c>
      <c r="K36" s="26" t="n">
        <f aca="false">VLOOKUP(A36,All!A:AM,39,0)</f>
        <v>84.9822222222222</v>
      </c>
      <c r="L36" s="26" t="n">
        <f aca="false">VLOOKUP(A36,All!A:AM,38,0)</f>
        <v>19.121</v>
      </c>
      <c r="M36" s="28" t="n">
        <f aca="false">VLOOKUP(A36,'SYS Allocations'!A:G,2,0)</f>
        <v>0</v>
      </c>
      <c r="N36" s="28" t="n">
        <f aca="false">VLOOKUP(A36,'SYS Allocations'!A:G,3,0)</f>
        <v>0</v>
      </c>
      <c r="O36" s="28" t="n">
        <f aca="false">VLOOKUP(A36,'SYS Allocations'!A:G,4,0)</f>
        <v>0</v>
      </c>
      <c r="P36" s="28" t="n">
        <f aca="false">VLOOKUP(A36,'SYS Allocations'!A:G,5,0)</f>
        <v>0</v>
      </c>
      <c r="Q36" s="28" t="n">
        <f aca="false">VLOOKUP(A36,'SYS Allocations'!A:G,6,0)</f>
        <v>0</v>
      </c>
      <c r="R36" s="29" t="n">
        <f aca="false">VLOOKUP(A36,'SYS Allocations'!A:G,7,0)</f>
        <v>3</v>
      </c>
      <c r="S36" s="30"/>
    </row>
    <row r="37" customFormat="false" ht="13.15" hidden="false" customHeight="false" outlineLevel="0" collapsed="false">
      <c r="A37" s="34" t="s">
        <v>53</v>
      </c>
      <c r="B37" s="21" t="str">
        <f aca="false">VLOOKUP(A37,All!A:AM,2,0)</f>
        <v>THAMES VALLEY</v>
      </c>
      <c r="C37" s="22" t="n">
        <f aca="false">VLOOKUP(A37,All!A:AM,11,0)</f>
        <v>45659</v>
      </c>
      <c r="D37" s="35"/>
      <c r="E37" s="24" t="n">
        <f aca="false">VLOOKUP(A37,All!A:AM,30,0)</f>
        <v>40.1183970856102</v>
      </c>
      <c r="F37" s="24" t="n">
        <f aca="false">VLOOKUP(A37,All!A:AM,28,0)</f>
        <v>38.4116</v>
      </c>
      <c r="G37" s="24" t="n">
        <f aca="false">VLOOKUP(A37,All!A:AM,31,0)</f>
        <v>34.0852130325815</v>
      </c>
      <c r="H37" s="24" t="n">
        <f aca="false">VLOOKUP(A37,All!A:AM,29,0)</f>
        <v>29.648</v>
      </c>
      <c r="I37" s="25" t="n">
        <f aca="false">VLOOKUP(A37,All!A:AM,33,0)</f>
        <v>-7.50716289395921</v>
      </c>
      <c r="J37" s="25" t="n">
        <f aca="false">VLOOKUP(A37,All!A:AM,32,0)</f>
        <v>-4.00360000000002</v>
      </c>
      <c r="K37" s="26" t="n">
        <f aca="false">VLOOKUP(A37,All!A:AM,39,0)</f>
        <v>49.2958887545345</v>
      </c>
      <c r="L37" s="36" t="n">
        <f aca="false">VLOOKUP(A37,All!A:AM,38,0)</f>
        <v>203.8385</v>
      </c>
      <c r="M37" s="28" t="str">
        <f aca="false">VLOOKUP(A37,'SYS Allocations'!A:G,2,0)</f>
        <v>P-Core</v>
      </c>
      <c r="N37" s="28" t="n">
        <f aca="false">VLOOKUP(A37,'SYS Allocations'!A:G,3,0)</f>
        <v>0</v>
      </c>
      <c r="O37" s="28" t="n">
        <f aca="false">VLOOKUP(A37,'SYS Allocations'!A:G,4,0)</f>
        <v>0</v>
      </c>
      <c r="P37" s="28" t="n">
        <f aca="false">VLOOKUP(A37,'SYS Allocations'!A:G,5,0)</f>
        <v>0</v>
      </c>
      <c r="Q37" s="28" t="n">
        <f aca="false">VLOOKUP(A37,'SYS Allocations'!A:G,6,0)</f>
        <v>0</v>
      </c>
      <c r="R37" s="29" t="n">
        <f aca="false">VLOOKUP(A37,'SYS Allocations'!A:G,7,0)</f>
        <v>18.8</v>
      </c>
      <c r="S37" s="30"/>
    </row>
    <row r="38" customFormat="false" ht="13.15" hidden="false" customHeight="false" outlineLevel="0" collapsed="false">
      <c r="A38" s="34" t="s">
        <v>54</v>
      </c>
      <c r="B38" s="21" t="str">
        <f aca="false">VLOOKUP(A38,All!A:AM,2,0)</f>
        <v>THAMES VALLEY</v>
      </c>
      <c r="C38" s="22" t="n">
        <f aca="false">VLOOKUP(A38,All!A:AM,11,0)</f>
        <v>45659</v>
      </c>
      <c r="D38" s="35"/>
      <c r="E38" s="24" t="n">
        <f aca="false">VLOOKUP(A38,All!A:AM,30,0)</f>
        <v>19.984387197502</v>
      </c>
      <c r="F38" s="24" t="n">
        <f aca="false">VLOOKUP(A38,All!A:AM,28,0)</f>
        <v>17.85856</v>
      </c>
      <c r="G38" s="24" t="n">
        <f aca="false">VLOOKUP(A38,All!A:AM,31,0)</f>
        <v>-54.4256120527307</v>
      </c>
      <c r="H38" s="24" t="n">
        <f aca="false">VLOOKUP(A38,All!A:AM,29,0)</f>
        <v>-25.2008</v>
      </c>
      <c r="I38" s="25" t="n">
        <f aca="false">VLOOKUP(A38,All!A:AM,33,0)</f>
        <v>32.9613128722081</v>
      </c>
      <c r="J38" s="25" t="n">
        <f aca="false">VLOOKUP(A38,All!A:AM,32,0)</f>
        <v>35.1568000000001</v>
      </c>
      <c r="K38" s="26"/>
      <c r="L38" s="26"/>
      <c r="M38" s="28" t="str">
        <f aca="false">VLOOKUP(A38,'SYS Allocations'!A:G,2,0)</f>
        <v>P-Core</v>
      </c>
      <c r="N38" s="28" t="n">
        <f aca="false">VLOOKUP(A38,'SYS Allocations'!A:G,3,0)</f>
        <v>0</v>
      </c>
      <c r="O38" s="28" t="n">
        <f aca="false">VLOOKUP(A38,'SYS Allocations'!A:G,4,0)</f>
        <v>0</v>
      </c>
      <c r="P38" s="28" t="n">
        <f aca="false">VLOOKUP(A38,'SYS Allocations'!A:G,5,0)</f>
        <v>0</v>
      </c>
      <c r="Q38" s="28" t="n">
        <f aca="false">VLOOKUP(A38,'SYS Allocations'!A:G,6,0)</f>
        <v>0</v>
      </c>
      <c r="R38" s="29" t="n">
        <f aca="false">VLOOKUP(A38,'SYS Allocations'!A:G,7,0)</f>
        <v>2</v>
      </c>
      <c r="S38" s="30"/>
    </row>
    <row r="39" customFormat="false" ht="13.15" hidden="false" customHeight="false" outlineLevel="0" collapsed="false">
      <c r="A39" s="32" t="s">
        <v>55</v>
      </c>
      <c r="B39" s="21" t="str">
        <f aca="false">VLOOKUP(A39,All!A:AM,2,0)</f>
        <v>THAMES VALLEY</v>
      </c>
      <c r="C39" s="22" t="n">
        <f aca="false">VLOOKUP(A39,All!A:AM,11,0)</f>
        <v>45659</v>
      </c>
      <c r="D39" s="35"/>
      <c r="E39" s="24" t="n">
        <f aca="false">VLOOKUP(A39,All!A:AM,30,0)</f>
        <v>66.6291629162916</v>
      </c>
      <c r="F39" s="24" t="n">
        <f aca="false">VLOOKUP(A39,All!A:AM,28,0)</f>
        <v>161.3745</v>
      </c>
      <c r="G39" s="24" t="n">
        <f aca="false">VLOOKUP(A39,All!A:AM,31,0)</f>
        <v>52.9952456418384</v>
      </c>
      <c r="H39" s="24" t="n">
        <f aca="false">VLOOKUP(A39,All!A:AM,29,0)</f>
        <v>91.124</v>
      </c>
      <c r="I39" s="25" t="n">
        <f aca="false">VLOOKUP(A39,All!A:AM,33,0)</f>
        <v>62.1119005295291</v>
      </c>
      <c r="J39" s="25" t="n">
        <f aca="false">VLOOKUP(A39,All!A:AM,32,0)</f>
        <v>132.4981</v>
      </c>
      <c r="K39" s="26"/>
      <c r="L39" s="26"/>
      <c r="M39" s="28" t="str">
        <f aca="false">VLOOKUP(A39,'SYS Allocations'!A:G,2,0)</f>
        <v>P-Core</v>
      </c>
      <c r="N39" s="28" t="str">
        <f aca="false">VLOOKUP(A39,'SYS Allocations'!A:G,3,0)</f>
        <v>RA</v>
      </c>
      <c r="O39" s="28" t="str">
        <f aca="false">VLOOKUP(A39,'SYS Allocations'!A:G,4,0)</f>
        <v>PX</v>
      </c>
      <c r="P39" s="28"/>
      <c r="Q39" s="28" t="str">
        <f aca="false">VLOOKUP(A39,'SYS Allocations'!A:G,6,0)</f>
        <v>OPEX</v>
      </c>
      <c r="R39" s="29" t="n">
        <f aca="false">VLOOKUP(A39,'SYS Allocations'!A:G,7,0)</f>
        <v>67.05</v>
      </c>
      <c r="S39" s="30"/>
    </row>
    <row r="40" customFormat="false" ht="13.15" hidden="false" customHeight="false" outlineLevel="0" collapsed="false">
      <c r="A40" s="32" t="s">
        <v>56</v>
      </c>
      <c r="B40" s="21" t="str">
        <f aca="false">VLOOKUP(A40,All!A:AM,2,0)</f>
        <v>THAMES VALLEY</v>
      </c>
      <c r="C40" s="22" t="n">
        <f aca="false">VLOOKUP(A40,All!A:AM,11,0)</f>
        <v>45659</v>
      </c>
      <c r="D40" s="35"/>
      <c r="E40" s="24" t="n">
        <f aca="false">VLOOKUP(A40,All!A:AM,30,0)</f>
        <v>76.8451845184518</v>
      </c>
      <c r="F40" s="24" t="n">
        <f aca="false">VLOOKUP(A40,All!A:AM,28,0)</f>
        <v>186.1175</v>
      </c>
      <c r="G40" s="24" t="n">
        <f aca="false">VLOOKUP(A40,All!A:AM,31,0)</f>
        <v>67.3851030110935</v>
      </c>
      <c r="H40" s="24" t="n">
        <f aca="false">VLOOKUP(A40,All!A:AM,29,0)</f>
        <v>115.867</v>
      </c>
      <c r="I40" s="25" t="n">
        <f aca="false">VLOOKUP(A40,All!A:AM,33,0)</f>
        <v>73.7108197200846</v>
      </c>
      <c r="J40" s="25" t="n">
        <f aca="false">VLOOKUP(A40,All!A:AM,32,0)</f>
        <v>157.2411</v>
      </c>
      <c r="K40" s="26" t="n">
        <f aca="false">VLOOKUP(A40,All!A:AM,39,0)</f>
        <v>84.8941414141414</v>
      </c>
      <c r="L40" s="26" t="n">
        <f aca="false">VLOOKUP(A40,All!A:AM,38,0)</f>
        <v>315.1695</v>
      </c>
      <c r="M40" s="28" t="n">
        <f aca="false">VLOOKUP(A40,'SYS Allocations'!A:G,2,0)</f>
        <v>0</v>
      </c>
      <c r="N40" s="28" t="n">
        <f aca="false">VLOOKUP(A40,'SYS Allocations'!A:G,3,0)</f>
        <v>0</v>
      </c>
      <c r="O40" s="28" t="n">
        <f aca="false">VLOOKUP(A40,'SYS Allocations'!A:G,4,0)</f>
        <v>0</v>
      </c>
      <c r="P40" s="28" t="n">
        <f aca="false">VLOOKUP(A40,'SYS Allocations'!A:G,5,0)</f>
        <v>0</v>
      </c>
      <c r="Q40" s="28" t="n">
        <f aca="false">VLOOKUP(A40,'SYS Allocations'!A:G,6,0)</f>
        <v>0</v>
      </c>
      <c r="R40" s="29" t="n">
        <f aca="false">VLOOKUP(A40,'SYS Allocations'!A:G,7,0)</f>
        <v>66.15</v>
      </c>
      <c r="S40" s="30"/>
    </row>
    <row r="41" customFormat="false" ht="13.15" hidden="true" customHeight="false" outlineLevel="0" collapsed="false">
      <c r="A41" s="33" t="s">
        <v>57</v>
      </c>
      <c r="B41" s="21" t="str">
        <f aca="false">VLOOKUP(A41,All!A:AM,2,0)</f>
        <v>MIDLANDS</v>
      </c>
      <c r="C41" s="22" t="n">
        <f aca="false">VLOOKUP(A41,All!A:AM,11,0)</f>
        <v>44498.4166666667</v>
      </c>
      <c r="D41" s="35"/>
      <c r="E41" s="24" t="n">
        <f aca="false">VLOOKUP(A41,All!A:AM,30,0)</f>
        <v>82.03125</v>
      </c>
      <c r="F41" s="24" t="n">
        <f aca="false">VLOOKUP(A41,All!A:AM,28,0)</f>
        <v>28.6125</v>
      </c>
      <c r="G41" s="24" t="n">
        <f aca="false">VLOOKUP(A41,All!A:AM,31,0)</f>
        <v>76.0416666666667</v>
      </c>
      <c r="H41" s="24" t="n">
        <f aca="false">VLOOKUP(A41,All!A:AM,29,0)</f>
        <v>19.8925</v>
      </c>
      <c r="I41" s="25" t="n">
        <f aca="false">VLOOKUP(A41,All!A:AM,33,0)</f>
        <v>77.7141292598282</v>
      </c>
      <c r="J41" s="25" t="n">
        <f aca="false">VLOOKUP(A41,All!A:AM,32,0)</f>
        <v>21.8557</v>
      </c>
      <c r="K41" s="26" t="n">
        <f aca="false">VLOOKUP(A41,All!A:AM,39,0)</f>
        <v>71.0140740740741</v>
      </c>
      <c r="L41" s="26" t="n">
        <f aca="false">VLOOKUP(A41,All!A:AM,38,0)</f>
        <v>47.9345</v>
      </c>
      <c r="M41" s="28" t="n">
        <f aca="false">VLOOKUP(A41,'SYS Allocations'!A:G,2,0)</f>
        <v>0</v>
      </c>
      <c r="N41" s="28" t="n">
        <f aca="false">VLOOKUP(A41,'SYS Allocations'!A:G,3,0)</f>
        <v>0</v>
      </c>
      <c r="O41" s="28" t="n">
        <f aca="false">VLOOKUP(A41,'SYS Allocations'!A:G,4,0)</f>
        <v>0</v>
      </c>
      <c r="P41" s="28" t="n">
        <f aca="false">VLOOKUP(A41,'SYS Allocations'!A:G,5,0)</f>
        <v>0</v>
      </c>
      <c r="Q41" s="28" t="n">
        <f aca="false">VLOOKUP(A41,'SYS Allocations'!A:G,6,0)</f>
        <v>0</v>
      </c>
      <c r="R41" s="29" t="n">
        <f aca="false">VLOOKUP(A41,'SYS Allocations'!A:G,7,0)</f>
        <v>0</v>
      </c>
      <c r="S41" s="30"/>
    </row>
    <row r="42" customFormat="false" ht="13.15" hidden="true" customHeight="false" outlineLevel="0" collapsed="false">
      <c r="A42" s="33" t="s">
        <v>58</v>
      </c>
      <c r="B42" s="21" t="str">
        <f aca="false">VLOOKUP(A42,All!A:AM,2,0)</f>
        <v>MIDLANDS</v>
      </c>
      <c r="C42" s="22" t="n">
        <f aca="false">VLOOKUP(A42,All!A:AM,11,0)</f>
        <v>44498.5</v>
      </c>
      <c r="D42" s="35"/>
      <c r="E42" s="24" t="n">
        <f aca="false">VLOOKUP(A42,All!A:AM,30,0)</f>
        <v>61.875</v>
      </c>
      <c r="F42" s="24" t="n">
        <f aca="false">VLOOKUP(A42,All!A:AM,28,0)</f>
        <v>21.582</v>
      </c>
      <c r="G42" s="24" t="n">
        <f aca="false">VLOOKUP(A42,All!A:AM,31,0)</f>
        <v>49.1666666666667</v>
      </c>
      <c r="H42" s="24" t="n">
        <f aca="false">VLOOKUP(A42,All!A:AM,29,0)</f>
        <v>12.862</v>
      </c>
      <c r="I42" s="25" t="n">
        <f aca="false">VLOOKUP(A42,All!A:AM,33,0)</f>
        <v>52.7151959947659</v>
      </c>
      <c r="J42" s="25" t="n">
        <f aca="false">VLOOKUP(A42,All!A:AM,32,0)</f>
        <v>14.8252</v>
      </c>
      <c r="K42" s="26"/>
      <c r="L42" s="26"/>
      <c r="M42" s="28" t="n">
        <f aca="false">VLOOKUP(A42,'SYS Allocations'!A:G,2,0)</f>
        <v>0</v>
      </c>
      <c r="N42" s="28" t="n">
        <f aca="false">VLOOKUP(A42,'SYS Allocations'!A:G,3,0)</f>
        <v>0</v>
      </c>
      <c r="O42" s="28" t="n">
        <f aca="false">VLOOKUP(A42,'SYS Allocations'!A:G,4,0)</f>
        <v>0</v>
      </c>
      <c r="P42" s="28" t="n">
        <f aca="false">VLOOKUP(A42,'SYS Allocations'!A:G,5,0)</f>
        <v>0</v>
      </c>
      <c r="Q42" s="28" t="n">
        <f aca="false">VLOOKUP(A42,'SYS Allocations'!A:G,6,0)</f>
        <v>0</v>
      </c>
      <c r="R42" s="29" t="n">
        <f aca="false">VLOOKUP(A42,'SYS Allocations'!A:G,7,0)</f>
        <v>0</v>
      </c>
      <c r="S42" s="30"/>
    </row>
    <row r="43" customFormat="false" ht="13.15" hidden="true" customHeight="false" outlineLevel="0" collapsed="false">
      <c r="A43" s="20" t="s">
        <v>59</v>
      </c>
      <c r="B43" s="21" t="str">
        <f aca="false">VLOOKUP(A43,All!A:AM,2,0)</f>
        <v>SOUTH</v>
      </c>
      <c r="C43" s="22" t="n">
        <f aca="false">VLOOKUP(A43,All!A:AM,11,0)</f>
        <v>45468</v>
      </c>
      <c r="D43" s="23"/>
      <c r="E43" s="24" t="n">
        <f aca="false">VLOOKUP(A43,All!A:AM,30,0)</f>
        <v>42.1891058581706</v>
      </c>
      <c r="F43" s="24" t="n">
        <f aca="false">VLOOKUP(A43,All!A:AM,28,0)</f>
        <v>3.57956</v>
      </c>
      <c r="G43" s="24" t="n">
        <f aca="false">VLOOKUP(A43,All!A:AM,31,0)</f>
        <v>46.644533396307</v>
      </c>
      <c r="H43" s="24" t="n">
        <f aca="false">VLOOKUP(A43,All!A:AM,29,0)</f>
        <v>4.288059891</v>
      </c>
      <c r="I43" s="25" t="n">
        <f aca="false">VLOOKUP(A43,All!A:AM,33,0)</f>
        <v>-68.2098765432099</v>
      </c>
      <c r="J43" s="25" t="n">
        <f aca="false">VLOOKUP(A43,All!A:AM,32,0)</f>
        <v>-1.989</v>
      </c>
      <c r="K43" s="26" t="n">
        <f aca="false">VLOOKUP(A43,All!A:AM,39,0)</f>
        <v>56.4</v>
      </c>
      <c r="L43" s="26" t="n">
        <f aca="false">VLOOKUP(A43,All!A:AM,38,0)</f>
        <v>6.345</v>
      </c>
      <c r="M43" s="28" t="n">
        <f aca="false">VLOOKUP(A43,'SYS Allocations'!A:G,2,0)</f>
        <v>0</v>
      </c>
      <c r="N43" s="28" t="n">
        <f aca="false">VLOOKUP(A43,'SYS Allocations'!A:G,3,0)</f>
        <v>0</v>
      </c>
      <c r="O43" s="28" t="n">
        <f aca="false">VLOOKUP(A43,'SYS Allocations'!A:G,4,0)</f>
        <v>0</v>
      </c>
      <c r="P43" s="28" t="n">
        <f aca="false">VLOOKUP(A43,'SYS Allocations'!A:G,5,0)</f>
        <v>0</v>
      </c>
      <c r="Q43" s="28" t="n">
        <f aca="false">VLOOKUP(A43,'SYS Allocations'!A:G,6,0)</f>
        <v>0</v>
      </c>
      <c r="R43" s="29" t="n">
        <f aca="false">VLOOKUP(A43,'SYS Allocations'!A:G,7,0)</f>
        <v>0.5</v>
      </c>
      <c r="S43" s="30"/>
    </row>
    <row r="44" customFormat="false" ht="13.15" hidden="true" customHeight="false" outlineLevel="0" collapsed="false">
      <c r="A44" s="20" t="s">
        <v>60</v>
      </c>
      <c r="B44" s="21" t="str">
        <f aca="false">VLOOKUP(A44,All!A:AM,2,0)</f>
        <v>NORTH WEST</v>
      </c>
      <c r="C44" s="22" t="n">
        <f aca="false">VLOOKUP(A44,All!A:AM,11,0)</f>
        <v>45659</v>
      </c>
      <c r="D44" s="23"/>
      <c r="E44" s="24" t="n">
        <f aca="false">VLOOKUP(A44,All!A:AM,30,0)</f>
        <v>67.2131147540984</v>
      </c>
      <c r="F44" s="24" t="n">
        <f aca="false">VLOOKUP(A44,All!A:AM,28,0)</f>
        <v>5.3628</v>
      </c>
      <c r="G44" s="24" t="n">
        <f aca="false">VLOOKUP(A44,All!A:AM,31,0)</f>
        <v>57.5221238938053</v>
      </c>
      <c r="H44" s="24" t="n">
        <f aca="false">VLOOKUP(A44,All!A:AM,29,0)</f>
        <v>3.5425</v>
      </c>
      <c r="I44" s="25" t="n">
        <f aca="false">VLOOKUP(A44,All!A:AM,33,0)</f>
        <v>58.3094281889461</v>
      </c>
      <c r="J44" s="25" t="n">
        <f aca="false">VLOOKUP(A44,All!A:AM,32,0)</f>
        <v>3.65879999999998</v>
      </c>
      <c r="K44" s="26" t="n">
        <f aca="false">VLOOKUP(A44,All!A:AM,39,0)</f>
        <v>56.4</v>
      </c>
      <c r="L44" s="26" t="n">
        <f aca="false">VLOOKUP(A44,All!A:AM,38,0)</f>
        <v>3.384</v>
      </c>
      <c r="M44" s="28" t="n">
        <f aca="false">VLOOKUP(A44,'SYS Allocations'!A:G,2,0)</f>
        <v>0</v>
      </c>
      <c r="N44" s="28" t="n">
        <f aca="false">VLOOKUP(A44,'SYS Allocations'!A:G,3,0)</f>
        <v>0</v>
      </c>
      <c r="O44" s="28" t="n">
        <f aca="false">VLOOKUP(A44,'SYS Allocations'!A:G,4,0)</f>
        <v>0</v>
      </c>
      <c r="P44" s="28" t="n">
        <f aca="false">VLOOKUP(A44,'SYS Allocations'!A:G,5,0)</f>
        <v>0</v>
      </c>
      <c r="Q44" s="28" t="n">
        <f aca="false">VLOOKUP(A44,'SYS Allocations'!A:G,6,0)</f>
        <v>0</v>
      </c>
      <c r="R44" s="29" t="n">
        <f aca="false">VLOOKUP(A44,'SYS Allocations'!A:G,7,0)</f>
        <v>5.4</v>
      </c>
      <c r="S44" s="30"/>
    </row>
    <row r="45" customFormat="false" ht="13.15" hidden="true" customHeight="false" outlineLevel="0" collapsed="false">
      <c r="A45" s="20" t="s">
        <v>61</v>
      </c>
      <c r="B45" s="21" t="str">
        <f aca="false">VLOOKUP(A45,All!A:AM,2,0)</f>
        <v>SCOTLAND</v>
      </c>
      <c r="C45" s="22" t="n">
        <f aca="false">VLOOKUP(A45,All!A:AM,11,0)</f>
        <v>45627</v>
      </c>
      <c r="D45" s="23"/>
      <c r="E45" s="24" t="n">
        <f aca="false">VLOOKUP(A45,All!A:AM,30,0)</f>
        <v>91.6666666666667</v>
      </c>
      <c r="F45" s="24" t="n">
        <f aca="false">VLOOKUP(A45,All!A:AM,28,0)</f>
        <v>2.398</v>
      </c>
      <c r="G45" s="24" t="n">
        <f aca="false">VLOOKUP(A45,All!A:AM,31,0)</f>
        <v>90.9090909090909</v>
      </c>
      <c r="H45" s="24" t="n">
        <f aca="false">VLOOKUP(A45,All!A:AM,29,0)</f>
        <v>2.18</v>
      </c>
      <c r="I45" s="25" t="n">
        <f aca="false">VLOOKUP(A45,All!A:AM,33,0)</f>
        <v>88.8356276630613</v>
      </c>
      <c r="J45" s="25" t="n">
        <f aca="false">VLOOKUP(A45,All!A:AM,32,0)</f>
        <v>1.73464</v>
      </c>
      <c r="K45" s="26" t="n">
        <f aca="false">VLOOKUP(A45,All!A:AM,39,0)</f>
        <v>95.6616915422886</v>
      </c>
      <c r="L45" s="26" t="n">
        <f aca="false">VLOOKUP(A45,All!A:AM,38,0)</f>
        <v>4.807</v>
      </c>
      <c r="M45" s="28" t="n">
        <f aca="false">VLOOKUP(A45,'SYS Allocations'!A:G,2,0)</f>
        <v>0</v>
      </c>
      <c r="N45" s="28" t="n">
        <f aca="false">VLOOKUP(A45,'SYS Allocations'!A:G,3,0)</f>
        <v>0</v>
      </c>
      <c r="O45" s="28" t="n">
        <f aca="false">VLOOKUP(A45,'SYS Allocations'!A:G,4,0)</f>
        <v>0</v>
      </c>
      <c r="P45" s="28" t="n">
        <f aca="false">VLOOKUP(A45,'SYS Allocations'!A:G,5,0)</f>
        <v>0</v>
      </c>
      <c r="Q45" s="28" t="n">
        <f aca="false">VLOOKUP(A45,'SYS Allocations'!A:G,6,0)</f>
        <v>0</v>
      </c>
      <c r="R45" s="29" t="n">
        <f aca="false">VLOOKUP(A45,'SYS Allocations'!A:G,7,0)</f>
        <v>0.5</v>
      </c>
      <c r="S45" s="30"/>
    </row>
    <row r="46" customFormat="false" ht="13.15" hidden="true" customHeight="false" outlineLevel="0" collapsed="false">
      <c r="A46" s="20" t="s">
        <v>62</v>
      </c>
      <c r="B46" s="21" t="str">
        <f aca="false">VLOOKUP(A46,All!A:AM,2,0)</f>
        <v>SCOTTISH HIGHLANDS &amp; ISLANDS </v>
      </c>
      <c r="C46" s="22" t="n">
        <f aca="false">VLOOKUP(A46,All!A:AM,11,0)</f>
        <v>45659</v>
      </c>
      <c r="D46" s="23"/>
      <c r="E46" s="24" t="n">
        <f aca="false">VLOOKUP(A46,All!A:AM,30,0)</f>
        <v>55.6010928961749</v>
      </c>
      <c r="F46" s="24" t="n">
        <f aca="false">VLOOKUP(A46,All!A:AM,28,0)</f>
        <v>0.88726</v>
      </c>
      <c r="G46" s="24" t="n">
        <f aca="false">VLOOKUP(A46,All!A:AM,31,0)</f>
        <v>719.046734695141</v>
      </c>
      <c r="H46" s="24" t="n">
        <f aca="false">VLOOKUP(A46,All!A:AM,29,0)</f>
        <v>-0.8229501635</v>
      </c>
      <c r="I46" s="25" t="n">
        <f aca="false">VLOOKUP(A46,All!A:AM,33,0)</f>
        <v>83.179012345679</v>
      </c>
      <c r="J46" s="25" t="n">
        <f aca="false">VLOOKUP(A46,All!A:AM,32,0)</f>
        <v>3.5035</v>
      </c>
      <c r="K46" s="26" t="n">
        <f aca="false">VLOOKUP(A46,All!A:AM,39,0)</f>
        <v>81.1066666666667</v>
      </c>
      <c r="L46" s="26" t="n">
        <f aca="false">VLOOKUP(A46,All!A:AM,38,0)</f>
        <v>3.0415</v>
      </c>
      <c r="M46" s="28" t="n">
        <f aca="false">VLOOKUP(A46,'SYS Allocations'!A:G,2,0)</f>
        <v>0</v>
      </c>
      <c r="N46" s="28" t="n">
        <f aca="false">VLOOKUP(A46,'SYS Allocations'!A:G,3,0)</f>
        <v>0</v>
      </c>
      <c r="O46" s="28" t="n">
        <f aca="false">VLOOKUP(A46,'SYS Allocations'!A:G,4,0)</f>
        <v>0</v>
      </c>
      <c r="P46" s="28" t="n">
        <f aca="false">VLOOKUP(A46,'SYS Allocations'!A:G,5,0)</f>
        <v>0</v>
      </c>
      <c r="Q46" s="28" t="n">
        <f aca="false">VLOOKUP(A46,'SYS Allocations'!A:G,6,0)</f>
        <v>0</v>
      </c>
      <c r="R46" s="29" t="n">
        <f aca="false">VLOOKUP(A46,'SYS Allocations'!A:G,7,0)</f>
        <v>0.4</v>
      </c>
      <c r="S46" s="30"/>
    </row>
    <row r="47" customFormat="false" ht="13.15" hidden="true" customHeight="false" outlineLevel="0" collapsed="false">
      <c r="A47" s="20" t="s">
        <v>63</v>
      </c>
      <c r="B47" s="21" t="str">
        <f aca="false">VLOOKUP(A47,All!A:AM,2,0)</f>
        <v>THAMES VALLEY</v>
      </c>
      <c r="C47" s="22" t="n">
        <f aca="false">VLOOKUP(A47,All!A:AM,11,0)</f>
        <v>45436</v>
      </c>
      <c r="D47" s="23"/>
      <c r="E47" s="24" t="n">
        <f aca="false">VLOOKUP(A47,All!A:AM,30,0)</f>
        <v>57.679971489665</v>
      </c>
      <c r="F47" s="24" t="n">
        <f aca="false">VLOOKUP(A47,All!A:AM,28,0)</f>
        <v>21.16998</v>
      </c>
      <c r="G47" s="24" t="n">
        <f aca="false">VLOOKUP(A47,All!A:AM,31,0)</f>
        <v>45.3813721732465</v>
      </c>
      <c r="H47" s="24" t="n">
        <f aca="false">VLOOKUP(A47,All!A:AM,29,0)</f>
        <v>12.9056</v>
      </c>
      <c r="I47" s="25" t="n">
        <f aca="false">VLOOKUP(A47,All!A:AM,33,0)</f>
        <v>44.7697986004438</v>
      </c>
      <c r="J47" s="25" t="n">
        <f aca="false">VLOOKUP(A47,All!A:AM,32,0)</f>
        <v>12.5907</v>
      </c>
      <c r="K47" s="26" t="n">
        <f aca="false">VLOOKUP(A47,All!A:AM,39,0)</f>
        <v>52.9318181818182</v>
      </c>
      <c r="L47" s="26" t="n">
        <f aca="false">VLOOKUP(A47,All!A:AM,38,0)</f>
        <v>17.4675</v>
      </c>
      <c r="M47" s="28" t="n">
        <f aca="false">VLOOKUP(A47,'SYS Allocations'!A:G,2,0)</f>
        <v>0</v>
      </c>
      <c r="N47" s="28" t="n">
        <f aca="false">VLOOKUP(A47,'SYS Allocations'!A:G,3,0)</f>
        <v>0</v>
      </c>
      <c r="O47" s="28" t="n">
        <f aca="false">VLOOKUP(A47,'SYS Allocations'!A:G,4,0)</f>
        <v>0</v>
      </c>
      <c r="P47" s="28" t="n">
        <f aca="false">VLOOKUP(A47,'SYS Allocations'!A:G,5,0)</f>
        <v>0</v>
      </c>
      <c r="Q47" s="28" t="n">
        <f aca="false">VLOOKUP(A47,'SYS Allocations'!A:G,6,0)</f>
        <v>0</v>
      </c>
      <c r="R47" s="29" t="n">
        <f aca="false">VLOOKUP(A47,'SYS Allocations'!A:G,7,0)</f>
        <v>8.2</v>
      </c>
      <c r="S47" s="30"/>
    </row>
    <row r="48" customFormat="false" ht="13.15" hidden="true" customHeight="false" outlineLevel="0" collapsed="false">
      <c r="A48" s="33" t="s">
        <v>64</v>
      </c>
      <c r="B48" s="21" t="str">
        <f aca="false">VLOOKUP(A48,All!A:AM,2,0)</f>
        <v>MIDLANDS</v>
      </c>
      <c r="C48" s="22" t="n">
        <f aca="false">VLOOKUP(A48,All!A:AM,11,0)</f>
        <v>45575</v>
      </c>
      <c r="D48" s="23"/>
      <c r="E48" s="24" t="n">
        <f aca="false">VLOOKUP(A48,All!A:AM,30,0)</f>
        <v>70.9766584766585</v>
      </c>
      <c r="F48" s="24" t="n">
        <f aca="false">VLOOKUP(A48,All!A:AM,28,0)</f>
        <v>125.9495</v>
      </c>
      <c r="G48" s="24" t="n">
        <f aca="false">VLOOKUP(A48,All!A:AM,31,0)</f>
        <v>58.3700440528634</v>
      </c>
      <c r="H48" s="24" t="n">
        <f aca="false">VLOOKUP(A48,All!A:AM,29,0)</f>
        <v>72.2125</v>
      </c>
      <c r="I48" s="25" t="n">
        <f aca="false">VLOOKUP(A48,All!A:AM,33,0)</f>
        <v>67.8091670041852</v>
      </c>
      <c r="J48" s="25" t="n">
        <f aca="false">VLOOKUP(A48,All!A:AM,32,0)</f>
        <v>108.4887</v>
      </c>
      <c r="K48" s="26" t="n">
        <f aca="false">VLOOKUP(A48,All!A:AM,39,0)</f>
        <v>-1.57185185185185</v>
      </c>
      <c r="L48" s="26" t="n">
        <f aca="false">VLOOKUP(A48,All!A:AM,38,0)</f>
        <v>-1.5915</v>
      </c>
      <c r="M48" s="28" t="str">
        <f aca="false">VLOOKUP(A48,'SYS Allocations'!A:G,2,0)</f>
        <v>P-Core</v>
      </c>
      <c r="N48" s="28" t="str">
        <f aca="false">VLOOKUP(A48,'SYS Allocations'!A:G,3,0)</f>
        <v>RA</v>
      </c>
      <c r="O48" s="28" t="str">
        <f aca="false">VLOOKUP(A48,'SYS Allocations'!A:G,4,0)</f>
        <v>PX</v>
      </c>
      <c r="P48" s="28" t="n">
        <f aca="false">VLOOKUP(A48,'SYS Allocations'!A:G,5,0)</f>
        <v>0</v>
      </c>
      <c r="Q48" s="28" t="n">
        <f aca="false">VLOOKUP(A48,'SYS Allocations'!A:G,6,0)</f>
        <v>0</v>
      </c>
      <c r="R48" s="29" t="n">
        <f aca="false">VLOOKUP(A48,'SYS Allocations'!A:G,7,0)</f>
        <v>22</v>
      </c>
      <c r="S48" s="30"/>
    </row>
    <row r="49" customFormat="false" ht="13.15" hidden="true" customHeight="false" outlineLevel="0" collapsed="false">
      <c r="A49" s="33" t="s">
        <v>65</v>
      </c>
      <c r="B49" s="21" t="str">
        <f aca="false">VLOOKUP(A49,All!A:AM,2,0)</f>
        <v>MIDLANDS</v>
      </c>
      <c r="C49" s="22" t="n">
        <f aca="false">VLOOKUP(A49,All!A:AM,11,0)</f>
        <v>45575</v>
      </c>
      <c r="D49" s="23"/>
      <c r="E49" s="24" t="n">
        <f aca="false">VLOOKUP(A49,All!A:AM,30,0)</f>
        <v>71.0687960687961</v>
      </c>
      <c r="F49" s="24" t="n">
        <f aca="false">VLOOKUP(A49,All!A:AM,28,0)</f>
        <v>126.113</v>
      </c>
      <c r="G49" s="24" t="n">
        <f aca="false">VLOOKUP(A49,All!A:AM,31,0)</f>
        <v>58.5022026431718</v>
      </c>
      <c r="H49" s="24" t="n">
        <f aca="false">VLOOKUP(A49,All!A:AM,29,0)</f>
        <v>72.376</v>
      </c>
      <c r="I49" s="25" t="n">
        <f aca="false">VLOOKUP(A49,All!A:AM,33,0)</f>
        <v>67.9113601248069</v>
      </c>
      <c r="J49" s="25" t="n">
        <f aca="false">VLOOKUP(A49,All!A:AM,32,0)</f>
        <v>108.6522</v>
      </c>
      <c r="K49" s="26"/>
      <c r="L49" s="26" t="n">
        <f aca="false">VLOOKUP(A49,All!A:AM,38,0)</f>
        <v>0</v>
      </c>
      <c r="M49" s="28" t="str">
        <f aca="false">VLOOKUP(A49,'SYS Allocations'!A:G,2,0)</f>
        <v>P-Core</v>
      </c>
      <c r="N49" s="28" t="n">
        <f aca="false">VLOOKUP(A49,'SYS Allocations'!A:G,3,0)</f>
        <v>0</v>
      </c>
      <c r="O49" s="28" t="n">
        <f aca="false">VLOOKUP(A49,'SYS Allocations'!A:G,4,0)</f>
        <v>0</v>
      </c>
      <c r="P49" s="28" t="n">
        <f aca="false">VLOOKUP(A49,'SYS Allocations'!A:G,5,0)</f>
        <v>0</v>
      </c>
      <c r="Q49" s="28" t="n">
        <f aca="false">VLOOKUP(A49,'SYS Allocations'!A:G,6,0)</f>
        <v>0</v>
      </c>
      <c r="R49" s="29" t="n">
        <f aca="false">VLOOKUP(A49,'SYS Allocations'!A:G,7,0)</f>
        <v>22</v>
      </c>
      <c r="S49" s="30"/>
    </row>
    <row r="50" customFormat="false" ht="13.15" hidden="true" customHeight="false" outlineLevel="0" collapsed="false">
      <c r="A50" s="32" t="s">
        <v>66</v>
      </c>
      <c r="B50" s="21" t="str">
        <f aca="false">VLOOKUP(A50,All!A:AM,2,0)</f>
        <v>MIDLANDS</v>
      </c>
      <c r="C50" s="22" t="n">
        <f aca="false">VLOOKUP(A50,All!A:AM,11,0)</f>
        <v>45628</v>
      </c>
      <c r="D50" s="23"/>
      <c r="E50" s="24" t="n">
        <f aca="false">VLOOKUP(A50,All!A:AM,30,0)</f>
        <v>67.816091954023</v>
      </c>
      <c r="F50" s="24" t="n">
        <f aca="false">VLOOKUP(A50,All!A:AM,28,0)</f>
        <v>141.482</v>
      </c>
      <c r="G50" s="24" t="n">
        <f aca="false">VLOOKUP(A50,All!A:AM,31,0)</f>
        <v>66.2002743484225</v>
      </c>
      <c r="H50" s="24" t="n">
        <f aca="false">VLOOKUP(A50,All!A:AM,29,0)</f>
        <v>131.5085</v>
      </c>
      <c r="I50" s="25" t="n">
        <f aca="false">VLOOKUP(A50,All!A:AM,33,0)</f>
        <v>30.1582070971845</v>
      </c>
      <c r="J50" s="25" t="n">
        <f aca="false">VLOOKUP(A50,All!A:AM,32,0)</f>
        <v>28.9932800000002</v>
      </c>
      <c r="K50" s="26" t="n">
        <f aca="false">VLOOKUP(A50,All!A:AM,39,0)</f>
        <v>65.4967901234568</v>
      </c>
      <c r="L50" s="26" t="n">
        <f aca="false">VLOOKUP(A50,All!A:AM,38,0)</f>
        <v>265.262</v>
      </c>
      <c r="M50" s="28" t="n">
        <f aca="false">VLOOKUP(A50,'SYS Allocations'!A:G,2,0)</f>
        <v>0</v>
      </c>
      <c r="N50" s="28" t="n">
        <f aca="false">VLOOKUP(A50,'SYS Allocations'!A:G,3,0)</f>
        <v>0</v>
      </c>
      <c r="O50" s="28" t="n">
        <f aca="false">VLOOKUP(A50,'SYS Allocations'!A:G,4,0)</f>
        <v>0</v>
      </c>
      <c r="P50" s="28" t="n">
        <f aca="false">VLOOKUP(A50,'SYS Allocations'!A:G,5,0)</f>
        <v>0</v>
      </c>
      <c r="Q50" s="28" t="n">
        <f aca="false">VLOOKUP(A50,'SYS Allocations'!A:G,6,0)</f>
        <v>0</v>
      </c>
      <c r="R50" s="29" t="n">
        <f aca="false">VLOOKUP(A50,'SYS Allocations'!A:G,7,0)</f>
        <v>7.9</v>
      </c>
      <c r="S50" s="30"/>
    </row>
    <row r="51" customFormat="false" ht="13.15" hidden="true" customHeight="false" outlineLevel="0" collapsed="false">
      <c r="A51" s="32" t="s">
        <v>67</v>
      </c>
      <c r="B51" s="21" t="str">
        <f aca="false">VLOOKUP(A51,All!A:AM,2,0)</f>
        <v>MIDLANDS</v>
      </c>
      <c r="C51" s="22" t="n">
        <f aca="false">VLOOKUP(A51,All!A:AM,11,0)</f>
        <v>45628</v>
      </c>
      <c r="D51" s="23"/>
      <c r="E51" s="24" t="n">
        <f aca="false">VLOOKUP(A51,All!A:AM,30,0)</f>
        <v>65.2037617554859</v>
      </c>
      <c r="F51" s="24" t="n">
        <f aca="false">VLOOKUP(A51,All!A:AM,28,0)</f>
        <v>136.032</v>
      </c>
      <c r="G51" s="24" t="n">
        <f aca="false">VLOOKUP(A51,All!A:AM,31,0)</f>
        <v>63.4567901234568</v>
      </c>
      <c r="H51" s="24" t="n">
        <f aca="false">VLOOKUP(A51,All!A:AM,29,0)</f>
        <v>126.0585</v>
      </c>
      <c r="I51" s="25" t="n">
        <f aca="false">VLOOKUP(A51,All!A:AM,33,0)</f>
        <v>24.4892304005274</v>
      </c>
      <c r="J51" s="25" t="n">
        <f aca="false">VLOOKUP(A51,All!A:AM,32,0)</f>
        <v>23.5432800000002</v>
      </c>
      <c r="K51" s="26"/>
      <c r="L51" s="26"/>
      <c r="M51" s="28" t="n">
        <f aca="false">VLOOKUP(A51,'SYS Allocations'!A:G,2,0)</f>
        <v>0</v>
      </c>
      <c r="N51" s="28" t="n">
        <f aca="false">VLOOKUP(A51,'SYS Allocations'!A:G,3,0)</f>
        <v>0</v>
      </c>
      <c r="O51" s="28" t="n">
        <f aca="false">VLOOKUP(A51,'SYS Allocations'!A:G,4,0)</f>
        <v>0</v>
      </c>
      <c r="P51" s="28" t="n">
        <f aca="false">VLOOKUP(A51,'SYS Allocations'!A:G,5,0)</f>
        <v>0</v>
      </c>
      <c r="Q51" s="28" t="n">
        <f aca="false">VLOOKUP(A51,'SYS Allocations'!A:G,6,0)</f>
        <v>0</v>
      </c>
      <c r="R51" s="29" t="n">
        <f aca="false">VLOOKUP(A51,'SYS Allocations'!A:G,7,0)</f>
        <v>5.9</v>
      </c>
      <c r="S51" s="30"/>
    </row>
    <row r="52" customFormat="false" ht="13.15" hidden="true" customHeight="false" outlineLevel="0" collapsed="false">
      <c r="A52" s="20" t="s">
        <v>68</v>
      </c>
      <c r="B52" s="21" t="str">
        <f aca="false">VLOOKUP(A52,All!A:AM,2,0)</f>
        <v>LONDON</v>
      </c>
      <c r="C52" s="22" t="n">
        <f aca="false">VLOOKUP(A52,All!A:AM,11,0)</f>
        <v>45659</v>
      </c>
      <c r="D52" s="23"/>
      <c r="E52" s="24" t="n">
        <f aca="false">VLOOKUP(A52,All!A:AM,30,0)</f>
        <v>34.1177507491627</v>
      </c>
      <c r="F52" s="24" t="n">
        <f aca="false">VLOOKUP(A52,All!A:AM,28,0)</f>
        <v>33.75512</v>
      </c>
      <c r="G52" s="24" t="n">
        <f aca="false">VLOOKUP(A52,All!A:AM,31,0)</f>
        <v>18.595153825211</v>
      </c>
      <c r="H52" s="24" t="n">
        <f aca="false">VLOOKUP(A52,All!A:AM,29,0)</f>
        <v>14.8894</v>
      </c>
      <c r="I52" s="25" t="n">
        <f aca="false">VLOOKUP(A52,All!A:AM,33,0)</f>
        <v>7.29077772088528</v>
      </c>
      <c r="J52" s="25" t="n">
        <f aca="false">VLOOKUP(A52,All!A:AM,32,0)</f>
        <v>5.12600000000002</v>
      </c>
      <c r="K52" s="26" t="n">
        <f aca="false">VLOOKUP(A52,All!A:AM,39,0)</f>
        <v>53.2745519713262</v>
      </c>
      <c r="L52" s="26" t="n">
        <f aca="false">VLOOKUP(A52,All!A:AM,38,0)</f>
        <v>74.318</v>
      </c>
      <c r="M52" s="28" t="str">
        <f aca="false">VLOOKUP(A52,'SYS Allocations'!A:G,2,0)</f>
        <v>P-Core</v>
      </c>
      <c r="N52" s="28" t="n">
        <f aca="false">VLOOKUP(A52,'SYS Allocations'!A:G,3,0)</f>
        <v>0</v>
      </c>
      <c r="O52" s="28" t="n">
        <f aca="false">VLOOKUP(A52,'SYS Allocations'!A:G,4,0)</f>
        <v>0</v>
      </c>
      <c r="P52" s="28" t="n">
        <f aca="false">VLOOKUP(A52,'SYS Allocations'!A:G,5,0)</f>
        <v>0</v>
      </c>
      <c r="Q52" s="28" t="n">
        <f aca="false">VLOOKUP(A52,'SYS Allocations'!A:G,6,0)</f>
        <v>0</v>
      </c>
      <c r="R52" s="29" t="n">
        <f aca="false">VLOOKUP(A52,'SYS Allocations'!A:G,7,0)</f>
        <v>0</v>
      </c>
      <c r="S52" s="30"/>
    </row>
    <row r="53" customFormat="false" ht="13.15" hidden="true" customHeight="false" outlineLevel="0" collapsed="false">
      <c r="A53" s="20" t="s">
        <v>69</v>
      </c>
      <c r="B53" s="21" t="str">
        <f aca="false">VLOOKUP(A53,All!A:AM,2,0)</f>
        <v>LONDON</v>
      </c>
      <c r="C53" s="22" t="n">
        <f aca="false">VLOOKUP(A53,All!A:AM,11,0)</f>
        <v>45659</v>
      </c>
      <c r="D53" s="23"/>
      <c r="E53" s="24" t="n">
        <f aca="false">VLOOKUP(A53,All!A:AM,30,0)</f>
        <v>65.7465445194471</v>
      </c>
      <c r="F53" s="24" t="n">
        <f aca="false">VLOOKUP(A53,All!A:AM,28,0)</f>
        <v>71.34268</v>
      </c>
      <c r="G53" s="24" t="n">
        <f aca="false">VLOOKUP(A53,All!A:AM,31,0)</f>
        <v>54.1912950026867</v>
      </c>
      <c r="H53" s="24" t="n">
        <f aca="false">VLOOKUP(A53,All!A:AM,29,0)</f>
        <v>43.9706</v>
      </c>
      <c r="I53" s="25" t="n">
        <f aca="false">VLOOKUP(A53,All!A:AM,33,0)</f>
        <v>58.1825750416274</v>
      </c>
      <c r="J53" s="25" t="n">
        <f aca="false">VLOOKUP(A53,All!A:AM,32,0)</f>
        <v>51.7150000000002</v>
      </c>
      <c r="K53" s="26" t="n">
        <f aca="false">VLOOKUP(A53,All!A:AM,39,0)</f>
        <v>73.3555555555556</v>
      </c>
      <c r="L53" s="26" t="n">
        <f aca="false">VLOOKUP(A53,All!A:AM,38,0)</f>
        <v>102.331</v>
      </c>
      <c r="M53" s="28" t="n">
        <f aca="false">VLOOKUP(A53,'SYS Allocations'!A:G,2,0)</f>
        <v>0</v>
      </c>
      <c r="N53" s="28" t="str">
        <f aca="false">VLOOKUP(A53,'SYS Allocations'!A:G,3,0)</f>
        <v>RA</v>
      </c>
      <c r="O53" s="28" t="str">
        <f aca="false">VLOOKUP(A53,'SYS Allocations'!A:G,4,0)</f>
        <v>PX</v>
      </c>
      <c r="P53" s="28" t="n">
        <f aca="false">VLOOKUP(A53,'SYS Allocations'!A:G,5,0)</f>
        <v>0</v>
      </c>
      <c r="Q53" s="28" t="str">
        <f aca="false">VLOOKUP(A53,'SYS Allocations'!A:G,6,0)</f>
        <v>OPEX</v>
      </c>
      <c r="R53" s="29" t="n">
        <f aca="false">VLOOKUP(A53,'SYS Allocations'!A:G,7,0)</f>
        <v>28.6</v>
      </c>
      <c r="S53" s="30"/>
    </row>
    <row r="54" customFormat="false" ht="13.15" hidden="true" customHeight="false" outlineLevel="0" collapsed="false">
      <c r="A54" s="37" t="s">
        <v>70</v>
      </c>
      <c r="B54" s="21" t="str">
        <f aca="false">VLOOKUP(A54,All!A:AM,2,0)</f>
        <v>SOUTH WEST</v>
      </c>
      <c r="C54" s="22" t="n">
        <f aca="false">VLOOKUP(A54,All!A:AM,11,0)</f>
        <v>45659</v>
      </c>
      <c r="D54" s="23"/>
      <c r="E54" s="24" t="n">
        <f aca="false">VLOOKUP(A54,All!A:AM,30,0)</f>
        <v>46.6720779220779</v>
      </c>
      <c r="F54" s="24" t="n">
        <f aca="false">VLOOKUP(A54,All!A:AM,28,0)</f>
        <v>31.3375</v>
      </c>
      <c r="G54" s="24" t="n">
        <f aca="false">VLOOKUP(A54,All!A:AM,31,0)</f>
        <v>27</v>
      </c>
      <c r="H54" s="24" t="n">
        <f aca="false">VLOOKUP(A54,All!A:AM,29,0)</f>
        <v>13.2435</v>
      </c>
      <c r="I54" s="25" t="n">
        <f aca="false">VLOOKUP(A54,All!A:AM,33,0)</f>
        <v>36.3399257552485</v>
      </c>
      <c r="J54" s="25" t="n">
        <f aca="false">VLOOKUP(A54,All!A:AM,32,0)</f>
        <v>20.4399000000001</v>
      </c>
      <c r="K54" s="26" t="n">
        <f aca="false">VLOOKUP(A54,All!A:AM,39,0)</f>
        <v>59.1948717948718</v>
      </c>
      <c r="L54" s="26" t="n">
        <f aca="false">VLOOKUP(A54,All!A:AM,38,0)</f>
        <v>51.9435</v>
      </c>
      <c r="M54" s="28" t="n">
        <f aca="false">VLOOKUP(A54,'SYS Allocations'!A:G,2,0)</f>
        <v>0</v>
      </c>
      <c r="N54" s="28" t="n">
        <f aca="false">VLOOKUP(A54,'SYS Allocations'!A:G,3,0)</f>
        <v>0</v>
      </c>
      <c r="O54" s="28" t="n">
        <f aca="false">VLOOKUP(A54,'SYS Allocations'!A:G,4,0)</f>
        <v>0</v>
      </c>
      <c r="P54" s="28" t="n">
        <f aca="false">VLOOKUP(A54,'SYS Allocations'!A:G,5,0)</f>
        <v>0</v>
      </c>
      <c r="Q54" s="28" t="n">
        <f aca="false">VLOOKUP(A54,'SYS Allocations'!A:G,6,0)</f>
        <v>0</v>
      </c>
      <c r="R54" s="29" t="n">
        <f aca="false">VLOOKUP(A54,'SYS Allocations'!A:G,7,0)</f>
        <v>2.25</v>
      </c>
      <c r="S54" s="30"/>
    </row>
    <row r="55" customFormat="false" ht="13.15" hidden="true" customHeight="false" outlineLevel="0" collapsed="false">
      <c r="A55" s="37" t="s">
        <v>71</v>
      </c>
      <c r="B55" s="21" t="str">
        <f aca="false">VLOOKUP(A55,All!A:AM,2,0)</f>
        <v>SOUTH WEST</v>
      </c>
      <c r="C55" s="22" t="n">
        <f aca="false">VLOOKUP(A55,All!A:AM,11,0)</f>
        <v>45507</v>
      </c>
      <c r="D55" s="23"/>
      <c r="E55" s="24" t="n">
        <f aca="false">VLOOKUP(A55,All!A:AM,30,0)</f>
        <v>40.4348430119478</v>
      </c>
      <c r="F55" s="24" t="n">
        <f aca="false">VLOOKUP(A55,All!A:AM,28,0)</f>
        <v>38.06934</v>
      </c>
      <c r="G55" s="24" t="n">
        <f aca="false">VLOOKUP(A55,All!A:AM,31,0)</f>
        <v>24.3048403707518</v>
      </c>
      <c r="H55" s="24" t="n">
        <f aca="false">VLOOKUP(A55,All!A:AM,29,0)</f>
        <v>18.0068</v>
      </c>
      <c r="I55" s="25" t="n">
        <f aca="false">VLOOKUP(A55,All!A:AM,33,0)</f>
        <v>21.132459160254</v>
      </c>
      <c r="J55" s="25" t="n">
        <f aca="false">VLOOKUP(A55,All!A:AM,32,0)</f>
        <v>15.0267000000002</v>
      </c>
      <c r="K55" s="26" t="n">
        <f aca="false">VLOOKUP(A55,All!A:AM,39,0)</f>
        <v>40.6555555555556</v>
      </c>
      <c r="L55" s="26" t="n">
        <f aca="false">VLOOKUP(A55,All!A:AM,38,0)</f>
        <v>38.4195</v>
      </c>
      <c r="M55" s="28" t="str">
        <f aca="false">VLOOKUP(A55,'SYS Allocations'!A:G,2,0)</f>
        <v>P-Core</v>
      </c>
      <c r="N55" s="28" t="n">
        <f aca="false">VLOOKUP(A55,'SYS Allocations'!A:G,3,0)</f>
        <v>0</v>
      </c>
      <c r="O55" s="28" t="n">
        <f aca="false">VLOOKUP(A55,'SYS Allocations'!A:G,4,0)</f>
        <v>0</v>
      </c>
      <c r="P55" s="28" t="n">
        <f aca="false">VLOOKUP(A55,'SYS Allocations'!A:G,5,0)</f>
        <v>0</v>
      </c>
      <c r="Q55" s="28" t="n">
        <f aca="false">VLOOKUP(A55,'SYS Allocations'!A:G,6,0)</f>
        <v>0</v>
      </c>
      <c r="R55" s="29" t="n">
        <f aca="false">VLOOKUP(A55,'SYS Allocations'!A:G,7,0)</f>
        <v>5</v>
      </c>
      <c r="S55" s="30"/>
    </row>
    <row r="56" customFormat="false" ht="13.15" hidden="true" customHeight="false" outlineLevel="0" collapsed="false">
      <c r="A56" s="37" t="s">
        <v>72</v>
      </c>
      <c r="B56" s="21" t="str">
        <f aca="false">VLOOKUP(A56,All!A:AM,2,0)</f>
        <v>SOUTH WEST</v>
      </c>
      <c r="C56" s="22" t="n">
        <f aca="false">VLOOKUP(A56,All!A:AM,11,0)</f>
        <v>45568</v>
      </c>
      <c r="D56" s="23"/>
      <c r="E56" s="24" t="n">
        <f aca="false">VLOOKUP(A56,All!A:AM,30,0)</f>
        <v>60.8792846497765</v>
      </c>
      <c r="F56" s="24" t="n">
        <f aca="false">VLOOKUP(A56,All!A:AM,28,0)</f>
        <v>53.4318</v>
      </c>
      <c r="G56" s="24" t="n">
        <f aca="false">VLOOKUP(A56,All!A:AM,31,0)</f>
        <v>37.8084896347483</v>
      </c>
      <c r="H56" s="24" t="n">
        <f aca="false">VLOOKUP(A56,All!A:AM,29,0)</f>
        <v>20.8735</v>
      </c>
      <c r="I56" s="25" t="n">
        <f aca="false">VLOOKUP(A56,All!A:AM,33,0)</f>
        <v>61.3710004050224</v>
      </c>
      <c r="J56" s="25" t="n">
        <f aca="false">VLOOKUP(A56,All!A:AM,32,0)</f>
        <v>54.5490000000002</v>
      </c>
      <c r="K56" s="26" t="n">
        <f aca="false">VLOOKUP(A56,All!A:AM,39,0)</f>
        <v>67.7605633802817</v>
      </c>
      <c r="L56" s="26" t="n">
        <f aca="false">VLOOKUP(A56,All!A:AM,38,0)</f>
        <v>72.165</v>
      </c>
      <c r="M56" s="28" t="n">
        <f aca="false">VLOOKUP(A56,'SYS Allocations'!A:G,2,0)</f>
        <v>0</v>
      </c>
      <c r="N56" s="28" t="str">
        <f aca="false">VLOOKUP(A56,'SYS Allocations'!A:G,3,0)</f>
        <v>RA</v>
      </c>
      <c r="O56" s="28" t="str">
        <f aca="false">VLOOKUP(A56,'SYS Allocations'!A:G,4,0)</f>
        <v>PX</v>
      </c>
      <c r="P56" s="28" t="str">
        <f aca="false">VLOOKUP(A56,'SYS Allocations'!A:G,5,0)</f>
        <v>AM</v>
      </c>
      <c r="Q56" s="28" t="str">
        <f aca="false">VLOOKUP(A56,'SYS Allocations'!A:G,6,0)</f>
        <v>OPEX</v>
      </c>
      <c r="R56" s="29" t="n">
        <f aca="false">VLOOKUP(A56,'SYS Allocations'!A:G,7,0)</f>
        <v>42.43</v>
      </c>
      <c r="S56" s="30"/>
    </row>
    <row r="57" customFormat="false" ht="13.15" hidden="true" customHeight="false" outlineLevel="0" collapsed="false">
      <c r="A57" s="20" t="s">
        <v>73</v>
      </c>
      <c r="B57" s="21" t="str">
        <f aca="false">VLOOKUP(A57,All!A:AM,2,0)</f>
        <v>SOUTH</v>
      </c>
      <c r="C57" s="22" t="n">
        <f aca="false">VLOOKUP(A57,All!A:AM,11,0)</f>
        <v>45581</v>
      </c>
      <c r="D57" s="23"/>
      <c r="E57" s="24" t="n">
        <f aca="false">VLOOKUP(A57,All!A:AM,30,0)</f>
        <v>71.3968579234973</v>
      </c>
      <c r="F57" s="24" t="n">
        <f aca="false">VLOOKUP(A57,All!A:AM,28,0)</f>
        <v>36.45832</v>
      </c>
      <c r="G57" s="24" t="n">
        <f aca="false">VLOOKUP(A57,All!A:AM,31,0)</f>
        <v>57.2704081632653</v>
      </c>
      <c r="H57" s="24" t="n">
        <f aca="false">VLOOKUP(A57,All!A:AM,29,0)</f>
        <v>19.5764</v>
      </c>
      <c r="I57" s="25" t="n">
        <f aca="false">VLOOKUP(A57,All!A:AM,33,0)</f>
        <v>68.2235101642996</v>
      </c>
      <c r="J57" s="25" t="n">
        <f aca="false">VLOOKUP(A57,All!A:AM,32,0)</f>
        <v>31.3588</v>
      </c>
      <c r="K57" s="26" t="n">
        <f aca="false">VLOOKUP(A57,All!A:AM,39,0)</f>
        <v>75.6566666666667</v>
      </c>
      <c r="L57" s="26" t="n">
        <f aca="false">VLOOKUP(A57,All!A:AM,38,0)</f>
        <v>45.394</v>
      </c>
      <c r="M57" s="28" t="n">
        <f aca="false">VLOOKUP(A57,'SYS Allocations'!A:G,2,0)</f>
        <v>0</v>
      </c>
      <c r="N57" s="28" t="str">
        <f aca="false">VLOOKUP(A57,'SYS Allocations'!A:G,3,0)</f>
        <v>RA</v>
      </c>
      <c r="O57" s="28" t="n">
        <f aca="false">VLOOKUP(A57,'SYS Allocations'!A:G,4,0)</f>
        <v>0</v>
      </c>
      <c r="P57" s="28" t="n">
        <f aca="false">VLOOKUP(A57,'SYS Allocations'!A:G,5,0)</f>
        <v>0</v>
      </c>
      <c r="Q57" s="28" t="n">
        <f aca="false">VLOOKUP(A57,'SYS Allocations'!A:G,6,0)</f>
        <v>0</v>
      </c>
      <c r="R57" s="29" t="n">
        <f aca="false">VLOOKUP(A57,'SYS Allocations'!A:G,7,0)</f>
        <v>6.9</v>
      </c>
      <c r="S57" s="30"/>
    </row>
    <row r="58" customFormat="false" ht="13.15" hidden="true" customHeight="false" outlineLevel="0" collapsed="false">
      <c r="A58" s="20" t="s">
        <v>74</v>
      </c>
      <c r="B58" s="21" t="str">
        <f aca="false">VLOOKUP(A58,All!A:AM,2,0)</f>
        <v>MIDLANDS</v>
      </c>
      <c r="C58" s="22" t="n">
        <f aca="false">VLOOKUP(A58,All!A:AM,11,0)</f>
        <v>45659</v>
      </c>
      <c r="D58" s="23"/>
      <c r="E58" s="24" t="n">
        <f aca="false">VLOOKUP(A58,All!A:AM,30,0)</f>
        <v>63.4074941451991</v>
      </c>
      <c r="F58" s="24" t="n">
        <f aca="false">VLOOKUP(A58,All!A:AM,28,0)</f>
        <v>7.08282</v>
      </c>
      <c r="G58" s="24" t="n">
        <f aca="false">VLOOKUP(A58,All!A:AM,31,0)</f>
        <v>51.9846350832266</v>
      </c>
      <c r="H58" s="24" t="n">
        <f aca="false">VLOOKUP(A58,All!A:AM,29,0)</f>
        <v>4.4254</v>
      </c>
      <c r="I58" s="25" t="n">
        <f aca="false">VLOOKUP(A58,All!A:AM,33,0)</f>
        <v>54.4009370816598</v>
      </c>
      <c r="J58" s="25" t="n">
        <f aca="false">VLOOKUP(A58,All!A:AM,32,0)</f>
        <v>4.87649999999997</v>
      </c>
      <c r="K58" s="26" t="n">
        <f aca="false">VLOOKUP(A58,All!A:AM,39,0)</f>
        <v>40.7608695652174</v>
      </c>
      <c r="L58" s="26" t="n">
        <f aca="false">VLOOKUP(A58,All!A:AM,38,0)</f>
        <v>2.8125</v>
      </c>
      <c r="M58" s="28" t="n">
        <f aca="false">VLOOKUP(A58,'SYS Allocations'!A:G,2,0)</f>
        <v>0</v>
      </c>
      <c r="N58" s="28" t="n">
        <f aca="false">VLOOKUP(A58,'SYS Allocations'!A:G,3,0)</f>
        <v>0</v>
      </c>
      <c r="O58" s="28" t="n">
        <f aca="false">VLOOKUP(A58,'SYS Allocations'!A:G,4,0)</f>
        <v>0</v>
      </c>
      <c r="P58" s="28" t="n">
        <f aca="false">VLOOKUP(A58,'SYS Allocations'!A:G,5,0)</f>
        <v>0</v>
      </c>
      <c r="Q58" s="28" t="n">
        <f aca="false">VLOOKUP(A58,'SYS Allocations'!A:G,6,0)</f>
        <v>0</v>
      </c>
      <c r="R58" s="29" t="n">
        <f aca="false">VLOOKUP(A58,'SYS Allocations'!A:G,7,0)</f>
        <v>0</v>
      </c>
      <c r="S58" s="30"/>
    </row>
    <row r="59" customFormat="false" ht="13.15" hidden="true" customHeight="false" outlineLevel="0" collapsed="false">
      <c r="A59" s="20" t="s">
        <v>75</v>
      </c>
      <c r="B59" s="21" t="str">
        <f aca="false">VLOOKUP(A59,All!A:AM,2,0)</f>
        <v>SCOTLAND</v>
      </c>
      <c r="C59" s="22" t="n">
        <f aca="false">VLOOKUP(A59,All!A:AM,11,0)</f>
        <v>45659</v>
      </c>
      <c r="D59" s="23"/>
      <c r="E59" s="24" t="n">
        <f aca="false">VLOOKUP(A59,All!A:AM,30,0)</f>
        <v>72.8673345476624</v>
      </c>
      <c r="F59" s="24" t="n">
        <f aca="false">VLOOKUP(A59,All!A:AM,28,0)</f>
        <v>20.93018</v>
      </c>
      <c r="G59" s="24" t="n">
        <f aca="false">VLOOKUP(A59,All!A:AM,31,0)</f>
        <v>57.7922077922078</v>
      </c>
      <c r="H59" s="24" t="n">
        <f aca="false">VLOOKUP(A59,All!A:AM,29,0)</f>
        <v>10.6711</v>
      </c>
      <c r="I59" s="25" t="n">
        <f aca="false">VLOOKUP(A59,All!A:AM,33,0)</f>
        <v>72.2880042100472</v>
      </c>
      <c r="J59" s="25" t="n">
        <f aca="false">VLOOKUP(A59,All!A:AM,32,0)</f>
        <v>20.3297</v>
      </c>
      <c r="K59" s="26" t="n">
        <f aca="false">VLOOKUP(A59,All!A:AM,39,0)</f>
        <v>88.4540740740741</v>
      </c>
      <c r="L59" s="26" t="n">
        <f aca="false">VLOOKUP(A59,All!A:AM,38,0)</f>
        <v>59.7065</v>
      </c>
      <c r="M59" s="28" t="n">
        <f aca="false">VLOOKUP(A59,'SYS Allocations'!A:G,2,0)</f>
        <v>0</v>
      </c>
      <c r="N59" s="28" t="n">
        <f aca="false">VLOOKUP(A59,'SYS Allocations'!A:G,3,0)</f>
        <v>0</v>
      </c>
      <c r="O59" s="28" t="n">
        <f aca="false">VLOOKUP(A59,'SYS Allocations'!A:G,4,0)</f>
        <v>0</v>
      </c>
      <c r="P59" s="28" t="n">
        <f aca="false">VLOOKUP(A59,'SYS Allocations'!A:G,5,0)</f>
        <v>0</v>
      </c>
      <c r="Q59" s="28" t="n">
        <f aca="false">VLOOKUP(A59,'SYS Allocations'!A:G,6,0)</f>
        <v>0</v>
      </c>
      <c r="R59" s="29" t="n">
        <f aca="false">VLOOKUP(A59,'SYS Allocations'!A:G,7,0)</f>
        <v>0.3</v>
      </c>
      <c r="S59" s="30"/>
    </row>
    <row r="60" customFormat="false" ht="13.15" hidden="true" customHeight="false" outlineLevel="0" collapsed="false">
      <c r="A60" s="20" t="s">
        <v>76</v>
      </c>
      <c r="B60" s="21" t="str">
        <f aca="false">VLOOKUP(A60,All!A:AM,2,0)</f>
        <v>NORTHERN IRELAND</v>
      </c>
      <c r="C60" s="22" t="n">
        <f aca="false">VLOOKUP(A60,All!A:AM,11,0)</f>
        <v>45454</v>
      </c>
      <c r="D60" s="23"/>
      <c r="E60" s="24" t="n">
        <f aca="false">VLOOKUP(A60,All!A:AM,30,0)</f>
        <v>91.6666666666667</v>
      </c>
      <c r="F60" s="24" t="n">
        <f aca="false">VLOOKUP(A60,All!A:AM,28,0)</f>
        <v>2.9975</v>
      </c>
      <c r="G60" s="24" t="n">
        <f aca="false">VLOOKUP(A60,All!A:AM,31,0)</f>
        <v>85.7142857142857</v>
      </c>
      <c r="H60" s="24" t="n">
        <f aca="false">VLOOKUP(A60,All!A:AM,29,0)</f>
        <v>1.635</v>
      </c>
      <c r="I60" s="25" t="n">
        <f aca="false">VLOOKUP(A60,All!A:AM,33,0)</f>
        <v>92.4001561802767</v>
      </c>
      <c r="J60" s="25" t="n">
        <f aca="false">VLOOKUP(A60,All!A:AM,32,0)</f>
        <v>3.3131</v>
      </c>
      <c r="K60" s="26" t="n">
        <f aca="false">VLOOKUP(A60,All!A:AM,39,0)</f>
        <v>97.5777777777778</v>
      </c>
      <c r="L60" s="26" t="n">
        <f aca="false">VLOOKUP(A60,All!A:AM,38,0)</f>
        <v>10.9775</v>
      </c>
      <c r="M60" s="28" t="n">
        <f aca="false">VLOOKUP(A60,'SYS Allocations'!A:G,2,0)</f>
        <v>0</v>
      </c>
      <c r="N60" s="28" t="n">
        <f aca="false">VLOOKUP(A60,'SYS Allocations'!A:G,3,0)</f>
        <v>0</v>
      </c>
      <c r="O60" s="28" t="n">
        <f aca="false">VLOOKUP(A60,'SYS Allocations'!A:G,4,0)</f>
        <v>0</v>
      </c>
      <c r="P60" s="28" t="n">
        <f aca="false">VLOOKUP(A60,'SYS Allocations'!A:G,5,0)</f>
        <v>0</v>
      </c>
      <c r="Q60" s="28" t="n">
        <f aca="false">VLOOKUP(A60,'SYS Allocations'!A:G,6,0)</f>
        <v>0</v>
      </c>
      <c r="R60" s="29" t="n">
        <f aca="false">VLOOKUP(A60,'SYS Allocations'!A:G,7,0)</f>
        <v>0</v>
      </c>
      <c r="S60" s="30"/>
    </row>
    <row r="61" customFormat="false" ht="13.15" hidden="true" customHeight="false" outlineLevel="0" collapsed="false">
      <c r="A61" s="20" t="s">
        <v>77</v>
      </c>
      <c r="B61" s="21" t="str">
        <f aca="false">VLOOKUP(A61,All!A:AM,2,0)</f>
        <v>ANGLIA</v>
      </c>
      <c r="C61" s="22" t="n">
        <f aca="false">VLOOKUP(A61,All!A:AM,11,0)</f>
        <v>45397</v>
      </c>
      <c r="D61" s="23"/>
      <c r="E61" s="24" t="n">
        <f aca="false">VLOOKUP(A61,All!A:AM,30,0)</f>
        <v>58.3333333333333</v>
      </c>
      <c r="F61" s="24" t="n">
        <f aca="false">VLOOKUP(A61,All!A:AM,28,0)</f>
        <v>9.5375</v>
      </c>
      <c r="G61" s="24" t="n">
        <f aca="false">VLOOKUP(A61,All!A:AM,31,0)</f>
        <v>36.3867684478371</v>
      </c>
      <c r="H61" s="24" t="n">
        <f aca="false">VLOOKUP(A61,All!A:AM,29,0)</f>
        <v>3.89675</v>
      </c>
      <c r="I61" s="25" t="n">
        <f aca="false">VLOOKUP(A61,All!A:AM,33,0)</f>
        <v>55.0721483591853</v>
      </c>
      <c r="J61" s="25" t="n">
        <f aca="false">VLOOKUP(A61,All!A:AM,32,0)</f>
        <v>8.35069999999999</v>
      </c>
      <c r="K61" s="26" t="n">
        <f aca="false">VLOOKUP(A61,All!A:AM,39,0)</f>
        <v>69.7222222222222</v>
      </c>
      <c r="L61" s="26" t="n">
        <f aca="false">VLOOKUP(A61,All!A:AM,38,0)</f>
        <v>15.6875</v>
      </c>
      <c r="M61" s="28" t="n">
        <f aca="false">VLOOKUP(A61,'SYS Allocations'!A:G,2,0)</f>
        <v>0</v>
      </c>
      <c r="N61" s="28" t="n">
        <f aca="false">VLOOKUP(A61,'SYS Allocations'!A:G,3,0)</f>
        <v>0</v>
      </c>
      <c r="O61" s="28" t="n">
        <f aca="false">VLOOKUP(A61,'SYS Allocations'!A:G,4,0)</f>
        <v>0</v>
      </c>
      <c r="P61" s="28" t="n">
        <f aca="false">VLOOKUP(A61,'SYS Allocations'!A:G,5,0)</f>
        <v>0</v>
      </c>
      <c r="Q61" s="28" t="n">
        <f aca="false">VLOOKUP(A61,'SYS Allocations'!A:G,6,0)</f>
        <v>0</v>
      </c>
      <c r="R61" s="29" t="n">
        <f aca="false">VLOOKUP(A61,'SYS Allocations'!A:G,7,0)</f>
        <v>1</v>
      </c>
      <c r="S61" s="30"/>
    </row>
    <row r="62" customFormat="false" ht="13.15" hidden="true" customHeight="false" outlineLevel="0" collapsed="false">
      <c r="A62" s="20" t="s">
        <v>78</v>
      </c>
      <c r="B62" s="21" t="str">
        <f aca="false">VLOOKUP(A62,All!A:AM,2,0)</f>
        <v>ANGLIA</v>
      </c>
      <c r="C62" s="22" t="n">
        <f aca="false">VLOOKUP(A62,All!A:AM,11,0)</f>
        <v>45342</v>
      </c>
      <c r="D62" s="23"/>
      <c r="E62" s="24" t="n">
        <f aca="false">VLOOKUP(A62,All!A:AM,30,0)</f>
        <v>64.1393442622951</v>
      </c>
      <c r="F62" s="24" t="n">
        <f aca="false">VLOOKUP(A62,All!A:AM,28,0)</f>
        <v>8.18808</v>
      </c>
      <c r="G62" s="24" t="n">
        <f aca="false">VLOOKUP(A62,All!A:AM,31,0)</f>
        <v>51.668584579977</v>
      </c>
      <c r="H62" s="24" t="n">
        <f aca="false">VLOOKUP(A62,All!A:AM,29,0)</f>
        <v>4.8941</v>
      </c>
      <c r="I62" s="25" t="n">
        <f aca="false">VLOOKUP(A62,All!A:AM,33,0)</f>
        <v>54.7127255460587</v>
      </c>
      <c r="J62" s="25" t="n">
        <f aca="false">VLOOKUP(A62,All!A:AM,32,0)</f>
        <v>5.53079999999998</v>
      </c>
      <c r="K62" s="26" t="n">
        <f aca="false">VLOOKUP(A62,All!A:AM,39,0)</f>
        <v>59.3066666666667</v>
      </c>
      <c r="L62" s="26" t="n">
        <f aca="false">VLOOKUP(A62,All!A:AM,38,0)</f>
        <v>6.672</v>
      </c>
      <c r="M62" s="28" t="n">
        <f aca="false">VLOOKUP(A62,'SYS Allocations'!A:G,2,0)</f>
        <v>0</v>
      </c>
      <c r="N62" s="28" t="n">
        <f aca="false">VLOOKUP(A62,'SYS Allocations'!A:G,3,0)</f>
        <v>0</v>
      </c>
      <c r="O62" s="28" t="n">
        <f aca="false">VLOOKUP(A62,'SYS Allocations'!A:G,4,0)</f>
        <v>0</v>
      </c>
      <c r="P62" s="28" t="n">
        <f aca="false">VLOOKUP(A62,'SYS Allocations'!A:G,5,0)</f>
        <v>0</v>
      </c>
      <c r="Q62" s="28" t="n">
        <f aca="false">VLOOKUP(A62,'SYS Allocations'!A:G,6,0)</f>
        <v>0</v>
      </c>
      <c r="R62" s="29" t="n">
        <f aca="false">VLOOKUP(A62,'SYS Allocations'!A:G,7,0)</f>
        <v>0</v>
      </c>
      <c r="S62" s="30"/>
    </row>
    <row r="63" customFormat="false" ht="13.15" hidden="true" customHeight="false" outlineLevel="0" collapsed="false">
      <c r="A63" s="20" t="s">
        <v>79</v>
      </c>
      <c r="B63" s="21" t="str">
        <f aca="false">VLOOKUP(A63,All!A:AM,2,0)</f>
        <v>SOUTH EAST</v>
      </c>
      <c r="C63" s="22" t="n">
        <f aca="false">VLOOKUP(A63,All!A:AM,11,0)</f>
        <v>45565</v>
      </c>
      <c r="D63" s="23"/>
      <c r="E63" s="24" t="n">
        <f aca="false">VLOOKUP(A63,All!A:AM,30,0)</f>
        <v>70.7259953161592</v>
      </c>
      <c r="F63" s="24" t="n">
        <f aca="false">VLOOKUP(A63,All!A:AM,28,0)</f>
        <v>15.80064</v>
      </c>
      <c r="G63" s="24" t="n">
        <f aca="false">VLOOKUP(A63,All!A:AM,31,0)</f>
        <v>53.3799533799534</v>
      </c>
      <c r="H63" s="24" t="n">
        <f aca="false">VLOOKUP(A63,All!A:AM,29,0)</f>
        <v>7.4883</v>
      </c>
      <c r="I63" s="25" t="n">
        <f aca="false">VLOOKUP(A63,All!A:AM,33,0)</f>
        <v>70.02200220022</v>
      </c>
      <c r="J63" s="25" t="n">
        <f aca="false">VLOOKUP(A63,All!A:AM,32,0)</f>
        <v>15.276</v>
      </c>
      <c r="K63" s="26" t="n">
        <f aca="false">VLOOKUP(A63,All!A:AM,39,0)</f>
        <v>61.2444444444444</v>
      </c>
      <c r="L63" s="26" t="n">
        <f aca="false">VLOOKUP(A63,All!A:AM,38,0)</f>
        <v>10.335</v>
      </c>
      <c r="M63" s="28" t="n">
        <f aca="false">VLOOKUP(A63,'SYS Allocations'!A:G,2,0)</f>
        <v>0</v>
      </c>
      <c r="N63" s="28" t="n">
        <f aca="false">VLOOKUP(A63,'SYS Allocations'!A:G,3,0)</f>
        <v>0</v>
      </c>
      <c r="O63" s="28" t="n">
        <f aca="false">VLOOKUP(A63,'SYS Allocations'!A:G,4,0)</f>
        <v>0</v>
      </c>
      <c r="P63" s="28" t="n">
        <f aca="false">VLOOKUP(A63,'SYS Allocations'!A:G,5,0)</f>
        <v>0</v>
      </c>
      <c r="Q63" s="28" t="n">
        <f aca="false">VLOOKUP(A63,'SYS Allocations'!A:G,6,0)</f>
        <v>0</v>
      </c>
      <c r="R63" s="29" t="n">
        <f aca="false">VLOOKUP(A63,'SYS Allocations'!A:G,7,0)</f>
        <v>1</v>
      </c>
      <c r="S63" s="30"/>
    </row>
    <row r="64" customFormat="false" ht="13.15" hidden="true" customHeight="false" outlineLevel="0" collapsed="false">
      <c r="A64" s="20" t="s">
        <v>80</v>
      </c>
      <c r="B64" s="21" t="str">
        <f aca="false">VLOOKUP(A64,All!A:AM,2,0)</f>
        <v>WALES</v>
      </c>
      <c r="C64" s="22" t="n">
        <f aca="false">VLOOKUP(A64,All!A:AM,11,0)</f>
        <v>45659</v>
      </c>
      <c r="D64" s="23"/>
      <c r="E64" s="24" t="n">
        <f aca="false">VLOOKUP(A64,All!A:AM,30,0)</f>
        <v>59.0163934426229</v>
      </c>
      <c r="F64" s="24" t="n">
        <f aca="false">VLOOKUP(A64,All!A:AM,28,0)</f>
        <v>24.48576</v>
      </c>
      <c r="G64" s="24" t="n">
        <f aca="false">VLOOKUP(A64,All!A:AM,31,0)</f>
        <v>43.437273386512</v>
      </c>
      <c r="H64" s="24" t="n">
        <f aca="false">VLOOKUP(A64,All!A:AM,29,0)</f>
        <v>13.0582</v>
      </c>
      <c r="I64" s="25" t="n">
        <f aca="false">VLOOKUP(A64,All!A:AM,33,0)</f>
        <v>52.1736195490752</v>
      </c>
      <c r="J64" s="25" t="n">
        <f aca="false">VLOOKUP(A64,All!A:AM,32,0)</f>
        <v>18.5496</v>
      </c>
      <c r="K64" s="26" t="n">
        <f aca="false">VLOOKUP(A64,All!A:AM,39,0)</f>
        <v>24.4266666666667</v>
      </c>
      <c r="L64" s="26" t="n">
        <f aca="false">VLOOKUP(A64,All!A:AM,38,0)</f>
        <v>5.496</v>
      </c>
      <c r="M64" s="28" t="n">
        <f aca="false">VLOOKUP(A64,'SYS Allocations'!A:G,2,0)</f>
        <v>0</v>
      </c>
      <c r="N64" s="28" t="n">
        <f aca="false">VLOOKUP(A64,'SYS Allocations'!A:G,3,0)</f>
        <v>0</v>
      </c>
      <c r="O64" s="28" t="n">
        <f aca="false">VLOOKUP(A64,'SYS Allocations'!A:G,4,0)</f>
        <v>0</v>
      </c>
      <c r="P64" s="28" t="n">
        <f aca="false">VLOOKUP(A64,'SYS Allocations'!A:G,5,0)</f>
        <v>0</v>
      </c>
      <c r="Q64" s="28" t="n">
        <f aca="false">VLOOKUP(A64,'SYS Allocations'!A:G,6,0)</f>
        <v>0</v>
      </c>
      <c r="R64" s="29" t="n">
        <f aca="false">VLOOKUP(A64,'SYS Allocations'!A:G,7,0)</f>
        <v>3</v>
      </c>
      <c r="S64" s="30"/>
    </row>
    <row r="65" customFormat="false" ht="13.15" hidden="true" customHeight="false" outlineLevel="0" collapsed="false">
      <c r="A65" s="20" t="s">
        <v>81</v>
      </c>
      <c r="B65" s="21" t="str">
        <f aca="false">VLOOKUP(A65,All!A:AM,2,0)</f>
        <v>MIDLANDS</v>
      </c>
      <c r="C65" s="22" t="n">
        <f aca="false">VLOOKUP(A65,All!A:AM,11,0)</f>
        <v>45531</v>
      </c>
      <c r="D65" s="23"/>
      <c r="E65" s="24" t="n">
        <f aca="false">VLOOKUP(A65,All!A:AM,30,0)</f>
        <v>99.146174863388</v>
      </c>
      <c r="F65" s="24" t="n">
        <f aca="false">VLOOKUP(A65,All!A:AM,28,0)</f>
        <v>6.32854</v>
      </c>
      <c r="G65" s="24" t="n">
        <f aca="false">VLOOKUP(A65,All!A:AM,31,0)</f>
        <v>98.7864077669903</v>
      </c>
      <c r="H65" s="24" t="n">
        <f aca="false">VLOOKUP(A65,All!A:AM,29,0)</f>
        <v>4.4363</v>
      </c>
      <c r="I65" s="25" t="n">
        <f aca="false">VLOOKUP(A65,All!A:AM,33,0)</f>
        <v>99.3022267289413</v>
      </c>
      <c r="J65" s="25" t="n">
        <f aca="false">VLOOKUP(A65,All!A:AM,32,0)</f>
        <v>7.75606000000001</v>
      </c>
      <c r="K65" s="26" t="n">
        <f aca="false">VLOOKUP(A65,All!A:AM,39,0)</f>
        <v>99.0916666666667</v>
      </c>
      <c r="L65" s="26" t="n">
        <f aca="false">VLOOKUP(A65,All!A:AM,38,0)</f>
        <v>5.9455</v>
      </c>
      <c r="M65" s="28" t="n">
        <f aca="false">VLOOKUP(A65,'SYS Allocations'!A:G,2,0)</f>
        <v>0</v>
      </c>
      <c r="N65" s="28" t="n">
        <f aca="false">VLOOKUP(A65,'SYS Allocations'!A:G,3,0)</f>
        <v>0</v>
      </c>
      <c r="O65" s="28" t="n">
        <f aca="false">VLOOKUP(A65,'SYS Allocations'!A:G,4,0)</f>
        <v>0</v>
      </c>
      <c r="P65" s="28" t="n">
        <f aca="false">VLOOKUP(A65,'SYS Allocations'!A:G,5,0)</f>
        <v>0</v>
      </c>
      <c r="Q65" s="28" t="n">
        <f aca="false">VLOOKUP(A65,'SYS Allocations'!A:G,6,0)</f>
        <v>0</v>
      </c>
      <c r="R65" s="29" t="n">
        <f aca="false">VLOOKUP(A65,'SYS Allocations'!A:G,7,0)</f>
        <v>0</v>
      </c>
      <c r="S65" s="30"/>
    </row>
    <row r="66" customFormat="false" ht="13.15" hidden="true" customHeight="false" outlineLevel="0" collapsed="false">
      <c r="A66" s="20" t="s">
        <v>82</v>
      </c>
      <c r="B66" s="21" t="str">
        <f aca="false">VLOOKUP(A66,All!A:AM,2,0)</f>
        <v>ANGLIA</v>
      </c>
      <c r="C66" s="22" t="n">
        <f aca="false">VLOOKUP(A66,All!A:AM,11,0)</f>
        <v>45351</v>
      </c>
      <c r="D66" s="23"/>
      <c r="E66" s="24" t="n">
        <f aca="false">VLOOKUP(A66,All!A:AM,30,0)</f>
        <v>53.0965391621129</v>
      </c>
      <c r="F66" s="24" t="n">
        <f aca="false">VLOOKUP(A66,All!A:AM,28,0)</f>
        <v>12.7094</v>
      </c>
      <c r="G66" s="24" t="n">
        <f aca="false">VLOOKUP(A66,All!A:AM,31,0)</f>
        <v>-4020</v>
      </c>
      <c r="H66" s="24" t="n">
        <f aca="false">VLOOKUP(A66,All!A:AM,29,0)</f>
        <v>-10.9545</v>
      </c>
      <c r="I66" s="25" t="n">
        <f aca="false">VLOOKUP(A66,All!A:AM,33,0)</f>
        <v>75.5747876636035</v>
      </c>
      <c r="J66" s="25" t="n">
        <f aca="false">VLOOKUP(A66,All!A:AM,32,0)</f>
        <v>34.7378</v>
      </c>
      <c r="K66" s="26" t="n">
        <f aca="false">VLOOKUP(A66,All!A:AM,39,0)</f>
        <v>31.9575757575758</v>
      </c>
      <c r="L66" s="26" t="n">
        <f aca="false">VLOOKUP(A66,All!A:AM,38,0)</f>
        <v>5.273</v>
      </c>
      <c r="M66" s="28" t="n">
        <f aca="false">VLOOKUP(A66,'SYS Allocations'!A:G,2,0)</f>
        <v>0</v>
      </c>
      <c r="N66" s="28" t="n">
        <f aca="false">VLOOKUP(A66,'SYS Allocations'!A:G,3,0)</f>
        <v>0</v>
      </c>
      <c r="O66" s="28" t="n">
        <f aca="false">VLOOKUP(A66,'SYS Allocations'!A:G,4,0)</f>
        <v>0</v>
      </c>
      <c r="P66" s="28" t="n">
        <f aca="false">VLOOKUP(A66,'SYS Allocations'!A:G,5,0)</f>
        <v>0</v>
      </c>
      <c r="Q66" s="28" t="n">
        <f aca="false">VLOOKUP(A66,'SYS Allocations'!A:G,6,0)</f>
        <v>0</v>
      </c>
      <c r="R66" s="29" t="n">
        <f aca="false">VLOOKUP(A66,'SYS Allocations'!A:G,7,0)</f>
        <v>1.5</v>
      </c>
      <c r="S66" s="30"/>
    </row>
    <row r="67" customFormat="false" ht="13.15" hidden="true" customHeight="false" outlineLevel="0" collapsed="false">
      <c r="A67" s="20" t="s">
        <v>83</v>
      </c>
      <c r="B67" s="21" t="str">
        <f aca="false">VLOOKUP(A67,All!A:AM,2,0)</f>
        <v>NORTH EAST</v>
      </c>
      <c r="C67" s="22" t="n">
        <f aca="false">VLOOKUP(A67,All!A:AM,11,0)</f>
        <v>45659</v>
      </c>
      <c r="D67" s="23"/>
      <c r="E67" s="24" t="n">
        <f aca="false">VLOOKUP(A67,All!A:AM,30,0)</f>
        <v>74.0437158469945</v>
      </c>
      <c r="F67" s="24" t="n">
        <f aca="false">VLOOKUP(A67,All!A:AM,28,0)</f>
        <v>11.8156</v>
      </c>
      <c r="G67" s="24" t="n">
        <f aca="false">VLOOKUP(A67,All!A:AM,31,0)</f>
        <v>71.2121212121212</v>
      </c>
      <c r="H67" s="24" t="n">
        <f aca="false">VLOOKUP(A67,All!A:AM,29,0)</f>
        <v>10.246</v>
      </c>
      <c r="I67" s="25" t="n">
        <f aca="false">VLOOKUP(A67,All!A:AM,33,0)</f>
        <v>52.5348368170151</v>
      </c>
      <c r="J67" s="25" t="n">
        <f aca="false">VLOOKUP(A67,All!A:AM,32,0)</f>
        <v>4.58440000000002</v>
      </c>
      <c r="K67" s="26" t="n">
        <f aca="false">VLOOKUP(A67,All!A:AM,39,0)</f>
        <v>30.9666666666667</v>
      </c>
      <c r="L67" s="26" t="n">
        <f aca="false">VLOOKUP(A67,All!A:AM,38,0)</f>
        <v>1.858</v>
      </c>
      <c r="M67" s="28" t="n">
        <f aca="false">VLOOKUP(A67,'SYS Allocations'!A:G,2,0)</f>
        <v>0</v>
      </c>
      <c r="N67" s="28" t="n">
        <f aca="false">VLOOKUP(A67,'SYS Allocations'!A:G,3,0)</f>
        <v>0</v>
      </c>
      <c r="O67" s="28" t="n">
        <f aca="false">VLOOKUP(A67,'SYS Allocations'!A:G,4,0)</f>
        <v>0</v>
      </c>
      <c r="P67" s="28" t="n">
        <f aca="false">VLOOKUP(A67,'SYS Allocations'!A:G,5,0)</f>
        <v>0</v>
      </c>
      <c r="Q67" s="28" t="n">
        <f aca="false">VLOOKUP(A67,'SYS Allocations'!A:G,6,0)</f>
        <v>0</v>
      </c>
      <c r="R67" s="29" t="n">
        <f aca="false">VLOOKUP(A67,'SYS Allocations'!A:G,7,0)</f>
        <v>0</v>
      </c>
      <c r="S67" s="30"/>
    </row>
    <row r="68" customFormat="false" ht="13.15" hidden="true" customHeight="false" outlineLevel="0" collapsed="false">
      <c r="A68" s="20" t="s">
        <v>84</v>
      </c>
      <c r="B68" s="21" t="str">
        <f aca="false">VLOOKUP(A68,All!A:AM,2,0)</f>
        <v>SOUTH WEST</v>
      </c>
      <c r="C68" s="22" t="n">
        <f aca="false">VLOOKUP(A68,All!A:AM,11,0)</f>
        <v>45659</v>
      </c>
      <c r="D68" s="23"/>
      <c r="E68" s="24" t="n">
        <f aca="false">VLOOKUP(A68,All!A:AM,30,0)</f>
        <v>76.6621129326047</v>
      </c>
      <c r="F68" s="24" t="n">
        <f aca="false">VLOOKUP(A68,All!A:AM,28,0)</f>
        <v>7.34006</v>
      </c>
      <c r="G68" s="24" t="n">
        <f aca="false">VLOOKUP(A68,All!A:AM,31,0)</f>
        <v>59.2445328031809</v>
      </c>
      <c r="H68" s="24" t="n">
        <f aca="false">VLOOKUP(A68,All!A:AM,29,0)</f>
        <v>3.2482</v>
      </c>
      <c r="I68" s="25" t="n">
        <f aca="false">VLOOKUP(A68,All!A:AM,33,0)</f>
        <v>77.895496992719</v>
      </c>
      <c r="J68" s="25" t="n">
        <f aca="false">VLOOKUP(A68,All!A:AM,32,0)</f>
        <v>7.87429999999998</v>
      </c>
      <c r="K68" s="26" t="n">
        <f aca="false">VLOOKUP(A68,All!A:AM,39,0)</f>
        <v>80.1377777777778</v>
      </c>
      <c r="L68" s="26" t="n">
        <f aca="false">VLOOKUP(A68,All!A:AM,38,0)</f>
        <v>9.0155</v>
      </c>
      <c r="M68" s="28" t="n">
        <f aca="false">VLOOKUP(A68,'SYS Allocations'!A:G,2,0)</f>
        <v>0</v>
      </c>
      <c r="N68" s="28" t="n">
        <f aca="false">VLOOKUP(A68,'SYS Allocations'!A:G,3,0)</f>
        <v>0</v>
      </c>
      <c r="O68" s="28" t="n">
        <f aca="false">VLOOKUP(A68,'SYS Allocations'!A:G,4,0)</f>
        <v>0</v>
      </c>
      <c r="P68" s="28" t="n">
        <f aca="false">VLOOKUP(A68,'SYS Allocations'!A:G,5,0)</f>
        <v>0</v>
      </c>
      <c r="Q68" s="28" t="n">
        <f aca="false">VLOOKUP(A68,'SYS Allocations'!A:G,6,0)</f>
        <v>0</v>
      </c>
      <c r="R68" s="29" t="n">
        <f aca="false">VLOOKUP(A68,'SYS Allocations'!A:G,7,0)</f>
        <v>0</v>
      </c>
      <c r="S68" s="30"/>
    </row>
    <row r="69" customFormat="false" ht="13.15" hidden="true" customHeight="false" outlineLevel="0" collapsed="false">
      <c r="A69" s="37" t="s">
        <v>85</v>
      </c>
      <c r="B69" s="21" t="str">
        <f aca="false">VLOOKUP(A69,All!A:AM,2,0)</f>
        <v>LONDON</v>
      </c>
      <c r="C69" s="22" t="n">
        <f aca="false">VLOOKUP(A69,All!A:AM,11,0)</f>
        <v>45211</v>
      </c>
      <c r="D69" s="23"/>
      <c r="E69" s="24" t="n">
        <f aca="false">VLOOKUP(A69,All!A:AM,30,0)</f>
        <v>51.8518518518519</v>
      </c>
      <c r="F69" s="24" t="n">
        <f aca="false">VLOOKUP(A69,All!A:AM,28,0)</f>
        <v>45.78</v>
      </c>
      <c r="G69" s="24" t="n">
        <f aca="false">VLOOKUP(A69,All!A:AM,31,0)</f>
        <v>45.2631578947369</v>
      </c>
      <c r="H69" s="24" t="n">
        <f aca="false">VLOOKUP(A69,All!A:AM,29,0)</f>
        <v>35.1525</v>
      </c>
      <c r="I69" s="25" t="n">
        <f aca="false">VLOOKUP(A69,All!A:AM,33,0)</f>
        <v>20.2893659151253</v>
      </c>
      <c r="J69" s="25" t="n">
        <f aca="false">VLOOKUP(A69,All!A:AM,32,0)</f>
        <v>10.8204</v>
      </c>
      <c r="K69" s="26" t="n">
        <f aca="false">VLOOKUP(A69,All!A:AM,39,0)</f>
        <v>24.6386111111111</v>
      </c>
      <c r="L69" s="26" t="n">
        <f aca="false">VLOOKUP(A69,All!A:AM,38,0)</f>
        <v>44.3495</v>
      </c>
      <c r="M69" s="28" t="str">
        <f aca="false">VLOOKUP(A69,'SYS Allocations'!A:G,2,0)</f>
        <v>P-Core</v>
      </c>
      <c r="N69" s="28" t="n">
        <f aca="false">VLOOKUP(A69,'SYS Allocations'!A:G,3,0)</f>
        <v>0</v>
      </c>
      <c r="O69" s="28" t="n">
        <f aca="false">VLOOKUP(A69,'SYS Allocations'!A:G,4,0)</f>
        <v>0</v>
      </c>
      <c r="P69" s="28" t="n">
        <f aca="false">VLOOKUP(A69,'SYS Allocations'!A:G,5,0)</f>
        <v>0</v>
      </c>
      <c r="Q69" s="28" t="n">
        <f aca="false">VLOOKUP(A69,'SYS Allocations'!A:G,6,0)</f>
        <v>0</v>
      </c>
      <c r="R69" s="29" t="n">
        <f aca="false">VLOOKUP(A69,'SYS Allocations'!A:G,7,0)</f>
        <v>15.5</v>
      </c>
      <c r="S69" s="30"/>
    </row>
    <row r="70" customFormat="false" ht="13.15" hidden="true" customHeight="false" outlineLevel="0" collapsed="false">
      <c r="A70" s="37" t="s">
        <v>86</v>
      </c>
      <c r="B70" s="21" t="str">
        <f aca="false">VLOOKUP(A70,All!A:AM,2,0)</f>
        <v>LONDON</v>
      </c>
      <c r="C70" s="22" t="n">
        <f aca="false">VLOOKUP(A70,All!A:AM,11,0)</f>
        <v>45579</v>
      </c>
      <c r="D70" s="35"/>
      <c r="E70" s="24" t="n">
        <f aca="false">VLOOKUP(A70,All!A:AM,30,0)</f>
        <v>26.7152658662093</v>
      </c>
      <c r="F70" s="24" t="n">
        <f aca="false">VLOOKUP(A70,All!A:AM,28,0)</f>
        <v>33.9535</v>
      </c>
      <c r="G70" s="24" t="n">
        <f aca="false">VLOOKUP(A70,All!A:AM,31,0)</f>
        <v>0.349854227405248</v>
      </c>
      <c r="H70" s="24" t="n">
        <f aca="false">VLOOKUP(A70,All!A:AM,29,0)</f>
        <v>0.327</v>
      </c>
      <c r="I70" s="25" t="n">
        <f aca="false">VLOOKUP(A70,All!A:AM,33,0)</f>
        <v>12.6759784288137</v>
      </c>
      <c r="J70" s="25" t="n">
        <f aca="false">VLOOKUP(A70,All!A:AM,32,0)</f>
        <v>13.5203000000001</v>
      </c>
      <c r="K70" s="26"/>
      <c r="L70" s="26"/>
      <c r="M70" s="28" t="str">
        <f aca="false">VLOOKUP(A70,'SYS Allocations'!A:G,2,0)</f>
        <v>P-Core</v>
      </c>
      <c r="N70" s="28" t="n">
        <f aca="false">VLOOKUP(A70,'SYS Allocations'!A:G,3,0)</f>
        <v>0</v>
      </c>
      <c r="O70" s="28" t="n">
        <f aca="false">VLOOKUP(A70,'SYS Allocations'!A:G,4,0)</f>
        <v>0</v>
      </c>
      <c r="P70" s="28" t="n">
        <f aca="false">VLOOKUP(A70,'SYS Allocations'!A:G,5,0)</f>
        <v>0</v>
      </c>
      <c r="Q70" s="28" t="n">
        <f aca="false">VLOOKUP(A70,'SYS Allocations'!A:G,6,0)</f>
        <v>0</v>
      </c>
      <c r="R70" s="29" t="n">
        <f aca="false">VLOOKUP(A70,'SYS Allocations'!A:G,7,0)</f>
        <v>1.5</v>
      </c>
      <c r="S70" s="30"/>
    </row>
    <row r="71" customFormat="false" ht="13.15" hidden="true" customHeight="false" outlineLevel="0" collapsed="false">
      <c r="A71" s="20" t="s">
        <v>87</v>
      </c>
      <c r="B71" s="21" t="str">
        <f aca="false">VLOOKUP(A71,All!A:AM,2,0)</f>
        <v>LONDON</v>
      </c>
      <c r="C71" s="22" t="n">
        <f aca="false">VLOOKUP(A71,All!A:AM,11,0)</f>
        <v>45492</v>
      </c>
      <c r="D71" s="35"/>
      <c r="E71" s="24" t="n">
        <f aca="false">VLOOKUP(A71,All!A:AM,30,0)</f>
        <v>71.7788323267184</v>
      </c>
      <c r="F71" s="24" t="n">
        <f aca="false">VLOOKUP(A71,All!A:AM,28,0)</f>
        <v>43.52588</v>
      </c>
      <c r="G71" s="24" t="n">
        <f aca="false">VLOOKUP(A71,All!A:AM,31,0)</f>
        <v>60.2933737986849</v>
      </c>
      <c r="H71" s="24" t="n">
        <f aca="false">VLOOKUP(A71,All!A:AM,29,0)</f>
        <v>25.9856</v>
      </c>
      <c r="I71" s="25" t="n">
        <f aca="false">VLOOKUP(A71,All!A:AM,33,0)</f>
        <v>67.9113601248069</v>
      </c>
      <c r="J71" s="25" t="n">
        <f aca="false">VLOOKUP(A71,All!A:AM,32,0)</f>
        <v>36.2174</v>
      </c>
      <c r="K71" s="26" t="n">
        <f aca="false">VLOOKUP(A71,All!A:AM,39,0)</f>
        <v>82.6376590330789</v>
      </c>
      <c r="L71" s="26" t="n">
        <f aca="false">VLOOKUP(A71,All!A:AM,38,0)</f>
        <v>162.383</v>
      </c>
      <c r="M71" s="28" t="n">
        <f aca="false">VLOOKUP(A71,'SYS Allocations'!A:G,2,0)</f>
        <v>0</v>
      </c>
      <c r="N71" s="28" t="str">
        <f aca="false">VLOOKUP(A71,'SYS Allocations'!A:G,3,0)</f>
        <v>RA</v>
      </c>
      <c r="O71" s="28" t="str">
        <f aca="false">VLOOKUP(A71,'SYS Allocations'!A:G,4,0)</f>
        <v>PX</v>
      </c>
      <c r="P71" s="28" t="n">
        <f aca="false">VLOOKUP(A71,'SYS Allocations'!A:G,5,0)</f>
        <v>0</v>
      </c>
      <c r="Q71" s="28" t="str">
        <f aca="false">VLOOKUP(A71,'SYS Allocations'!A:G,6,0)</f>
        <v>OPEX</v>
      </c>
      <c r="R71" s="29" t="n">
        <f aca="false">VLOOKUP(A71,'SYS Allocations'!A:G,7,0)</f>
        <v>8.25</v>
      </c>
      <c r="S71" s="30"/>
    </row>
    <row r="72" customFormat="false" ht="13.15" hidden="true" customHeight="false" outlineLevel="0" collapsed="false">
      <c r="A72" s="20" t="s">
        <v>88</v>
      </c>
      <c r="B72" s="21" t="str">
        <f aca="false">VLOOKUP(A72,All!A:AM,2,0)</f>
        <v>LONDON</v>
      </c>
      <c r="C72" s="22" t="n">
        <f aca="false">VLOOKUP(A72,All!A:AM,11,0)</f>
        <v>45492</v>
      </c>
      <c r="D72" s="35"/>
      <c r="E72" s="24" t="n">
        <f aca="false">VLOOKUP(A72,All!A:AM,30,0)</f>
        <v>71.9585849870578</v>
      </c>
      <c r="F72" s="24" t="n">
        <f aca="false">VLOOKUP(A72,All!A:AM,28,0)</f>
        <v>43.63488</v>
      </c>
      <c r="G72" s="24" t="n">
        <f aca="false">VLOOKUP(A72,All!A:AM,31,0)</f>
        <v>60.546282245827</v>
      </c>
      <c r="H72" s="24" t="n">
        <f aca="false">VLOOKUP(A72,All!A:AM,29,0)</f>
        <v>26.0946</v>
      </c>
      <c r="I72" s="25" t="n">
        <f aca="false">VLOOKUP(A72,All!A:AM,33,0)</f>
        <v>68.1157463660501</v>
      </c>
      <c r="J72" s="25" t="n">
        <f aca="false">VLOOKUP(A72,All!A:AM,32,0)</f>
        <v>36.3264</v>
      </c>
      <c r="K72" s="26"/>
      <c r="L72" s="26"/>
      <c r="M72" s="28" t="n">
        <f aca="false">VLOOKUP(A72,'SYS Allocations'!A:G,2,0)</f>
        <v>0</v>
      </c>
      <c r="N72" s="28" t="n">
        <f aca="false">VLOOKUP(A72,'SYS Allocations'!A:G,3,0)</f>
        <v>0</v>
      </c>
      <c r="O72" s="28" t="n">
        <f aca="false">VLOOKUP(A72,'SYS Allocations'!A:G,4,0)</f>
        <v>0</v>
      </c>
      <c r="P72" s="28" t="n">
        <f aca="false">VLOOKUP(A72,'SYS Allocations'!A:G,5,0)</f>
        <v>0</v>
      </c>
      <c r="Q72" s="28" t="n">
        <f aca="false">VLOOKUP(A72,'SYS Allocations'!A:G,6,0)</f>
        <v>0</v>
      </c>
      <c r="R72" s="29" t="n">
        <f aca="false">VLOOKUP(A72,'SYS Allocations'!A:G,7,0)</f>
        <v>8.25</v>
      </c>
      <c r="S72" s="30"/>
    </row>
    <row r="73" customFormat="false" ht="13.15" hidden="true" customHeight="false" outlineLevel="0" collapsed="false">
      <c r="A73" s="33" t="s">
        <v>89</v>
      </c>
      <c r="B73" s="21" t="str">
        <f aca="false">VLOOKUP(A73,All!A:AM,2,0)</f>
        <v>SOUTH WEST</v>
      </c>
      <c r="C73" s="22" t="n">
        <f aca="false">VLOOKUP(A73,All!A:AM,11,0)</f>
        <v>45659</v>
      </c>
      <c r="D73" s="35"/>
      <c r="E73" s="24" t="n">
        <f aca="false">VLOOKUP(A73,All!A:AM,30,0)</f>
        <v>92.9684988749598</v>
      </c>
      <c r="F73" s="24" t="n">
        <f aca="false">VLOOKUP(A73,All!A:AM,28,0)</f>
        <v>25.22042</v>
      </c>
      <c r="G73" s="24" t="n">
        <f aca="false">VLOOKUP(A73,All!A:AM,31,0)</f>
        <v>91.6307986609278</v>
      </c>
      <c r="H73" s="24" t="n">
        <f aca="false">VLOOKUP(A73,All!A:AM,29,0)</f>
        <v>20.8844</v>
      </c>
      <c r="I73" s="25" t="n">
        <f aca="false">VLOOKUP(A73,All!A:AM,33,0)</f>
        <v>89.0434013417884</v>
      </c>
      <c r="J73" s="25" t="n">
        <f aca="false">VLOOKUP(A73,All!A:AM,32,0)</f>
        <v>15.5021</v>
      </c>
      <c r="K73" s="26" t="n">
        <f aca="false">VLOOKUP(A73,All!A:AM,39,0)</f>
        <v>98.3044444444444</v>
      </c>
      <c r="L73" s="26" t="n">
        <f aca="false">VLOOKUP(A73,All!A:AM,38,0)</f>
        <v>110.5925</v>
      </c>
      <c r="M73" s="28" t="n">
        <f aca="false">VLOOKUP(A73,'SYS Allocations'!A:G,2,0)</f>
        <v>0</v>
      </c>
      <c r="N73" s="28" t="n">
        <f aca="false">VLOOKUP(A73,'SYS Allocations'!A:G,3,0)</f>
        <v>0</v>
      </c>
      <c r="O73" s="28" t="n">
        <f aca="false">VLOOKUP(A73,'SYS Allocations'!A:G,4,0)</f>
        <v>0</v>
      </c>
      <c r="P73" s="28" t="str">
        <f aca="false">VLOOKUP(A73,'SYS Allocations'!A:G,5,0)</f>
        <v>AM</v>
      </c>
      <c r="Q73" s="28" t="n">
        <f aca="false">VLOOKUP(A73,'SYS Allocations'!A:G,6,0)</f>
        <v>0</v>
      </c>
      <c r="R73" s="29" t="n">
        <f aca="false">VLOOKUP(A73,'SYS Allocations'!A:G,7,0)</f>
        <v>6.8</v>
      </c>
      <c r="S73" s="30"/>
    </row>
    <row r="74" customFormat="false" ht="13.15" hidden="true" customHeight="false" outlineLevel="0" collapsed="false">
      <c r="A74" s="33" t="s">
        <v>90</v>
      </c>
      <c r="B74" s="21" t="str">
        <f aca="false">VLOOKUP(A74,All!A:AM,2,0)</f>
        <v>SOUTH WEST</v>
      </c>
      <c r="C74" s="22" t="n">
        <f aca="false">VLOOKUP(A74,All!A:AM,11,0)</f>
        <v>45659</v>
      </c>
      <c r="D74" s="35"/>
      <c r="E74" s="24" t="n">
        <f aca="false">VLOOKUP(A74,All!A:AM,30,0)</f>
        <v>87.5441980070717</v>
      </c>
      <c r="F74" s="24" t="n">
        <f aca="false">VLOOKUP(A74,All!A:AM,28,0)</f>
        <v>23.74892</v>
      </c>
      <c r="G74" s="24" t="n">
        <f aca="false">VLOOKUP(A74,All!A:AM,31,0)</f>
        <v>85.1745576279292</v>
      </c>
      <c r="H74" s="24" t="n">
        <f aca="false">VLOOKUP(A74,All!A:AM,29,0)</f>
        <v>19.4129</v>
      </c>
      <c r="I74" s="25" t="n">
        <f aca="false">VLOOKUP(A74,All!A:AM,33,0)</f>
        <v>80.5911680911681</v>
      </c>
      <c r="J74" s="25" t="n">
        <f aca="false">VLOOKUP(A74,All!A:AM,32,0)</f>
        <v>14.0306</v>
      </c>
      <c r="K74" s="26" t="n">
        <f aca="false">VLOOKUP(A74,All!A:AM,39,0)</f>
        <v>96.9964444444444</v>
      </c>
      <c r="L74" s="26" t="n">
        <f aca="false">VLOOKUP(A74,All!A:AM,38,0)</f>
        <v>109.121</v>
      </c>
      <c r="M74" s="28" t="n">
        <f aca="false">VLOOKUP(A74,'SYS Allocations'!A:G,2,0)</f>
        <v>0</v>
      </c>
      <c r="N74" s="28" t="n">
        <f aca="false">VLOOKUP(A74,'SYS Allocations'!A:G,3,0)</f>
        <v>0</v>
      </c>
      <c r="O74" s="28" t="n">
        <f aca="false">VLOOKUP(A74,'SYS Allocations'!A:G,4,0)</f>
        <v>0</v>
      </c>
      <c r="P74" s="28" t="n">
        <f aca="false">VLOOKUP(A74,'SYS Allocations'!A:G,5,0)</f>
        <v>0</v>
      </c>
      <c r="Q74" s="28" t="n">
        <f aca="false">VLOOKUP(A74,'SYS Allocations'!A:G,6,0)</f>
        <v>0</v>
      </c>
      <c r="R74" s="29" t="n">
        <f aca="false">VLOOKUP(A74,'SYS Allocations'!A:G,7,0)</f>
        <v>6.8</v>
      </c>
      <c r="S74" s="30"/>
    </row>
    <row r="75" customFormat="false" ht="13.15" hidden="true" customHeight="false" outlineLevel="0" collapsed="false">
      <c r="A75" s="32" t="s">
        <v>91</v>
      </c>
      <c r="B75" s="21" t="str">
        <f aca="false">VLOOKUP(A75,All!A:AM,2,0)</f>
        <v>MIDLANDS</v>
      </c>
      <c r="C75" s="22" t="n">
        <f aca="false">VLOOKUP(A75,All!A:AM,11,0)</f>
        <v>45659</v>
      </c>
      <c r="D75" s="23"/>
      <c r="E75" s="24" t="n">
        <f aca="false">VLOOKUP(A75,All!A:AM,30,0)</f>
        <v>66.5289256198347</v>
      </c>
      <c r="F75" s="24" t="n">
        <f aca="false">VLOOKUP(A75,All!A:AM,28,0)</f>
        <v>35.098</v>
      </c>
      <c r="G75" s="24" t="n">
        <f aca="false">VLOOKUP(A75,All!A:AM,31,0)</f>
        <v>46.8852459016394</v>
      </c>
      <c r="H75" s="24" t="n">
        <f aca="false">VLOOKUP(A75,All!A:AM,29,0)</f>
        <v>15.587</v>
      </c>
      <c r="I75" s="25" t="n">
        <f aca="false">VLOOKUP(A75,All!A:AM,33,0)</f>
        <v>66.8894289185905</v>
      </c>
      <c r="J75" s="25" t="n">
        <f aca="false">VLOOKUP(A75,All!A:AM,32,0)</f>
        <v>35.6724</v>
      </c>
      <c r="K75" s="26" t="n">
        <f aca="false">VLOOKUP(A75,All!A:AM,39,0)</f>
        <v>63.6666666666667</v>
      </c>
      <c r="L75" s="26" t="n">
        <f aca="false">VLOOKUP(A75,All!A:AM,38,0)</f>
        <v>57.3</v>
      </c>
      <c r="M75" s="28" t="n">
        <f aca="false">VLOOKUP(A75,'SYS Allocations'!A:G,2,0)</f>
        <v>0</v>
      </c>
      <c r="N75" s="28" t="n">
        <f aca="false">VLOOKUP(A75,'SYS Allocations'!A:G,3,0)</f>
        <v>0</v>
      </c>
      <c r="O75" s="28" t="n">
        <f aca="false">VLOOKUP(A75,'SYS Allocations'!A:G,4,0)</f>
        <v>0</v>
      </c>
      <c r="P75" s="28" t="n">
        <f aca="false">VLOOKUP(A75,'SYS Allocations'!A:G,5,0)</f>
        <v>0</v>
      </c>
      <c r="Q75" s="28" t="str">
        <f aca="false">VLOOKUP(A75,'SYS Allocations'!A:G,6,0)</f>
        <v>OPEX</v>
      </c>
      <c r="R75" s="29" t="n">
        <f aca="false">VLOOKUP(A75,'SYS Allocations'!A:G,7,0)</f>
        <v>10.35</v>
      </c>
      <c r="S75" s="30"/>
    </row>
    <row r="76" customFormat="false" ht="13.15" hidden="true" customHeight="false" outlineLevel="0" collapsed="false">
      <c r="A76" s="32" t="s">
        <v>92</v>
      </c>
      <c r="B76" s="21" t="str">
        <f aca="false">VLOOKUP(A76,All!A:AM,2,0)</f>
        <v>MIDLANDS</v>
      </c>
      <c r="C76" s="22" t="n">
        <f aca="false">VLOOKUP(A76,All!A:AM,11,0)</f>
        <v>45659</v>
      </c>
      <c r="D76" s="23"/>
      <c r="E76" s="24" t="n">
        <f aca="false">VLOOKUP(A76,All!A:AM,30,0)</f>
        <v>71.4876033057851</v>
      </c>
      <c r="F76" s="24" t="n">
        <f aca="false">VLOOKUP(A76,All!A:AM,28,0)</f>
        <v>37.714</v>
      </c>
      <c r="G76" s="24" t="n">
        <f aca="false">VLOOKUP(A76,All!A:AM,31,0)</f>
        <v>54.7540983606557</v>
      </c>
      <c r="H76" s="24" t="n">
        <f aca="false">VLOOKUP(A76,All!A:AM,29,0)</f>
        <v>18.203</v>
      </c>
      <c r="I76" s="25" t="n">
        <f aca="false">VLOOKUP(A76,All!A:AM,33,0)</f>
        <v>71.794698708429</v>
      </c>
      <c r="J76" s="25" t="n">
        <f aca="false">VLOOKUP(A76,All!A:AM,32,0)</f>
        <v>38.2884</v>
      </c>
      <c r="K76" s="26"/>
      <c r="L76" s="26"/>
      <c r="M76" s="28"/>
      <c r="N76" s="28"/>
      <c r="O76" s="28"/>
      <c r="P76" s="28"/>
      <c r="Q76" s="28"/>
      <c r="R76" s="29" t="n">
        <f aca="false">VLOOKUP(A76,'SYS Allocations'!A:G,7,0)</f>
        <v>10.35</v>
      </c>
      <c r="S76" s="30"/>
    </row>
    <row r="77" customFormat="false" ht="13.15" hidden="true" customHeight="false" outlineLevel="0" collapsed="false">
      <c r="A77" s="20" t="s">
        <v>93</v>
      </c>
      <c r="B77" s="21" t="str">
        <f aca="false">VLOOKUP(A77,All!A:AM,2,0)</f>
        <v>THAMES VALLEY</v>
      </c>
      <c r="C77" s="22" t="n">
        <f aca="false">VLOOKUP(A77,All!A:AM,11,0)</f>
        <v>45659</v>
      </c>
      <c r="D77" s="23"/>
      <c r="E77" s="24" t="n">
        <f aca="false">VLOOKUP(A77,All!A:AM,30,0)</f>
        <v>70.4761904761905</v>
      </c>
      <c r="F77" s="24" t="n">
        <f aca="false">VLOOKUP(A77,All!A:AM,28,0)</f>
        <v>8.066</v>
      </c>
      <c r="G77" s="24" t="n">
        <f aca="false">VLOOKUP(A77,All!A:AM,31,0)</f>
        <v>64.6723646723647</v>
      </c>
      <c r="H77" s="24" t="n">
        <f aca="false">VLOOKUP(A77,All!A:AM,29,0)</f>
        <v>6.18575</v>
      </c>
      <c r="I77" s="25" t="n">
        <f aca="false">VLOOKUP(A77,All!A:AM,33,0)</f>
        <v>62.3047746541721</v>
      </c>
      <c r="J77" s="25" t="n">
        <f aca="false">VLOOKUP(A77,All!A:AM,32,0)</f>
        <v>5.58499999999997</v>
      </c>
      <c r="K77" s="26" t="n">
        <f aca="false">VLOOKUP(A77,All!A:AM,39,0)</f>
        <v>67.8190476190476</v>
      </c>
      <c r="L77" s="26" t="n">
        <f aca="false">VLOOKUP(A77,All!A:AM,38,0)</f>
        <v>7.121</v>
      </c>
      <c r="M77" s="28" t="n">
        <f aca="false">VLOOKUP(A77,'SYS Allocations'!A:G,2,0)</f>
        <v>0</v>
      </c>
      <c r="N77" s="28" t="n">
        <f aca="false">VLOOKUP(A77,'SYS Allocations'!A:G,3,0)</f>
        <v>0</v>
      </c>
      <c r="O77" s="28" t="n">
        <f aca="false">VLOOKUP(A77,'SYS Allocations'!A:G,4,0)</f>
        <v>0</v>
      </c>
      <c r="P77" s="28" t="n">
        <f aca="false">VLOOKUP(A77,'SYS Allocations'!A:G,5,0)</f>
        <v>0</v>
      </c>
      <c r="Q77" s="28" t="n">
        <f aca="false">VLOOKUP(A77,'SYS Allocations'!A:G,6,0)</f>
        <v>0</v>
      </c>
      <c r="R77" s="29" t="n">
        <f aca="false">VLOOKUP(A77,'SYS Allocations'!A:G,7,0)</f>
        <v>0</v>
      </c>
      <c r="S77" s="30"/>
    </row>
    <row r="78" customFormat="false" ht="13.15" hidden="true" customHeight="false" outlineLevel="0" collapsed="false">
      <c r="A78" s="20" t="s">
        <v>94</v>
      </c>
      <c r="B78" s="21" t="str">
        <f aca="false">VLOOKUP(A78,All!A:AM,2,0)</f>
        <v>NORTH WEST</v>
      </c>
      <c r="C78" s="22" t="n">
        <f aca="false">VLOOKUP(A78,All!A:AM,11,0)</f>
        <v>45659</v>
      </c>
      <c r="D78" s="23"/>
      <c r="E78" s="24" t="n">
        <f aca="false">VLOOKUP(A78,All!A:AM,30,0)</f>
        <v>47.4897540983607</v>
      </c>
      <c r="F78" s="24" t="n">
        <f aca="false">VLOOKUP(A78,All!A:AM,28,0)</f>
        <v>6.06258</v>
      </c>
      <c r="G78" s="24" t="n">
        <f aca="false">VLOOKUP(A78,All!A:AM,31,0)</f>
        <v>29.228998849252</v>
      </c>
      <c r="H78" s="24" t="n">
        <f aca="false">VLOOKUP(A78,All!A:AM,29,0)</f>
        <v>2.7686</v>
      </c>
      <c r="I78" s="25" t="n">
        <f aca="false">VLOOKUP(A78,All!A:AM,33,0)</f>
        <v>33.6864909781574</v>
      </c>
      <c r="J78" s="25" t="n">
        <f aca="false">VLOOKUP(A78,All!A:AM,32,0)</f>
        <v>3.40529999999998</v>
      </c>
      <c r="K78" s="26" t="n">
        <f aca="false">VLOOKUP(A78,All!A:AM,39,0)</f>
        <v>77.655</v>
      </c>
      <c r="L78" s="26" t="n">
        <f aca="false">VLOOKUP(A78,All!A:AM,38,0)</f>
        <v>23.2965</v>
      </c>
      <c r="M78" s="28" t="n">
        <f aca="false">VLOOKUP(A78,'SYS Allocations'!A:G,2,0)</f>
        <v>0</v>
      </c>
      <c r="N78" s="28" t="n">
        <f aca="false">VLOOKUP(A78,'SYS Allocations'!A:G,3,0)</f>
        <v>0</v>
      </c>
      <c r="O78" s="28" t="n">
        <f aca="false">VLOOKUP(A78,'SYS Allocations'!A:G,4,0)</f>
        <v>0</v>
      </c>
      <c r="P78" s="28" t="n">
        <f aca="false">VLOOKUP(A78,'SYS Allocations'!A:G,5,0)</f>
        <v>0</v>
      </c>
      <c r="Q78" s="28" t="n">
        <f aca="false">VLOOKUP(A78,'SYS Allocations'!A:G,6,0)</f>
        <v>0</v>
      </c>
      <c r="R78" s="29" t="n">
        <f aca="false">VLOOKUP(A78,'SYS Allocations'!A:G,7,0)</f>
        <v>1</v>
      </c>
      <c r="S78" s="30"/>
    </row>
    <row r="79" customFormat="false" ht="13.15" hidden="true" customHeight="false" outlineLevel="0" collapsed="false">
      <c r="A79" s="33" t="s">
        <v>95</v>
      </c>
      <c r="B79" s="21" t="str">
        <f aca="false">VLOOKUP(A79,All!A:AM,2,0)</f>
        <v>SOUTH WEST</v>
      </c>
      <c r="C79" s="22" t="n">
        <f aca="false">VLOOKUP(A79,All!A:AM,11,0)</f>
        <v>45659</v>
      </c>
      <c r="D79" s="23"/>
      <c r="E79" s="24" t="n">
        <f aca="false">VLOOKUP(A79,All!A:AM,30,0)</f>
        <v>87.6195355191257</v>
      </c>
      <c r="F79" s="24" t="n">
        <f aca="false">VLOOKUP(A79,All!A:AM,28,0)</f>
        <v>22.37116</v>
      </c>
      <c r="G79" s="24" t="n">
        <f aca="false">VLOOKUP(A79,All!A:AM,31,0)</f>
        <v>84.8008385744235</v>
      </c>
      <c r="H79" s="24" t="n">
        <f aca="false">VLOOKUP(A79,All!A:AM,29,0)</f>
        <v>17.6362</v>
      </c>
      <c r="I79" s="25" t="n">
        <f aca="false">VLOOKUP(A79,All!A:AM,33,0)</f>
        <v>81.8433507949637</v>
      </c>
      <c r="J79" s="25" t="n">
        <f aca="false">VLOOKUP(A79,All!A:AM,32,0)</f>
        <v>14.2486</v>
      </c>
      <c r="K79" s="26" t="n">
        <f aca="false">VLOOKUP(A79,All!A:AM,39,0)</f>
        <v>89.320202020202</v>
      </c>
      <c r="L79" s="26" t="n">
        <f aca="false">VLOOKUP(A79,All!A:AM,38,0)</f>
        <v>44.2135</v>
      </c>
      <c r="M79" s="28" t="n">
        <f aca="false">VLOOKUP(A79,'SYS Allocations'!A:G,2,0)</f>
        <v>0</v>
      </c>
      <c r="N79" s="28" t="n">
        <f aca="false">VLOOKUP(A79,'SYS Allocations'!A:G,3,0)</f>
        <v>0</v>
      </c>
      <c r="O79" s="28" t="n">
        <f aca="false">VLOOKUP(A79,'SYS Allocations'!A:G,4,0)</f>
        <v>0</v>
      </c>
      <c r="P79" s="28" t="str">
        <f aca="false">VLOOKUP(A79,'SYS Allocations'!A:G,5,0)</f>
        <v>AM</v>
      </c>
      <c r="Q79" s="28" t="n">
        <f aca="false">VLOOKUP(A79,'SYS Allocations'!A:G,6,0)</f>
        <v>0</v>
      </c>
      <c r="R79" s="29" t="n">
        <f aca="false">VLOOKUP(A79,'SYS Allocations'!A:G,7,0)</f>
        <v>6.75</v>
      </c>
      <c r="S79" s="30"/>
    </row>
    <row r="80" customFormat="false" ht="13.15" hidden="true" customHeight="false" outlineLevel="0" collapsed="false">
      <c r="A80" s="33" t="s">
        <v>96</v>
      </c>
      <c r="B80" s="21" t="str">
        <f aca="false">VLOOKUP(A80,All!A:AM,2,0)</f>
        <v>SOUTH WEST</v>
      </c>
      <c r="C80" s="22" t="n">
        <f aca="false">VLOOKUP(A80,All!A:AM,11,0)</f>
        <v>45659</v>
      </c>
      <c r="D80" s="23"/>
      <c r="E80" s="24" t="n">
        <f aca="false">VLOOKUP(A80,All!A:AM,30,0)</f>
        <v>91.6752049180328</v>
      </c>
      <c r="F80" s="24" t="n">
        <f aca="false">VLOOKUP(A80,All!A:AM,28,0)</f>
        <v>23.40666</v>
      </c>
      <c r="G80" s="24" t="n">
        <f aca="false">VLOOKUP(A80,All!A:AM,31,0)</f>
        <v>89.7798742138365</v>
      </c>
      <c r="H80" s="24" t="n">
        <f aca="false">VLOOKUP(A80,All!A:AM,29,0)</f>
        <v>18.6717</v>
      </c>
      <c r="I80" s="25" t="n">
        <f aca="false">VLOOKUP(A80,All!A:AM,33,0)</f>
        <v>87.7912186379928</v>
      </c>
      <c r="J80" s="25" t="n">
        <f aca="false">VLOOKUP(A80,All!A:AM,32,0)</f>
        <v>15.2841</v>
      </c>
      <c r="K80" s="26" t="n">
        <f aca="false">VLOOKUP(A80,All!A:AM,39,0)</f>
        <v>0</v>
      </c>
      <c r="L80" s="26" t="n">
        <f aca="false">VLOOKUP(A80,All!A:AM,38,0)</f>
        <v>0</v>
      </c>
      <c r="M80" s="28" t="n">
        <f aca="false">VLOOKUP(A80,'SYS Allocations'!A:G,2,0)</f>
        <v>0</v>
      </c>
      <c r="N80" s="28" t="n">
        <f aca="false">VLOOKUP(A80,'SYS Allocations'!A:G,3,0)</f>
        <v>0</v>
      </c>
      <c r="O80" s="28" t="n">
        <f aca="false">VLOOKUP(A80,'SYS Allocations'!A:G,4,0)</f>
        <v>0</v>
      </c>
      <c r="P80" s="28" t="n">
        <f aca="false">VLOOKUP(A80,'SYS Allocations'!A:G,5,0)</f>
        <v>0</v>
      </c>
      <c r="Q80" s="28" t="n">
        <f aca="false">VLOOKUP(A80,'SYS Allocations'!A:G,6,0)</f>
        <v>0</v>
      </c>
      <c r="R80" s="29" t="n">
        <f aca="false">VLOOKUP(A80,'SYS Allocations'!A:G,7,0)</f>
        <v>6.75</v>
      </c>
      <c r="S80" s="30"/>
    </row>
    <row r="81" customFormat="false" ht="13.15" hidden="true" customHeight="false" outlineLevel="0" collapsed="false">
      <c r="A81" s="20" t="s">
        <v>97</v>
      </c>
      <c r="B81" s="21" t="str">
        <f aca="false">VLOOKUP(A81,All!A:AM,2,0)</f>
        <v>NORTH WEST</v>
      </c>
      <c r="C81" s="22" t="n">
        <f aca="false">VLOOKUP(A81,All!A:AM,11,0)</f>
        <v>45583</v>
      </c>
      <c r="D81" s="23"/>
      <c r="E81" s="24" t="n">
        <f aca="false">VLOOKUP(A81,All!A:AM,30,0)</f>
        <v>73.8636363636364</v>
      </c>
      <c r="F81" s="24" t="n">
        <f aca="false">VLOOKUP(A81,All!A:AM,28,0)</f>
        <v>17.7125</v>
      </c>
      <c r="G81" s="24" t="n">
        <f aca="false">VLOOKUP(A81,All!A:AM,31,0)</f>
        <v>73.3178654292343</v>
      </c>
      <c r="H81" s="24" t="n">
        <f aca="false">VLOOKUP(A81,All!A:AM,29,0)</f>
        <v>17.222</v>
      </c>
      <c r="I81" s="25" t="n">
        <f aca="false">VLOOKUP(A81,All!A:AM,33,0)</f>
        <v>37.9995647356756</v>
      </c>
      <c r="J81" s="25" t="n">
        <f aca="false">VLOOKUP(A81,All!A:AM,32,0)</f>
        <v>3.84129999999998</v>
      </c>
      <c r="K81" s="26" t="n">
        <f aca="false">VLOOKUP(A81,All!A:AM,39,0)</f>
        <v>62.8592592592593</v>
      </c>
      <c r="L81" s="26" t="n">
        <f aca="false">VLOOKUP(A81,All!A:AM,38,0)</f>
        <v>10.6075</v>
      </c>
      <c r="M81" s="28" t="n">
        <f aca="false">VLOOKUP(A81,'SYS Allocations'!A:G,2,0)</f>
        <v>0</v>
      </c>
      <c r="N81" s="28" t="n">
        <f aca="false">VLOOKUP(A81,'SYS Allocations'!A:G,3,0)</f>
        <v>0</v>
      </c>
      <c r="O81" s="28" t="n">
        <f aca="false">VLOOKUP(A81,'SYS Allocations'!A:G,4,0)</f>
        <v>0</v>
      </c>
      <c r="P81" s="28" t="n">
        <f aca="false">VLOOKUP(A81,'SYS Allocations'!A:G,5,0)</f>
        <v>0</v>
      </c>
      <c r="Q81" s="28" t="n">
        <f aca="false">VLOOKUP(A81,'SYS Allocations'!A:G,6,0)</f>
        <v>0</v>
      </c>
      <c r="R81" s="29" t="n">
        <f aca="false">VLOOKUP(A81,'SYS Allocations'!A:G,7,0)</f>
        <v>0</v>
      </c>
      <c r="S81" s="30"/>
    </row>
    <row r="82" customFormat="false" ht="13.15" hidden="true" customHeight="false" outlineLevel="0" collapsed="false">
      <c r="A82" s="20" t="s">
        <v>98</v>
      </c>
      <c r="B82" s="21" t="str">
        <f aca="false">VLOOKUP(A82,All!A:AM,2,0)</f>
        <v>NORTH WEST</v>
      </c>
      <c r="C82" s="22" t="n">
        <f aca="false">VLOOKUP(A82,All!A:AM,11,0)</f>
        <v>45659</v>
      </c>
      <c r="D82" s="23"/>
      <c r="E82" s="24" t="n">
        <f aca="false">VLOOKUP(A82,All!A:AM,30,0)</f>
        <v>68.6595949855352</v>
      </c>
      <c r="F82" s="24" t="n">
        <f aca="false">VLOOKUP(A82,All!A:AM,28,0)</f>
        <v>18.62592</v>
      </c>
      <c r="G82" s="24" t="n">
        <f aca="false">VLOOKUP(A82,All!A:AM,31,0)</f>
        <v>68.9984101748808</v>
      </c>
      <c r="H82" s="24" t="n">
        <f aca="false">VLOOKUP(A82,All!A:AM,29,0)</f>
        <v>18.9224</v>
      </c>
      <c r="I82" s="25" t="n">
        <f aca="false">VLOOKUP(A82,All!A:AM,33,0)</f>
        <v>15.8950617283949</v>
      </c>
      <c r="J82" s="25" t="n">
        <f aca="false">VLOOKUP(A82,All!A:AM,32,0)</f>
        <v>1.60679999999998</v>
      </c>
      <c r="K82" s="26" t="n">
        <f aca="false">VLOOKUP(A82,All!A:AM,39,0)</f>
        <v>54.656</v>
      </c>
      <c r="L82" s="26" t="n">
        <f aca="false">VLOOKUP(A82,All!A:AM,38,0)</f>
        <v>10.248</v>
      </c>
      <c r="M82" s="28" t="n">
        <f aca="false">VLOOKUP(A82,'SYS Allocations'!A:G,2,0)</f>
        <v>0</v>
      </c>
      <c r="N82" s="28" t="str">
        <f aca="false">VLOOKUP(A82,'SYS Allocations'!A:G,3,0)</f>
        <v>RA</v>
      </c>
      <c r="O82" s="28" t="n">
        <f aca="false">VLOOKUP(A82,'SYS Allocations'!A:G,4,0)</f>
        <v>0</v>
      </c>
      <c r="P82" s="28" t="n">
        <f aca="false">VLOOKUP(A82,'SYS Allocations'!A:G,5,0)</f>
        <v>0</v>
      </c>
      <c r="Q82" s="28" t="n">
        <f aca="false">VLOOKUP(A82,'SYS Allocations'!A:G,6,0)</f>
        <v>0</v>
      </c>
      <c r="R82" s="29" t="n">
        <f aca="false">VLOOKUP(A82,'SYS Allocations'!A:G,7,0)</f>
        <v>4</v>
      </c>
      <c r="S82" s="30"/>
    </row>
    <row r="83" customFormat="false" ht="13.15" hidden="true" customHeight="false" outlineLevel="0" collapsed="false">
      <c r="A83" s="20" t="s">
        <v>99</v>
      </c>
      <c r="B83" s="21" t="str">
        <f aca="false">VLOOKUP(A83,All!A:AM,2,0)</f>
        <v>LONDON</v>
      </c>
      <c r="C83" s="22" t="n">
        <f aca="false">VLOOKUP(A83,All!A:AM,11,0)</f>
        <v>45392</v>
      </c>
      <c r="D83" s="23"/>
      <c r="E83" s="24" t="n">
        <f aca="false">VLOOKUP(A83,All!A:AM,30,0)</f>
        <v>50.6172839506173</v>
      </c>
      <c r="F83" s="24" t="n">
        <f aca="false">VLOOKUP(A83,All!A:AM,28,0)</f>
        <v>44.69</v>
      </c>
      <c r="G83" s="24" t="n">
        <f aca="false">VLOOKUP(A83,All!A:AM,31,0)</f>
        <v>34.6938775510204</v>
      </c>
      <c r="H83" s="24" t="n">
        <f aca="false">VLOOKUP(A83,All!A:AM,29,0)</f>
        <v>23.1625</v>
      </c>
      <c r="I83" s="25" t="n">
        <f aca="false">VLOOKUP(A83,All!A:AM,33,0)</f>
        <v>37.9871422882176</v>
      </c>
      <c r="J83" s="25" t="n">
        <f aca="false">VLOOKUP(A83,All!A:AM,32,0)</f>
        <v>26.708</v>
      </c>
      <c r="K83" s="26" t="n">
        <f aca="false">VLOOKUP(A83,All!A:AM,39,0)</f>
        <v>39.4444444444444</v>
      </c>
      <c r="L83" s="26" t="n">
        <f aca="false">VLOOKUP(A83,All!A:AM,38,0)</f>
        <v>28.4</v>
      </c>
      <c r="M83" s="28" t="n">
        <f aca="false">VLOOKUP(A83,'SYS Allocations'!A:G,2,0)</f>
        <v>0</v>
      </c>
      <c r="N83" s="28" t="n">
        <f aca="false">VLOOKUP(A83,'SYS Allocations'!A:G,3,0)</f>
        <v>0</v>
      </c>
      <c r="O83" s="28" t="n">
        <f aca="false">VLOOKUP(A83,'SYS Allocations'!A:G,4,0)</f>
        <v>0</v>
      </c>
      <c r="P83" s="28" t="n">
        <f aca="false">VLOOKUP(A83,'SYS Allocations'!A:G,5,0)</f>
        <v>0</v>
      </c>
      <c r="Q83" s="28" t="n">
        <f aca="false">VLOOKUP(A83,'SYS Allocations'!A:G,6,0)</f>
        <v>0</v>
      </c>
      <c r="R83" s="29" t="n">
        <f aca="false">VLOOKUP(A83,'SYS Allocations'!A:G,7,0)</f>
        <v>3</v>
      </c>
      <c r="S83" s="30"/>
    </row>
    <row r="84" customFormat="false" ht="13.15" hidden="true" customHeight="false" outlineLevel="0" collapsed="false">
      <c r="A84" s="20" t="s">
        <v>100</v>
      </c>
      <c r="B84" s="21" t="str">
        <f aca="false">VLOOKUP(A84,All!A:AM,2,0)</f>
        <v>MIDLANDS</v>
      </c>
      <c r="C84" s="22" t="n">
        <f aca="false">VLOOKUP(A84,All!A:AM,11,0)</f>
        <v>45261</v>
      </c>
      <c r="D84" s="23"/>
      <c r="E84" s="24" t="n">
        <f aca="false">VLOOKUP(A84,All!A:AM,30,0)</f>
        <v>65.8469945355191</v>
      </c>
      <c r="F84" s="24" t="n">
        <f aca="false">VLOOKUP(A84,All!A:AM,28,0)</f>
        <v>18.91368</v>
      </c>
      <c r="G84" s="24" t="n">
        <f aca="false">VLOOKUP(A84,All!A:AM,31,0)</f>
        <v>58.6776859504132</v>
      </c>
      <c r="H84" s="24" t="n">
        <f aca="false">VLOOKUP(A84,All!A:AM,29,0)</f>
        <v>13.9302</v>
      </c>
      <c r="I84" s="25" t="n">
        <f aca="false">VLOOKUP(A84,All!A:AM,33,0)</f>
        <v>60.7800805987335</v>
      </c>
      <c r="J84" s="25" t="n">
        <f aca="false">VLOOKUP(A84,All!A:AM,32,0)</f>
        <v>15.2028</v>
      </c>
      <c r="K84" s="26" t="n">
        <f aca="false">VLOOKUP(A84,All!A:AM,39,0)</f>
        <v>69.5813953488372</v>
      </c>
      <c r="L84" s="26" t="n">
        <f aca="false">VLOOKUP(A84,All!A:AM,38,0)</f>
        <v>22.44</v>
      </c>
      <c r="M84" s="28" t="n">
        <f aca="false">VLOOKUP(A84,'SYS Allocations'!A:G,2,0)</f>
        <v>0</v>
      </c>
      <c r="N84" s="28" t="n">
        <f aca="false">VLOOKUP(A84,'SYS Allocations'!A:G,3,0)</f>
        <v>0</v>
      </c>
      <c r="O84" s="28" t="n">
        <f aca="false">VLOOKUP(A84,'SYS Allocations'!A:G,4,0)</f>
        <v>0</v>
      </c>
      <c r="P84" s="28" t="n">
        <f aca="false">VLOOKUP(A84,'SYS Allocations'!A:G,5,0)</f>
        <v>0</v>
      </c>
      <c r="Q84" s="28" t="n">
        <f aca="false">VLOOKUP(A84,'SYS Allocations'!A:G,6,0)</f>
        <v>0</v>
      </c>
      <c r="R84" s="29" t="n">
        <f aca="false">VLOOKUP(A84,'SYS Allocations'!A:G,7,0)</f>
        <v>1</v>
      </c>
      <c r="S84" s="30"/>
    </row>
    <row r="85" customFormat="false" ht="13.15" hidden="true" customHeight="false" outlineLevel="0" collapsed="false">
      <c r="A85" s="20" t="s">
        <v>101</v>
      </c>
      <c r="B85" s="21" t="str">
        <f aca="false">VLOOKUP(A85,All!A:AM,2,0)</f>
        <v>THAMES VALLEY</v>
      </c>
      <c r="C85" s="22" t="n">
        <f aca="false">VLOOKUP(A85,All!A:AM,11,0)</f>
        <v>45659</v>
      </c>
      <c r="D85" s="23"/>
      <c r="E85" s="24" t="n">
        <f aca="false">VLOOKUP(A85,All!A:AM,30,0)</f>
        <v>77.5974025974026</v>
      </c>
      <c r="F85" s="24" t="n">
        <f aca="false">VLOOKUP(A85,All!A:AM,28,0)</f>
        <v>13.0255</v>
      </c>
      <c r="G85" s="24" t="n">
        <f aca="false">VLOOKUP(A85,All!A:AM,31,0)</f>
        <v>74.2882694887465</v>
      </c>
      <c r="H85" s="24" t="n">
        <f aca="false">VLOOKUP(A85,All!A:AM,29,0)</f>
        <v>10.86512</v>
      </c>
      <c r="I85" s="25" t="n">
        <f aca="false">VLOOKUP(A85,All!A:AM,33,0)</f>
        <v>71.4126071884693</v>
      </c>
      <c r="J85" s="25" t="n">
        <f aca="false">VLOOKUP(A85,All!A:AM,32,0)</f>
        <v>9.39390000000001</v>
      </c>
      <c r="K85" s="26" t="n">
        <f aca="false">VLOOKUP(A85,All!A:AM,39,0)</f>
        <v>91.6433333333333</v>
      </c>
      <c r="L85" s="26" t="n">
        <f aca="false">VLOOKUP(A85,All!A:AM,38,0)</f>
        <v>41.2395</v>
      </c>
      <c r="M85" s="28" t="n">
        <f aca="false">VLOOKUP(A85,'SYS Allocations'!A:G,2,0)</f>
        <v>0</v>
      </c>
      <c r="N85" s="28" t="n">
        <f aca="false">VLOOKUP(A85,'SYS Allocations'!A:G,3,0)</f>
        <v>0</v>
      </c>
      <c r="O85" s="28" t="n">
        <f aca="false">VLOOKUP(A85,'SYS Allocations'!A:G,4,0)</f>
        <v>0</v>
      </c>
      <c r="P85" s="28" t="n">
        <f aca="false">VLOOKUP(A85,'SYS Allocations'!A:G,5,0)</f>
        <v>0</v>
      </c>
      <c r="Q85" s="28" t="n">
        <f aca="false">VLOOKUP(A85,'SYS Allocations'!A:G,6,0)</f>
        <v>0</v>
      </c>
      <c r="R85" s="29" t="n">
        <f aca="false">VLOOKUP(A85,'SYS Allocations'!A:G,7,0)</f>
        <v>4.9</v>
      </c>
      <c r="S85" s="30"/>
    </row>
    <row r="86" customFormat="false" ht="13.15" hidden="true" customHeight="false" outlineLevel="0" collapsed="false">
      <c r="A86" s="37" t="s">
        <v>102</v>
      </c>
      <c r="B86" s="21" t="str">
        <f aca="false">VLOOKUP(A86,All!A:AM,2,0)</f>
        <v>SCOTLAND</v>
      </c>
      <c r="C86" s="22" t="n">
        <f aca="false">VLOOKUP(A86,All!A:AM,11,0)</f>
        <v>45659</v>
      </c>
      <c r="D86" s="23"/>
      <c r="E86" s="24" t="n">
        <f aca="false">VLOOKUP(A86,All!A:AM,30,0)</f>
        <v>43.8914910226386</v>
      </c>
      <c r="F86" s="24" t="n">
        <f aca="false">VLOOKUP(A86,All!A:AM,28,0)</f>
        <v>4.90282</v>
      </c>
      <c r="G86" s="24" t="n">
        <f aca="false">VLOOKUP(A86,All!A:AM,31,0)</f>
        <v>45.5492424242424</v>
      </c>
      <c r="H86" s="24" t="n">
        <f aca="false">VLOOKUP(A86,All!A:AM,29,0)</f>
        <v>5.2429</v>
      </c>
      <c r="I86" s="25" t="n">
        <f aca="false">VLOOKUP(A86,All!A:AM,33,0)</f>
        <v>46.3854329199855</v>
      </c>
      <c r="J86" s="25" t="n">
        <f aca="false">VLOOKUP(A86,All!A:AM,32,0)</f>
        <v>5.42241999999997</v>
      </c>
      <c r="K86" s="26" t="n">
        <f aca="false">VLOOKUP(A86,All!A:AM,39,0)</f>
        <v>40.3095238095238</v>
      </c>
      <c r="L86" s="26" t="n">
        <f aca="false">VLOOKUP(A86,All!A:AM,38,0)</f>
        <v>4.2325</v>
      </c>
      <c r="M86" s="28" t="n">
        <f aca="false">VLOOKUP(A86,'SYS Allocations'!A:G,2,0)</f>
        <v>0</v>
      </c>
      <c r="N86" s="28" t="n">
        <f aca="false">VLOOKUP(A86,'SYS Allocations'!A:G,3,0)</f>
        <v>0</v>
      </c>
      <c r="O86" s="28" t="n">
        <f aca="false">VLOOKUP(A86,'SYS Allocations'!A:G,4,0)</f>
        <v>0</v>
      </c>
      <c r="P86" s="28" t="n">
        <f aca="false">VLOOKUP(A86,'SYS Allocations'!A:G,5,0)</f>
        <v>0</v>
      </c>
      <c r="Q86" s="28" t="n">
        <f aca="false">VLOOKUP(A86,'SYS Allocations'!A:G,6,0)</f>
        <v>0</v>
      </c>
      <c r="R86" s="29" t="n">
        <f aca="false">VLOOKUP(A86,'SYS Allocations'!A:G,7,0)</f>
        <v>1</v>
      </c>
      <c r="S86" s="30"/>
    </row>
    <row r="87" customFormat="false" ht="13.15" hidden="true" customHeight="false" outlineLevel="0" collapsed="false">
      <c r="A87" s="37" t="s">
        <v>103</v>
      </c>
      <c r="B87" s="21" t="str">
        <f aca="false">VLOOKUP(A87,All!A:AM,2,0)</f>
        <v>SCOTLAND</v>
      </c>
      <c r="C87" s="22" t="n">
        <f aca="false">VLOOKUP(A87,All!A:AM,11,0)</f>
        <v>45387</v>
      </c>
      <c r="D87" s="35"/>
      <c r="E87" s="24" t="n">
        <f aca="false">VLOOKUP(A87,All!A:AM,30,0)</f>
        <v>68.1818181818182</v>
      </c>
      <c r="F87" s="24" t="n">
        <f aca="false">VLOOKUP(A87,All!A:AM,28,0)</f>
        <v>3.27</v>
      </c>
      <c r="G87" s="24" t="n">
        <f aca="false">VLOOKUP(A87,All!A:AM,31,0)</f>
        <v>65</v>
      </c>
      <c r="H87" s="24" t="n">
        <f aca="false">VLOOKUP(A87,All!A:AM,29,0)</f>
        <v>2.834</v>
      </c>
      <c r="I87" s="25" t="n">
        <f aca="false">VLOOKUP(A87,All!A:AM,33,0)</f>
        <v>45.9876543209877</v>
      </c>
      <c r="J87" s="25" t="n">
        <f aca="false">VLOOKUP(A87,All!A:AM,32,0)</f>
        <v>1.29928</v>
      </c>
      <c r="K87" s="26" t="n">
        <f aca="false">VLOOKUP(A87,All!A:AM,39,0)</f>
        <v>79.6533333333333</v>
      </c>
      <c r="L87" s="26" t="n">
        <f aca="false">VLOOKUP(A87,All!A:AM,38,0)</f>
        <v>5.974</v>
      </c>
      <c r="M87" s="28" t="n">
        <f aca="false">VLOOKUP(A87,'SYS Allocations'!A:G,2,0)</f>
        <v>0</v>
      </c>
      <c r="N87" s="28" t="n">
        <f aca="false">VLOOKUP(A87,'SYS Allocations'!A:G,3,0)</f>
        <v>0</v>
      </c>
      <c r="O87" s="28" t="n">
        <f aca="false">VLOOKUP(A87,'SYS Allocations'!A:G,4,0)</f>
        <v>0</v>
      </c>
      <c r="P87" s="28" t="n">
        <f aca="false">VLOOKUP(A87,'SYS Allocations'!A:G,5,0)</f>
        <v>0</v>
      </c>
      <c r="Q87" s="28" t="n">
        <f aca="false">VLOOKUP(A87,'SYS Allocations'!A:G,6,0)</f>
        <v>0</v>
      </c>
      <c r="R87" s="29" t="n">
        <f aca="false">VLOOKUP(A87,'SYS Allocations'!A:G,7,0)</f>
        <v>0</v>
      </c>
      <c r="S87" s="30"/>
    </row>
    <row r="88" customFormat="false" ht="13.15" hidden="true" customHeight="false" outlineLevel="0" collapsed="false">
      <c r="A88" s="20" t="s">
        <v>104</v>
      </c>
      <c r="B88" s="21" t="str">
        <f aca="false">VLOOKUP(A88,All!A:AM,2,0)</f>
        <v>NORTH WEST</v>
      </c>
      <c r="C88" s="22" t="n">
        <f aca="false">VLOOKUP(A88,All!A:AM,11,0)</f>
        <v>45659</v>
      </c>
      <c r="D88" s="23"/>
      <c r="E88" s="24" t="n">
        <f aca="false">VLOOKUP(A88,All!A:AM,30,0)</f>
        <v>76.3333333333333</v>
      </c>
      <c r="F88" s="24" t="n">
        <f aca="false">VLOOKUP(A88,All!A:AM,28,0)</f>
        <v>12.4805</v>
      </c>
      <c r="G88" s="24" t="n">
        <f aca="false">VLOOKUP(A88,All!A:AM,31,0)</f>
        <v>76.8729641693811</v>
      </c>
      <c r="H88" s="24" t="n">
        <f aca="false">VLOOKUP(A88,All!A:AM,29,0)</f>
        <v>12.862</v>
      </c>
      <c r="I88" s="25" t="n">
        <f aca="false">VLOOKUP(A88,All!A:AM,33,0)</f>
        <v>41.3797387046733</v>
      </c>
      <c r="J88" s="25" t="n">
        <f aca="false">VLOOKUP(A88,All!A:AM,32,0)</f>
        <v>2.73146000000001</v>
      </c>
      <c r="K88" s="26" t="n">
        <f aca="false">VLOOKUP(A88,All!A:AM,39,0)</f>
        <v>48.4066666666667</v>
      </c>
      <c r="L88" s="26" t="n">
        <f aca="false">VLOOKUP(A88,All!A:AM,38,0)</f>
        <v>3.6305</v>
      </c>
      <c r="M88" s="28" t="n">
        <f aca="false">VLOOKUP(A88,'SYS Allocations'!A:G,2,0)</f>
        <v>0</v>
      </c>
      <c r="N88" s="28" t="n">
        <f aca="false">VLOOKUP(A88,'SYS Allocations'!A:G,3,0)</f>
        <v>0</v>
      </c>
      <c r="O88" s="28" t="n">
        <f aca="false">VLOOKUP(A88,'SYS Allocations'!A:G,4,0)</f>
        <v>0</v>
      </c>
      <c r="P88" s="28" t="n">
        <f aca="false">VLOOKUP(A88,'SYS Allocations'!A:G,5,0)</f>
        <v>0</v>
      </c>
      <c r="Q88" s="28" t="n">
        <f aca="false">VLOOKUP(A88,'SYS Allocations'!A:G,6,0)</f>
        <v>0</v>
      </c>
      <c r="R88" s="29" t="n">
        <f aca="false">VLOOKUP(A88,'SYS Allocations'!A:G,7,0)</f>
        <v>0</v>
      </c>
      <c r="S88" s="30"/>
    </row>
    <row r="89" customFormat="false" ht="13.15" hidden="true" customHeight="false" outlineLevel="0" collapsed="false">
      <c r="A89" s="20" t="s">
        <v>105</v>
      </c>
      <c r="B89" s="21" t="str">
        <f aca="false">VLOOKUP(A89,All!A:AM,2,0)</f>
        <v>NORTH EAST</v>
      </c>
      <c r="C89" s="22" t="n">
        <f aca="false">VLOOKUP(A89,All!A:AM,11,0)</f>
        <v>45316</v>
      </c>
      <c r="D89" s="23"/>
      <c r="E89" s="24" t="n">
        <f aca="false">VLOOKUP(A89,All!A:AM,30,0)</f>
        <v>70</v>
      </c>
      <c r="F89" s="24" t="n">
        <f aca="false">VLOOKUP(A89,All!A:AM,28,0)</f>
        <v>6.104</v>
      </c>
      <c r="G89" s="24" t="n">
        <f aca="false">VLOOKUP(A89,All!A:AM,31,0)</f>
        <v>75.2577319587629</v>
      </c>
      <c r="H89" s="24" t="n">
        <f aca="false">VLOOKUP(A89,All!A:AM,29,0)</f>
        <v>7.957</v>
      </c>
      <c r="I89" s="25" t="n">
        <f aca="false">VLOOKUP(A89,All!A:AM,33,0)</f>
        <v>49.537037037037</v>
      </c>
      <c r="J89" s="25" t="n">
        <f aca="false">VLOOKUP(A89,All!A:AM,32,0)</f>
        <v>2.568</v>
      </c>
      <c r="K89" s="26" t="n">
        <f aca="false">VLOOKUP(A89,All!A:AM,39,0)</f>
        <v>76.7466666666667</v>
      </c>
      <c r="L89" s="26" t="n">
        <f aca="false">VLOOKUP(A89,All!A:AM,38,0)</f>
        <v>8.634</v>
      </c>
      <c r="M89" s="28" t="n">
        <f aca="false">VLOOKUP(A89,'SYS Allocations'!A:G,2,0)</f>
        <v>0</v>
      </c>
      <c r="N89" s="28" t="n">
        <f aca="false">VLOOKUP(A89,'SYS Allocations'!A:G,3,0)</f>
        <v>0</v>
      </c>
      <c r="O89" s="28" t="n">
        <f aca="false">VLOOKUP(A89,'SYS Allocations'!A:G,4,0)</f>
        <v>0</v>
      </c>
      <c r="P89" s="28" t="n">
        <f aca="false">VLOOKUP(A89,'SYS Allocations'!A:G,5,0)</f>
        <v>0</v>
      </c>
      <c r="Q89" s="28" t="n">
        <f aca="false">VLOOKUP(A89,'SYS Allocations'!A:G,6,0)</f>
        <v>0</v>
      </c>
      <c r="R89" s="29" t="n">
        <f aca="false">VLOOKUP(A89,'SYS Allocations'!A:G,7,0)</f>
        <v>0</v>
      </c>
      <c r="S89" s="30"/>
    </row>
    <row r="90" customFormat="false" ht="13.15" hidden="true" customHeight="false" outlineLevel="0" collapsed="false">
      <c r="A90" s="20" t="s">
        <v>106</v>
      </c>
      <c r="B90" s="21" t="str">
        <f aca="false">VLOOKUP(A90,All!A:AM,2,0)</f>
        <v>LONDON</v>
      </c>
      <c r="C90" s="22" t="n">
        <f aca="false">VLOOKUP(A90,All!A:AM,11,0)</f>
        <v>45398</v>
      </c>
      <c r="D90" s="23"/>
      <c r="E90" s="24" t="n">
        <f aca="false">VLOOKUP(A90,All!A:AM,30,0)</f>
        <v>42.7937158469945</v>
      </c>
      <c r="F90" s="24" t="n">
        <f aca="false">VLOOKUP(A90,All!A:AM,28,0)</f>
        <v>38.24156</v>
      </c>
      <c r="G90" s="24" t="n">
        <f aca="false">VLOOKUP(A90,All!A:AM,31,0)</f>
        <v>24.9359795134443</v>
      </c>
      <c r="H90" s="24" t="n">
        <f aca="false">VLOOKUP(A90,All!A:AM,29,0)</f>
        <v>16.9822</v>
      </c>
      <c r="I90" s="25" t="n">
        <f aca="false">VLOOKUP(A90,All!A:AM,33,0)</f>
        <v>28.1071396426805</v>
      </c>
      <c r="J90" s="25" t="n">
        <f aca="false">VLOOKUP(A90,All!A:AM,32,0)</f>
        <v>19.9862000000002</v>
      </c>
      <c r="K90" s="26" t="n">
        <f aca="false">VLOOKUP(A90,All!A:AM,39,0)</f>
        <v>65.9193333333333</v>
      </c>
      <c r="L90" s="26" t="n">
        <f aca="false">VLOOKUP(A90,All!A:AM,38,0)</f>
        <v>98.879</v>
      </c>
      <c r="M90" s="28" t="n">
        <f aca="false">VLOOKUP(A90,'SYS Allocations'!A:G,2,0)</f>
        <v>0</v>
      </c>
      <c r="N90" s="28" t="str">
        <f aca="false">VLOOKUP(A90,'SYS Allocations'!A:G,3,0)</f>
        <v>RA</v>
      </c>
      <c r="O90" s="28" t="n">
        <f aca="false">VLOOKUP(A90,'SYS Allocations'!A:G,4,0)</f>
        <v>0</v>
      </c>
      <c r="P90" s="28" t="n">
        <f aca="false">VLOOKUP(A90,'SYS Allocations'!A:G,5,0)</f>
        <v>0</v>
      </c>
      <c r="Q90" s="28" t="n">
        <f aca="false">VLOOKUP(A90,'SYS Allocations'!A:G,6,0)</f>
        <v>0</v>
      </c>
      <c r="R90" s="29" t="n">
        <f aca="false">VLOOKUP(A90,'SYS Allocations'!A:G,7,0)</f>
        <v>7.4</v>
      </c>
      <c r="S90" s="30"/>
    </row>
    <row r="91" customFormat="false" ht="13.15" hidden="true" customHeight="false" outlineLevel="0" collapsed="false">
      <c r="A91" s="20" t="s">
        <v>107</v>
      </c>
      <c r="B91" s="21" t="str">
        <f aca="false">VLOOKUP(A91,All!A:AM,2,0)</f>
        <v>SCOTLAND</v>
      </c>
      <c r="C91" s="22" t="n">
        <f aca="false">VLOOKUP(A91,All!A:AM,11,0)</f>
        <v>45993</v>
      </c>
      <c r="D91" s="23"/>
      <c r="E91" s="24" t="n">
        <f aca="false">VLOOKUP(A91,All!A:AM,30,0)</f>
        <v>67.2131147540984</v>
      </c>
      <c r="F91" s="24" t="n">
        <f aca="false">VLOOKUP(A91,All!A:AM,28,0)</f>
        <v>5.3628</v>
      </c>
      <c r="G91" s="24" t="n">
        <f aca="false">VLOOKUP(A91,All!A:AM,31,0)</f>
        <v>60.9756097560976</v>
      </c>
      <c r="H91" s="24" t="n">
        <f aca="false">VLOOKUP(A91,All!A:AM,29,0)</f>
        <v>4.0875</v>
      </c>
      <c r="I91" s="25" t="n">
        <f aca="false">VLOOKUP(A91,All!A:AM,33,0)</f>
        <v>51.3609995537706</v>
      </c>
      <c r="J91" s="25" t="n">
        <f aca="false">VLOOKUP(A91,All!A:AM,32,0)</f>
        <v>2.7624</v>
      </c>
      <c r="K91" s="26" t="n">
        <f aca="false">VLOOKUP(A91,All!A:AM,39,0)</f>
        <v>65.12</v>
      </c>
      <c r="L91" s="26" t="n">
        <f aca="false">VLOOKUP(A91,All!A:AM,38,0)</f>
        <v>4.884</v>
      </c>
      <c r="M91" s="28" t="n">
        <f aca="false">VLOOKUP(A91,'SYS Allocations'!A:G,2,0)</f>
        <v>0</v>
      </c>
      <c r="N91" s="28" t="n">
        <f aca="false">VLOOKUP(A91,'SYS Allocations'!A:G,3,0)</f>
        <v>0</v>
      </c>
      <c r="O91" s="28" t="n">
        <f aca="false">VLOOKUP(A91,'SYS Allocations'!A:G,4,0)</f>
        <v>0</v>
      </c>
      <c r="P91" s="28" t="n">
        <f aca="false">VLOOKUP(A91,'SYS Allocations'!A:G,5,0)</f>
        <v>0</v>
      </c>
      <c r="Q91" s="28" t="n">
        <f aca="false">VLOOKUP(A91,'SYS Allocations'!A:G,6,0)</f>
        <v>0</v>
      </c>
      <c r="R91" s="29" t="n">
        <f aca="false">VLOOKUP(A91,'SYS Allocations'!A:G,7,0)</f>
        <v>0</v>
      </c>
      <c r="S91" s="30"/>
    </row>
    <row r="92" customFormat="false" ht="13.15" hidden="true" customHeight="false" outlineLevel="0" collapsed="false">
      <c r="A92" s="20" t="s">
        <v>108</v>
      </c>
      <c r="B92" s="21" t="str">
        <f aca="false">VLOOKUP(A92,All!A:AM,2,0)</f>
        <v>NORTH EAST</v>
      </c>
      <c r="C92" s="22" t="n">
        <f aca="false">VLOOKUP(A92,All!A:AM,11,0)</f>
        <v>45407</v>
      </c>
      <c r="D92" s="23"/>
      <c r="E92" s="24" t="n">
        <f aca="false">VLOOKUP(A92,All!A:AM,30,0)</f>
        <v>81.5</v>
      </c>
      <c r="F92" s="24" t="n">
        <f aca="false">VLOOKUP(A92,All!A:AM,28,0)</f>
        <v>8.8835</v>
      </c>
      <c r="G92" s="24" t="n">
        <f aca="false">VLOOKUP(A92,All!A:AM,31,0)</f>
        <v>80.5263157894737</v>
      </c>
      <c r="H92" s="24" t="n">
        <f aca="false">VLOOKUP(A92,All!A:AM,29,0)</f>
        <v>8.3385</v>
      </c>
      <c r="I92" s="25" t="n">
        <f aca="false">VLOOKUP(A92,All!A:AM,33,0)</f>
        <v>61.4229415365779</v>
      </c>
      <c r="J92" s="25" t="n">
        <f aca="false">VLOOKUP(A92,All!A:AM,32,0)</f>
        <v>3.2107</v>
      </c>
      <c r="K92" s="26" t="n">
        <f aca="false">VLOOKUP(A92,All!A:AM,39,0)</f>
        <v>93.2783333333333</v>
      </c>
      <c r="L92" s="26" t="n">
        <f aca="false">VLOOKUP(A92,All!A:AM,38,0)</f>
        <v>27.9835</v>
      </c>
      <c r="M92" s="28" t="n">
        <f aca="false">VLOOKUP(A92,'SYS Allocations'!A:G,2,0)</f>
        <v>0</v>
      </c>
      <c r="N92" s="28" t="n">
        <f aca="false">VLOOKUP(A92,'SYS Allocations'!A:G,3,0)</f>
        <v>0</v>
      </c>
      <c r="O92" s="28" t="n">
        <f aca="false">VLOOKUP(A92,'SYS Allocations'!A:G,4,0)</f>
        <v>0</v>
      </c>
      <c r="P92" s="28" t="n">
        <f aca="false">VLOOKUP(A92,'SYS Allocations'!A:G,5,0)</f>
        <v>0</v>
      </c>
      <c r="Q92" s="28" t="n">
        <f aca="false">VLOOKUP(A92,'SYS Allocations'!A:G,6,0)</f>
        <v>0</v>
      </c>
      <c r="R92" s="29" t="n">
        <f aca="false">VLOOKUP(A92,'SYS Allocations'!A:G,7,0)</f>
        <v>0</v>
      </c>
      <c r="S92" s="30"/>
    </row>
    <row r="93" customFormat="false" ht="13.15" hidden="true" customHeight="false" outlineLevel="0" collapsed="false">
      <c r="A93" s="20" t="s">
        <v>109</v>
      </c>
      <c r="B93" s="21" t="str">
        <f aca="false">VLOOKUP(A93,All!A:AM,2,0)</f>
        <v>SCOTLAND</v>
      </c>
      <c r="C93" s="22" t="n">
        <f aca="false">VLOOKUP(A93,All!A:AM,11,0)</f>
        <v>45659</v>
      </c>
      <c r="D93" s="23"/>
      <c r="E93" s="24" t="n">
        <f aca="false">VLOOKUP(A93,All!A:AM,30,0)</f>
        <v>64.9931693989071</v>
      </c>
      <c r="F93" s="24" t="n">
        <f aca="false">VLOOKUP(A93,All!A:AM,28,0)</f>
        <v>16.59416</v>
      </c>
      <c r="G93" s="24" t="n">
        <f aca="false">VLOOKUP(A93,All!A:AM,31,0)</f>
        <v>52.819332566168</v>
      </c>
      <c r="H93" s="24" t="n">
        <f aca="false">VLOOKUP(A93,All!A:AM,29,0)</f>
        <v>10.0062</v>
      </c>
      <c r="I93" s="25" t="n">
        <f aca="false">VLOOKUP(A93,All!A:AM,33,0)</f>
        <v>55.7909939854384</v>
      </c>
      <c r="J93" s="25" t="n">
        <f aca="false">VLOOKUP(A93,All!A:AM,32,0)</f>
        <v>11.2796</v>
      </c>
      <c r="K93" s="26" t="n">
        <f aca="false">VLOOKUP(A93,All!A:AM,39,0)</f>
        <v>60.2755555555556</v>
      </c>
      <c r="L93" s="26" t="n">
        <f aca="false">VLOOKUP(A93,All!A:AM,38,0)</f>
        <v>13.562</v>
      </c>
      <c r="M93" s="28" t="n">
        <f aca="false">VLOOKUP(A93,'SYS Allocations'!A:G,2,0)</f>
        <v>0</v>
      </c>
      <c r="N93" s="28" t="str">
        <f aca="false">VLOOKUP(A93,'SYS Allocations'!A:G,3,0)</f>
        <v>RA</v>
      </c>
      <c r="O93" s="28" t="n">
        <f aca="false">VLOOKUP(A93,'SYS Allocations'!A:G,4,0)</f>
        <v>0</v>
      </c>
      <c r="P93" s="28" t="n">
        <f aca="false">VLOOKUP(A93,'SYS Allocations'!A:G,5,0)</f>
        <v>0</v>
      </c>
      <c r="Q93" s="28" t="n">
        <f aca="false">VLOOKUP(A93,'SYS Allocations'!A:G,6,0)</f>
        <v>0</v>
      </c>
      <c r="R93" s="29" t="n">
        <f aca="false">VLOOKUP(A93,'SYS Allocations'!A:G,7,0)</f>
        <v>2.7</v>
      </c>
      <c r="S93" s="30"/>
    </row>
    <row r="94" customFormat="false" ht="13.15" hidden="true" customHeight="false" outlineLevel="0" collapsed="false">
      <c r="A94" s="20" t="s">
        <v>110</v>
      </c>
      <c r="B94" s="21" t="str">
        <f aca="false">VLOOKUP(A94,All!A:AM,2,0)</f>
        <v>SCOTLAND</v>
      </c>
      <c r="C94" s="22" t="n">
        <f aca="false">VLOOKUP(A94,All!A:AM,11,0)</f>
        <v>45659</v>
      </c>
      <c r="D94" s="23"/>
      <c r="E94" s="24" t="n">
        <f aca="false">VLOOKUP(A94,All!A:AM,30,0)</f>
        <v>49.4535519125683</v>
      </c>
      <c r="F94" s="24" t="n">
        <f aca="false">VLOOKUP(A94,All!A:AM,28,0)</f>
        <v>3.9458</v>
      </c>
      <c r="G94" s="24" t="n">
        <f aca="false">VLOOKUP(A94,All!A:AM,31,0)</f>
        <v>29.9242384426651</v>
      </c>
      <c r="H94" s="24" t="n">
        <f aca="false">VLOOKUP(A94,All!A:AM,29,0)</f>
        <v>1.722199673</v>
      </c>
      <c r="I94" s="25" t="n">
        <f aca="false">VLOOKUP(A94,All!A:AM,33,0)</f>
        <v>52.1248812915481</v>
      </c>
      <c r="J94" s="25" t="n">
        <f aca="false">VLOOKUP(A94,All!A:AM,32,0)</f>
        <v>4.39100000000003</v>
      </c>
      <c r="K94" s="26" t="n">
        <f aca="false">VLOOKUP(A94,All!A:AM,39,0)</f>
        <v>46.2266666666667</v>
      </c>
      <c r="L94" s="26" t="n">
        <f aca="false">VLOOKUP(A94,All!A:AM,38,0)</f>
        <v>3.467</v>
      </c>
      <c r="M94" s="28" t="n">
        <f aca="false">VLOOKUP(A94,'SYS Allocations'!A:G,2,0)</f>
        <v>0</v>
      </c>
      <c r="N94" s="28" t="n">
        <f aca="false">VLOOKUP(A94,'SYS Allocations'!A:G,3,0)</f>
        <v>0</v>
      </c>
      <c r="O94" s="28" t="n">
        <f aca="false">VLOOKUP(A94,'SYS Allocations'!A:G,4,0)</f>
        <v>0</v>
      </c>
      <c r="P94" s="28" t="n">
        <f aca="false">VLOOKUP(A94,'SYS Allocations'!A:G,5,0)</f>
        <v>0</v>
      </c>
      <c r="Q94" s="28" t="n">
        <f aca="false">VLOOKUP(A94,'SYS Allocations'!A:G,6,0)</f>
        <v>0</v>
      </c>
      <c r="R94" s="29" t="n">
        <f aca="false">VLOOKUP(A94,'SYS Allocations'!A:G,7,0)</f>
        <v>0</v>
      </c>
      <c r="S94" s="30"/>
    </row>
    <row r="95" customFormat="false" ht="13.15" hidden="true" customHeight="false" outlineLevel="0" collapsed="false">
      <c r="A95" s="20" t="s">
        <v>111</v>
      </c>
      <c r="B95" s="21" t="str">
        <f aca="false">VLOOKUP(A95,All!A:AM,2,0)</f>
        <v>SCOTLAND</v>
      </c>
      <c r="C95" s="22" t="n">
        <f aca="false">VLOOKUP(A95,All!A:AM,11,0)</f>
        <v>45659</v>
      </c>
      <c r="D95" s="23"/>
      <c r="E95" s="24" t="n">
        <f aca="false">VLOOKUP(A95,All!A:AM,30,0)</f>
        <v>69.9453551912568</v>
      </c>
      <c r="F95" s="24" t="n">
        <f aca="false">VLOOKUP(A95,All!A:AM,28,0)</f>
        <v>5.5808</v>
      </c>
      <c r="G95" s="24" t="n">
        <f aca="false">VLOOKUP(A95,All!A:AM,31,0)</f>
        <v>64.2276422764228</v>
      </c>
      <c r="H95" s="24" t="n">
        <f aca="false">VLOOKUP(A95,All!A:AM,29,0)</f>
        <v>4.3055</v>
      </c>
      <c r="I95" s="25" t="n">
        <f aca="false">VLOOKUP(A95,All!A:AM,33,0)</f>
        <v>55.4142495909564</v>
      </c>
      <c r="J95" s="25" t="n">
        <f aca="false">VLOOKUP(A95,All!A:AM,32,0)</f>
        <v>2.9804</v>
      </c>
      <c r="K95" s="26" t="n">
        <f aca="false">VLOOKUP(A95,All!A:AM,39,0)</f>
        <v>52.2786069651741</v>
      </c>
      <c r="L95" s="26" t="n">
        <f aca="false">VLOOKUP(A95,All!A:AM,38,0)</f>
        <v>2.627</v>
      </c>
      <c r="M95" s="28" t="n">
        <f aca="false">VLOOKUP(A95,'SYS Allocations'!A:G,2,0)</f>
        <v>0</v>
      </c>
      <c r="N95" s="28" t="n">
        <f aca="false">VLOOKUP(A95,'SYS Allocations'!A:G,3,0)</f>
        <v>0</v>
      </c>
      <c r="O95" s="28" t="n">
        <f aca="false">VLOOKUP(A95,'SYS Allocations'!A:G,4,0)</f>
        <v>0</v>
      </c>
      <c r="P95" s="28" t="n">
        <f aca="false">VLOOKUP(A95,'SYS Allocations'!A:G,5,0)</f>
        <v>0</v>
      </c>
      <c r="Q95" s="28" t="n">
        <f aca="false">VLOOKUP(A95,'SYS Allocations'!A:G,6,0)</f>
        <v>0</v>
      </c>
      <c r="R95" s="29" t="n">
        <f aca="false">VLOOKUP(A95,'SYS Allocations'!A:G,7,0)</f>
        <v>0.5</v>
      </c>
      <c r="S95" s="30"/>
    </row>
    <row r="96" customFormat="false" ht="13.15" hidden="true" customHeight="false" outlineLevel="0" collapsed="false">
      <c r="A96" s="20" t="s">
        <v>112</v>
      </c>
      <c r="B96" s="21" t="str">
        <f aca="false">VLOOKUP(A96,All!A:AM,2,0)</f>
        <v>NORTH EAST</v>
      </c>
      <c r="C96" s="22" t="n">
        <f aca="false">VLOOKUP(A96,All!A:AM,11,0)</f>
        <v>45331</v>
      </c>
      <c r="D96" s="23"/>
      <c r="E96" s="24" t="n">
        <f aca="false">VLOOKUP(A96,All!A:AM,30,0)</f>
        <v>55.5555555555556</v>
      </c>
      <c r="F96" s="24" t="n">
        <f aca="false">VLOOKUP(A96,All!A:AM,28,0)</f>
        <v>10.9</v>
      </c>
      <c r="G96" s="24" t="n">
        <f aca="false">VLOOKUP(A96,All!A:AM,31,0)</f>
        <v>23.8095238095238</v>
      </c>
      <c r="H96" s="24" t="n">
        <f aca="false">VLOOKUP(A96,All!A:AM,29,0)</f>
        <v>2.725</v>
      </c>
      <c r="I96" s="25" t="n">
        <f aca="false">VLOOKUP(A96,All!A:AM,33,0)</f>
        <v>58.7215026887829</v>
      </c>
      <c r="J96" s="25" t="n">
        <f aca="false">VLOOKUP(A96,All!A:AM,32,0)</f>
        <v>12.4048</v>
      </c>
      <c r="K96" s="26" t="n">
        <f aca="false">VLOOKUP(A96,All!A:AM,39,0)</f>
        <v>55.2820512820513</v>
      </c>
      <c r="L96" s="26" t="n">
        <f aca="false">VLOOKUP(A96,All!A:AM,38,0)</f>
        <v>10.78</v>
      </c>
      <c r="M96" s="28" t="n">
        <f aca="false">VLOOKUP(A96,'SYS Allocations'!A:G,2,0)</f>
        <v>0</v>
      </c>
      <c r="N96" s="28" t="n">
        <f aca="false">VLOOKUP(A96,'SYS Allocations'!A:G,3,0)</f>
        <v>0</v>
      </c>
      <c r="O96" s="28" t="n">
        <f aca="false">VLOOKUP(A96,'SYS Allocations'!A:G,4,0)</f>
        <v>0</v>
      </c>
      <c r="P96" s="28" t="n">
        <f aca="false">VLOOKUP(A96,'SYS Allocations'!A:G,5,0)</f>
        <v>0</v>
      </c>
      <c r="Q96" s="28" t="n">
        <f aca="false">VLOOKUP(A96,'SYS Allocations'!A:G,6,0)</f>
        <v>0</v>
      </c>
      <c r="R96" s="29" t="n">
        <f aca="false">VLOOKUP(A96,'SYS Allocations'!A:G,7,0)</f>
        <v>0</v>
      </c>
      <c r="S96" s="30"/>
    </row>
    <row r="97" customFormat="false" ht="13.15" hidden="true" customHeight="false" outlineLevel="0" collapsed="false">
      <c r="A97" s="20" t="s">
        <v>113</v>
      </c>
      <c r="B97" s="21" t="str">
        <f aca="false">VLOOKUP(A97,All!A:AM,2,0)</f>
        <v>SOUTH WEST</v>
      </c>
      <c r="C97" s="22" t="n">
        <f aca="false">VLOOKUP(A97,All!A:AM,11,0)</f>
        <v>45397</v>
      </c>
      <c r="D97" s="23"/>
      <c r="E97" s="24" t="n">
        <f aca="false">VLOOKUP(A97,All!A:AM,30,0)</f>
        <v>93.8524590163934</v>
      </c>
      <c r="F97" s="24" t="n">
        <f aca="false">VLOOKUP(A97,All!A:AM,28,0)</f>
        <v>7.4883</v>
      </c>
      <c r="G97" s="24" t="n">
        <f aca="false">VLOOKUP(A97,All!A:AM,31,0)</f>
        <v>86.9565217391304</v>
      </c>
      <c r="H97" s="24" t="n">
        <f aca="false">VLOOKUP(A97,All!A:AM,29,0)</f>
        <v>3.27</v>
      </c>
      <c r="I97" s="25" t="n">
        <f aca="false">VLOOKUP(A97,All!A:AM,33,0)</f>
        <v>95.6144586069267</v>
      </c>
      <c r="J97" s="25" t="n">
        <f aca="false">VLOOKUP(A97,All!A:AM,32,0)</f>
        <v>10.69398</v>
      </c>
      <c r="K97" s="26" t="n">
        <f aca="false">VLOOKUP(A97,All!A:AM,39,0)</f>
        <v>93.46</v>
      </c>
      <c r="L97" s="26" t="n">
        <f aca="false">VLOOKUP(A97,All!A:AM,38,0)</f>
        <v>7.0095</v>
      </c>
      <c r="M97" s="28" t="n">
        <f aca="false">VLOOKUP(A97,'SYS Allocations'!A:G,2,0)</f>
        <v>0</v>
      </c>
      <c r="N97" s="28" t="n">
        <f aca="false">VLOOKUP(A97,'SYS Allocations'!A:G,3,0)</f>
        <v>0</v>
      </c>
      <c r="O97" s="28" t="n">
        <f aca="false">VLOOKUP(A97,'SYS Allocations'!A:G,4,0)</f>
        <v>0</v>
      </c>
      <c r="P97" s="28" t="n">
        <f aca="false">VLOOKUP(A97,'SYS Allocations'!A:G,5,0)</f>
        <v>0</v>
      </c>
      <c r="Q97" s="28" t="n">
        <f aca="false">VLOOKUP(A97,'SYS Allocations'!A:G,6,0)</f>
        <v>0</v>
      </c>
      <c r="R97" s="29" t="n">
        <f aca="false">VLOOKUP(A97,'SYS Allocations'!A:G,7,0)</f>
        <v>0</v>
      </c>
      <c r="S97" s="30"/>
    </row>
    <row r="98" customFormat="false" ht="13.15" hidden="true" customHeight="false" outlineLevel="0" collapsed="false">
      <c r="A98" s="20" t="s">
        <v>114</v>
      </c>
      <c r="B98" s="21" t="str">
        <f aca="false">VLOOKUP(A98,All!A:AM,2,0)</f>
        <v>SCOTTISH HIGHLANDS &amp; ISLANDS </v>
      </c>
      <c r="C98" s="22" t="n">
        <f aca="false">VLOOKUP(A98,All!A:AM,11,0)</f>
        <v>45596</v>
      </c>
      <c r="D98" s="23"/>
      <c r="E98" s="24" t="n">
        <f aca="false">VLOOKUP(A98,All!A:AM,30,0)</f>
        <v>43.3333333333333</v>
      </c>
      <c r="F98" s="24" t="n">
        <f aca="false">VLOOKUP(A98,All!A:AM,28,0)</f>
        <v>2.1255</v>
      </c>
      <c r="G98" s="24" t="n">
        <f aca="false">VLOOKUP(A98,All!A:AM,31,0)</f>
        <v>52.112676056338</v>
      </c>
      <c r="H98" s="24" t="n">
        <f aca="false">VLOOKUP(A98,All!A:AM,29,0)</f>
        <v>3.02475</v>
      </c>
      <c r="I98" s="25" t="n">
        <f aca="false">VLOOKUP(A98,All!A:AM,33,0)</f>
        <v>46.3831018518519</v>
      </c>
      <c r="J98" s="25" t="n">
        <f aca="false">VLOOKUP(A98,All!A:AM,32,0)</f>
        <v>2.4045</v>
      </c>
      <c r="K98" s="26" t="e">
        <f aca="false">VLOOKUP(A98,All!A:AM,39,0)</f>
        <v>#DIV/0!</v>
      </c>
      <c r="L98" s="26" t="n">
        <f aca="false">VLOOKUP(A98,All!A:AM,38,0)</f>
        <v>-2.7795</v>
      </c>
      <c r="M98" s="28" t="n">
        <f aca="false">VLOOKUP(A98,'SYS Allocations'!A:G,2,0)</f>
        <v>0</v>
      </c>
      <c r="N98" s="28" t="n">
        <f aca="false">VLOOKUP(A98,'SYS Allocations'!A:G,3,0)</f>
        <v>0</v>
      </c>
      <c r="O98" s="28" t="n">
        <f aca="false">VLOOKUP(A98,'SYS Allocations'!A:G,4,0)</f>
        <v>0</v>
      </c>
      <c r="P98" s="28" t="n">
        <f aca="false">VLOOKUP(A98,'SYS Allocations'!A:G,5,0)</f>
        <v>0</v>
      </c>
      <c r="Q98" s="28" t="n">
        <f aca="false">VLOOKUP(A98,'SYS Allocations'!A:G,6,0)</f>
        <v>0</v>
      </c>
      <c r="R98" s="29" t="n">
        <f aca="false">VLOOKUP(A98,'SYS Allocations'!A:G,7,0)</f>
        <v>4</v>
      </c>
      <c r="S98" s="30"/>
    </row>
    <row r="99" customFormat="false" ht="13.15" hidden="true" customHeight="false" outlineLevel="0" collapsed="false">
      <c r="A99" s="20" t="s">
        <v>115</v>
      </c>
      <c r="B99" s="21" t="str">
        <f aca="false">VLOOKUP(A99,All!A:AM,2,0)</f>
        <v>NORTH EAST</v>
      </c>
      <c r="C99" s="22" t="n">
        <f aca="false">VLOOKUP(A99,All!A:AM,11,0)</f>
        <v>45597</v>
      </c>
      <c r="D99" s="23"/>
      <c r="E99" s="24" t="n">
        <f aca="false">VLOOKUP(A99,All!A:AM,30,0)</f>
        <v>58.3333333333333</v>
      </c>
      <c r="F99" s="24" t="n">
        <f aca="false">VLOOKUP(A99,All!A:AM,28,0)</f>
        <v>1.6786</v>
      </c>
      <c r="G99" s="24" t="n">
        <f aca="false">VLOOKUP(A99,All!A:AM,31,0)</f>
        <v>47.6190476190476</v>
      </c>
      <c r="H99" s="24" t="n">
        <f aca="false">VLOOKUP(A99,All!A:AM,29,0)</f>
        <v>1.09</v>
      </c>
      <c r="I99" s="25" t="n">
        <f aca="false">VLOOKUP(A99,All!A:AM,33,0)</f>
        <v>59.0639680978914</v>
      </c>
      <c r="J99" s="25" t="n">
        <f aca="false">VLOOKUP(A99,All!A:AM,32,0)</f>
        <v>1.72996</v>
      </c>
      <c r="K99" s="26" t="n">
        <f aca="false">VLOOKUP(A99,All!A:AM,39,0)</f>
        <v>64.4740740740741</v>
      </c>
      <c r="L99" s="26" t="n">
        <f aca="false">VLOOKUP(A99,All!A:AM,38,0)</f>
        <v>2.176</v>
      </c>
      <c r="M99" s="28" t="n">
        <f aca="false">VLOOKUP(A99,'SYS Allocations'!A:G,2,0)</f>
        <v>0</v>
      </c>
      <c r="N99" s="28" t="n">
        <f aca="false">VLOOKUP(A99,'SYS Allocations'!A:G,3,0)</f>
        <v>0</v>
      </c>
      <c r="O99" s="28" t="n">
        <f aca="false">VLOOKUP(A99,'SYS Allocations'!A:G,4,0)</f>
        <v>0</v>
      </c>
      <c r="P99" s="28" t="n">
        <f aca="false">VLOOKUP(A99,'SYS Allocations'!A:G,5,0)</f>
        <v>0</v>
      </c>
      <c r="Q99" s="28" t="n">
        <f aca="false">VLOOKUP(A99,'SYS Allocations'!A:G,6,0)</f>
        <v>0</v>
      </c>
      <c r="R99" s="29" t="n">
        <f aca="false">VLOOKUP(A99,'SYS Allocations'!A:G,7,0)</f>
        <v>1</v>
      </c>
      <c r="S99" s="30"/>
    </row>
    <row r="100" customFormat="false" ht="13.15" hidden="true" customHeight="false" outlineLevel="0" collapsed="false">
      <c r="A100" s="20" t="s">
        <v>116</v>
      </c>
      <c r="B100" s="21" t="str">
        <f aca="false">VLOOKUP(A100,All!A:AM,2,0)</f>
        <v>SCOTLAND</v>
      </c>
      <c r="C100" s="22" t="n">
        <f aca="false">VLOOKUP(A100,All!A:AM,11,0)</f>
        <v>45526</v>
      </c>
      <c r="D100" s="23"/>
      <c r="E100" s="24" t="n">
        <f aca="false">VLOOKUP(A100,All!A:AM,30,0)</f>
        <v>40</v>
      </c>
      <c r="F100" s="24" t="n">
        <f aca="false">VLOOKUP(A100,All!A:AM,28,0)</f>
        <v>6.54</v>
      </c>
      <c r="G100" s="24" t="n">
        <f aca="false">VLOOKUP(A100,All!A:AM,31,0)</f>
        <v>12.1951219512195</v>
      </c>
      <c r="H100" s="24" t="n">
        <f aca="false">VLOOKUP(A100,All!A:AM,29,0)</f>
        <v>1.3625</v>
      </c>
      <c r="I100" s="25" t="n">
        <f aca="false">VLOOKUP(A100,All!A:AM,33,0)</f>
        <v>32.0109780439122</v>
      </c>
      <c r="J100" s="25" t="n">
        <f aca="false">VLOOKUP(A100,All!A:AM,32,0)</f>
        <v>4.6188</v>
      </c>
      <c r="K100" s="26" t="n">
        <f aca="false">VLOOKUP(A100,All!A:AM,39,0)</f>
        <v>-30.8</v>
      </c>
      <c r="L100" s="26" t="n">
        <f aca="false">VLOOKUP(A100,All!A:AM,38,0)</f>
        <v>-2.31</v>
      </c>
      <c r="M100" s="28" t="n">
        <f aca="false">VLOOKUP(A100,'SYS Allocations'!A:G,2,0)</f>
        <v>0</v>
      </c>
      <c r="N100" s="28" t="n">
        <f aca="false">VLOOKUP(A100,'SYS Allocations'!A:G,3,0)</f>
        <v>0</v>
      </c>
      <c r="O100" s="28" t="n">
        <f aca="false">VLOOKUP(A100,'SYS Allocations'!A:G,4,0)</f>
        <v>0</v>
      </c>
      <c r="P100" s="28" t="n">
        <f aca="false">VLOOKUP(A100,'SYS Allocations'!A:G,5,0)</f>
        <v>0</v>
      </c>
      <c r="Q100" s="28" t="n">
        <f aca="false">VLOOKUP(A100,'SYS Allocations'!A:G,6,0)</f>
        <v>0</v>
      </c>
      <c r="R100" s="29" t="n">
        <f aca="false">VLOOKUP(A100,'SYS Allocations'!A:G,7,0)</f>
        <v>0</v>
      </c>
      <c r="S100" s="30"/>
    </row>
    <row r="101" customFormat="false" ht="13.15" hidden="true" customHeight="false" outlineLevel="0" collapsed="false">
      <c r="A101" s="32" t="s">
        <v>117</v>
      </c>
      <c r="B101" s="21" t="str">
        <f aca="false">VLOOKUP(A101,All!A:AM,2,0)</f>
        <v>SCOTLAND</v>
      </c>
      <c r="C101" s="22" t="n">
        <f aca="false">VLOOKUP(A101,All!A:AM,11,0)</f>
        <v>45659</v>
      </c>
      <c r="D101" s="23"/>
      <c r="E101" s="24" t="n">
        <f aca="false">VLOOKUP(A101,All!A:AM,30,0)</f>
        <v>70.3774952603992</v>
      </c>
      <c r="F101" s="24" t="n">
        <f aca="false">VLOOKUP(A101,All!A:AM,28,0)</f>
        <v>55.02974</v>
      </c>
      <c r="G101" s="24" t="n">
        <f aca="false">VLOOKUP(A101,All!A:AM,31,0)</f>
        <v>57.2176364002416</v>
      </c>
      <c r="H101" s="24" t="n">
        <f aca="false">VLOOKUP(A101,All!A:AM,29,0)</f>
        <v>30.9778</v>
      </c>
      <c r="I101" s="25" t="n">
        <f aca="false">VLOOKUP(A101,All!A:AM,33,0)</f>
        <v>67.4259428018542</v>
      </c>
      <c r="J101" s="25" t="n">
        <f aca="false">VLOOKUP(A101,All!A:AM,32,0)</f>
        <v>47.9447000000002</v>
      </c>
      <c r="K101" s="26" t="n">
        <f aca="false">VLOOKUP(A101,All!A:AM,39,0)</f>
        <v>77.9404761904762</v>
      </c>
      <c r="L101" s="26" t="n">
        <f aca="false">VLOOKUP(A101,All!A:AM,38,0)</f>
        <v>81.8375</v>
      </c>
      <c r="M101" s="28" t="n">
        <f aca="false">VLOOKUP(A101,'SYS Allocations'!A:G,2,0)</f>
        <v>0</v>
      </c>
      <c r="N101" s="28" t="str">
        <f aca="false">VLOOKUP(A101,'SYS Allocations'!A:G,3,0)</f>
        <v>RA</v>
      </c>
      <c r="O101" s="28" t="str">
        <f aca="false">VLOOKUP(A101,'SYS Allocations'!A:G,4,0)</f>
        <v>PX</v>
      </c>
      <c r="P101" s="28" t="n">
        <f aca="false">VLOOKUP(A101,'SYS Allocations'!A:G,5,0)</f>
        <v>0</v>
      </c>
      <c r="Q101" s="28" t="str">
        <f aca="false">VLOOKUP(A101,'SYS Allocations'!A:G,6,0)</f>
        <v>OPEX</v>
      </c>
      <c r="R101" s="29" t="n">
        <f aca="false">VLOOKUP(A101,'SYS Allocations'!A:G,7,0)</f>
        <v>23.35</v>
      </c>
      <c r="S101" s="30"/>
    </row>
    <row r="102" customFormat="false" ht="13.15" hidden="true" customHeight="false" outlineLevel="0" collapsed="false">
      <c r="A102" s="32" t="s">
        <v>118</v>
      </c>
      <c r="B102" s="21" t="str">
        <f aca="false">VLOOKUP(A102,All!A:AM,2,0)</f>
        <v>SCOTLAND</v>
      </c>
      <c r="C102" s="22" t="n">
        <f aca="false">VLOOKUP(A102,All!A:AM,11,0)</f>
        <v>45659</v>
      </c>
      <c r="D102" s="23"/>
      <c r="E102" s="24" t="n">
        <f aca="false">VLOOKUP(A102,All!A:AM,30,0)</f>
        <v>66.5439946470391</v>
      </c>
      <c r="F102" s="24" t="n">
        <f aca="false">VLOOKUP(A102,All!A:AM,28,0)</f>
        <v>52.03224</v>
      </c>
      <c r="G102" s="24" t="n">
        <f aca="false">VLOOKUP(A102,All!A:AM,31,0)</f>
        <v>51.6810952285081</v>
      </c>
      <c r="H102" s="24" t="n">
        <f aca="false">VLOOKUP(A102,All!A:AM,29,0)</f>
        <v>27.9803</v>
      </c>
      <c r="I102" s="25" t="n">
        <f aca="false">VLOOKUP(A102,All!A:AM,33,0)</f>
        <v>63.2104765762118</v>
      </c>
      <c r="J102" s="25" t="n">
        <f aca="false">VLOOKUP(A102,All!A:AM,32,0)</f>
        <v>44.9472000000002</v>
      </c>
      <c r="K102" s="26" t="n">
        <f aca="false">VLOOKUP(A102,All!A:AM,39,0)</f>
        <v>75.0857142857143</v>
      </c>
      <c r="L102" s="26" t="n">
        <f aca="false">VLOOKUP(A102,All!A:AM,38,0)</f>
        <v>78.84</v>
      </c>
      <c r="M102" s="28" t="n">
        <f aca="false">VLOOKUP(A102,'SYS Allocations'!A:G,2,0)</f>
        <v>0</v>
      </c>
      <c r="N102" s="28" t="n">
        <f aca="false">VLOOKUP(A102,'SYS Allocations'!A:G,3,0)</f>
        <v>0</v>
      </c>
      <c r="O102" s="28" t="n">
        <f aca="false">VLOOKUP(A102,'SYS Allocations'!A:G,4,0)</f>
        <v>0</v>
      </c>
      <c r="P102" s="28" t="n">
        <f aca="false">VLOOKUP(A102,'SYS Allocations'!A:G,5,0)</f>
        <v>0</v>
      </c>
      <c r="Q102" s="28" t="n">
        <f aca="false">VLOOKUP(A102,'SYS Allocations'!A:G,6,0)</f>
        <v>0</v>
      </c>
      <c r="R102" s="29" t="n">
        <f aca="false">VLOOKUP(A102,'SYS Allocations'!A:G,7,0)</f>
        <v>23.95</v>
      </c>
      <c r="S102" s="30"/>
    </row>
    <row r="103" customFormat="false" ht="13.15" hidden="true" customHeight="false" outlineLevel="0" collapsed="false">
      <c r="A103" s="33" t="s">
        <v>119</v>
      </c>
      <c r="B103" s="21" t="str">
        <f aca="false">VLOOKUP(A103,All!A:AM,2,0)</f>
        <v>SCOTLAND</v>
      </c>
      <c r="C103" s="22" t="n">
        <f aca="false">VLOOKUP(A103,All!A:AM,11,0)</f>
        <v>45659</v>
      </c>
      <c r="D103" s="35"/>
      <c r="E103" s="24" t="n">
        <f aca="false">VLOOKUP(A103,All!A:AM,30,0)</f>
        <v>57.5169932027189</v>
      </c>
      <c r="F103" s="24" t="n">
        <f aca="false">VLOOKUP(A103,All!A:AM,28,0)</f>
        <v>37.63116</v>
      </c>
      <c r="G103" s="24" t="n">
        <f aca="false">VLOOKUP(A103,All!A:AM,31,0)</f>
        <v>49.6594610601125</v>
      </c>
      <c r="H103" s="24" t="n">
        <f aca="false">VLOOKUP(A103,All!A:AM,29,0)</f>
        <v>27.41895</v>
      </c>
      <c r="I103" s="25" t="n">
        <f aca="false">VLOOKUP(A103,All!A:AM,33,0)</f>
        <v>35.7881459303615</v>
      </c>
      <c r="J103" s="25" t="n">
        <f aca="false">VLOOKUP(A103,All!A:AM,32,0)</f>
        <v>15.4914</v>
      </c>
      <c r="K103" s="26" t="n">
        <f aca="false">VLOOKUP(A103,All!A:AM,39,0)</f>
        <v>6.98666666666667</v>
      </c>
      <c r="L103" s="26" t="n">
        <f aca="false">VLOOKUP(A103,All!A:AM,38,0)</f>
        <v>4.716</v>
      </c>
      <c r="M103" s="28" t="str">
        <f aca="false">VLOOKUP(A103,'SYS Allocations'!A:G,2,0)</f>
        <v>P-Core</v>
      </c>
      <c r="N103" s="28" t="n">
        <f aca="false">VLOOKUP(A103,'SYS Allocations'!A:G,3,0)</f>
        <v>0</v>
      </c>
      <c r="O103" s="28" t="n">
        <f aca="false">VLOOKUP(A103,'SYS Allocations'!A:G,4,0)</f>
        <v>0</v>
      </c>
      <c r="P103" s="28" t="n">
        <f aca="false">VLOOKUP(A103,'SYS Allocations'!A:G,5,0)</f>
        <v>0</v>
      </c>
      <c r="Q103" s="28" t="n">
        <f aca="false">VLOOKUP(A103,'SYS Allocations'!A:G,6,0)</f>
        <v>0</v>
      </c>
      <c r="R103" s="29" t="n">
        <f aca="false">VLOOKUP(A103,'SYS Allocations'!A:G,7,0)</f>
        <v>7.7515</v>
      </c>
      <c r="S103" s="30"/>
    </row>
    <row r="104" customFormat="false" ht="13.15" hidden="true" customHeight="false" outlineLevel="0" collapsed="false">
      <c r="A104" s="33" t="s">
        <v>120</v>
      </c>
      <c r="B104" s="21" t="str">
        <f aca="false">VLOOKUP(A104,All!A:AM,2,0)</f>
        <v>SCOTLAND</v>
      </c>
      <c r="C104" s="22" t="n">
        <f aca="false">VLOOKUP(A104,All!A:AM,11,0)</f>
        <v>45659</v>
      </c>
      <c r="D104" s="35"/>
      <c r="E104" s="24" t="n">
        <f aca="false">VLOOKUP(A104,All!A:AM,30,0)</f>
        <v>46.5213914434226</v>
      </c>
      <c r="F104" s="24" t="n">
        <f aca="false">VLOOKUP(A104,All!A:AM,28,0)</f>
        <v>30.43716</v>
      </c>
      <c r="G104" s="24" t="n">
        <f aca="false">VLOOKUP(A104,All!A:AM,31,0)</f>
        <v>36.6301450992005</v>
      </c>
      <c r="H104" s="24" t="n">
        <f aca="false">VLOOKUP(A104,All!A:AM,29,0)</f>
        <v>20.22495</v>
      </c>
      <c r="I104" s="25" t="n">
        <f aca="false">VLOOKUP(A104,All!A:AM,33,0)</f>
        <v>19.1686072299845</v>
      </c>
      <c r="J104" s="25" t="n">
        <f aca="false">VLOOKUP(A104,All!A:AM,32,0)</f>
        <v>8.2974</v>
      </c>
      <c r="K104" s="26"/>
      <c r="L104" s="26"/>
      <c r="M104" s="28" t="n">
        <f aca="false">VLOOKUP(A104,'SYS Allocations'!A:G,2,0)</f>
        <v>0</v>
      </c>
      <c r="N104" s="28" t="n">
        <f aca="false">VLOOKUP(A104,'SYS Allocations'!A:G,3,0)</f>
        <v>0</v>
      </c>
      <c r="O104" s="28" t="n">
        <f aca="false">VLOOKUP(A104,'SYS Allocations'!A:G,4,0)</f>
        <v>0</v>
      </c>
      <c r="P104" s="28" t="n">
        <f aca="false">VLOOKUP(A104,'SYS Allocations'!A:G,5,0)</f>
        <v>0</v>
      </c>
      <c r="Q104" s="28" t="n">
        <f aca="false">VLOOKUP(A104,'SYS Allocations'!A:G,6,0)</f>
        <v>0</v>
      </c>
      <c r="R104" s="29" t="n">
        <f aca="false">VLOOKUP(A104,'SYS Allocations'!A:G,7,0)</f>
        <v>7.7515</v>
      </c>
      <c r="S104" s="30"/>
    </row>
    <row r="105" customFormat="false" ht="13.15" hidden="true" customHeight="false" outlineLevel="0" collapsed="false">
      <c r="A105" s="20" t="s">
        <v>121</v>
      </c>
      <c r="B105" s="21" t="str">
        <f aca="false">VLOOKUP(A105,All!A:AM,2,0)</f>
        <v>SCOTLAND</v>
      </c>
      <c r="C105" s="22" t="n">
        <f aca="false">VLOOKUP(A105,All!A:AM,11,0)</f>
        <v>45499</v>
      </c>
      <c r="D105" s="23"/>
      <c r="E105" s="24" t="n">
        <f aca="false">VLOOKUP(A105,All!A:AM,30,0)</f>
        <v>54.4444444444444</v>
      </c>
      <c r="F105" s="24" t="n">
        <f aca="false">VLOOKUP(A105,All!A:AM,28,0)</f>
        <v>2.6705</v>
      </c>
      <c r="G105" s="24" t="n">
        <f aca="false">VLOOKUP(A105,All!A:AM,31,0)</f>
        <v>61.5023474178404</v>
      </c>
      <c r="H105" s="24" t="n">
        <f aca="false">VLOOKUP(A105,All!A:AM,29,0)</f>
        <v>3.56975</v>
      </c>
      <c r="I105" s="25" t="n">
        <f aca="false">VLOOKUP(A105,All!A:AM,33,0)</f>
        <v>56.8962191358025</v>
      </c>
      <c r="J105" s="25" t="n">
        <f aca="false">VLOOKUP(A105,All!A:AM,32,0)</f>
        <v>2.9495</v>
      </c>
      <c r="K105" s="26" t="n">
        <f aca="false">VLOOKUP(A105,All!A:AM,39,0)</f>
        <v>55.5323383084577</v>
      </c>
      <c r="L105" s="26" t="n">
        <f aca="false">VLOOKUP(A105,All!A:AM,38,0)</f>
        <v>2.7905</v>
      </c>
      <c r="M105" s="28" t="n">
        <f aca="false">VLOOKUP(A105,'SYS Allocations'!A:G,2,0)</f>
        <v>0</v>
      </c>
      <c r="N105" s="28" t="n">
        <f aca="false">VLOOKUP(A105,'SYS Allocations'!A:G,3,0)</f>
        <v>0</v>
      </c>
      <c r="O105" s="28" t="n">
        <f aca="false">VLOOKUP(A105,'SYS Allocations'!A:G,4,0)</f>
        <v>0</v>
      </c>
      <c r="P105" s="28" t="n">
        <f aca="false">VLOOKUP(A105,'SYS Allocations'!A:G,5,0)</f>
        <v>0</v>
      </c>
      <c r="Q105" s="28" t="n">
        <f aca="false">VLOOKUP(A105,'SYS Allocations'!A:G,6,0)</f>
        <v>0</v>
      </c>
      <c r="R105" s="29" t="n">
        <f aca="false">VLOOKUP(A105,'SYS Allocations'!A:G,7,0)</f>
        <v>1</v>
      </c>
      <c r="S105" s="30"/>
    </row>
    <row r="106" customFormat="false" ht="13.15" hidden="true" customHeight="false" outlineLevel="0" collapsed="false">
      <c r="A106" s="20" t="s">
        <v>122</v>
      </c>
      <c r="B106" s="21" t="str">
        <f aca="false">VLOOKUP(A106,All!A:AM,2,0)</f>
        <v>MIDLANDS</v>
      </c>
      <c r="C106" s="22" t="n">
        <f aca="false">VLOOKUP(A106,All!A:AM,11,0)</f>
        <v>45659</v>
      </c>
      <c r="D106" s="23"/>
      <c r="E106" s="24" t="n">
        <f aca="false">VLOOKUP(A106,All!A:AM,30,0)</f>
        <v>80.3620218579235</v>
      </c>
      <c r="F106" s="24" t="n">
        <f aca="false">VLOOKUP(A106,All!A:AM,28,0)</f>
        <v>10.25908</v>
      </c>
      <c r="G106" s="24" t="n">
        <f aca="false">VLOOKUP(A106,All!A:AM,31,0)</f>
        <v>73.5327963176064</v>
      </c>
      <c r="H106" s="24" t="n">
        <f aca="false">VLOOKUP(A106,All!A:AM,29,0)</f>
        <v>6.9651</v>
      </c>
      <c r="I106" s="25" t="n">
        <f aca="false">VLOOKUP(A106,All!A:AM,33,0)</f>
        <v>75.1998258942701</v>
      </c>
      <c r="J106" s="25" t="n">
        <f aca="false">VLOOKUP(A106,All!A:AM,32,0)</f>
        <v>7.60179999999998</v>
      </c>
      <c r="K106" s="26" t="n">
        <f aca="false">VLOOKUP(A106,All!A:AM,39,0)</f>
        <v>77.7155555555556</v>
      </c>
      <c r="L106" s="26" t="n">
        <f aca="false">VLOOKUP(A106,All!A:AM,38,0)</f>
        <v>8.743</v>
      </c>
      <c r="M106" s="28" t="n">
        <f aca="false">VLOOKUP(A106,'SYS Allocations'!A:G,2,0)</f>
        <v>0</v>
      </c>
      <c r="N106" s="28" t="n">
        <f aca="false">VLOOKUP(A106,'SYS Allocations'!A:G,3,0)</f>
        <v>0</v>
      </c>
      <c r="O106" s="28" t="n">
        <f aca="false">VLOOKUP(A106,'SYS Allocations'!A:G,4,0)</f>
        <v>0</v>
      </c>
      <c r="P106" s="28" t="n">
        <f aca="false">VLOOKUP(A106,'SYS Allocations'!A:G,5,0)</f>
        <v>0</v>
      </c>
      <c r="Q106" s="28" t="n">
        <f aca="false">VLOOKUP(A106,'SYS Allocations'!A:G,6,0)</f>
        <v>0</v>
      </c>
      <c r="R106" s="29" t="n">
        <f aca="false">VLOOKUP(A106,'SYS Allocations'!A:G,7,0)</f>
        <v>1</v>
      </c>
      <c r="S106" s="30"/>
    </row>
    <row r="107" customFormat="false" ht="13.15" hidden="true" customHeight="false" outlineLevel="0" collapsed="false">
      <c r="A107" s="20" t="s">
        <v>123</v>
      </c>
      <c r="B107" s="21" t="str">
        <f aca="false">VLOOKUP(A107,All!A:AM,2,0)</f>
        <v>SOUTH WEST</v>
      </c>
      <c r="C107" s="22" t="n">
        <f aca="false">VLOOKUP(A107,All!A:AM,11,0)</f>
        <v>45638</v>
      </c>
      <c r="D107" s="23"/>
      <c r="E107" s="24" t="n">
        <f aca="false">VLOOKUP(A107,All!A:AM,30,0)</f>
        <v>63.8379942140791</v>
      </c>
      <c r="F107" s="24" t="n">
        <f aca="false">VLOOKUP(A107,All!A:AM,28,0)</f>
        <v>17.31792</v>
      </c>
      <c r="G107" s="24" t="n">
        <f aca="false">VLOOKUP(A107,All!A:AM,31,0)</f>
        <v>48.6007995431182</v>
      </c>
      <c r="H107" s="24" t="n">
        <f aca="false">VLOOKUP(A107,All!A:AM,29,0)</f>
        <v>9.2759</v>
      </c>
      <c r="I107" s="25" t="n">
        <f aca="false">VLOOKUP(A107,All!A:AM,33,0)</f>
        <v>57.3151629072682</v>
      </c>
      <c r="J107" s="25" t="n">
        <f aca="false">VLOOKUP(A107,All!A:AM,32,0)</f>
        <v>13.1724</v>
      </c>
      <c r="K107" s="26" t="n">
        <f aca="false">VLOOKUP(A107,All!A:AM,39,0)</f>
        <v>80.4776119402985</v>
      </c>
      <c r="L107" s="26" t="n">
        <f aca="false">VLOOKUP(A107,All!A:AM,38,0)</f>
        <v>40.44</v>
      </c>
      <c r="M107" s="28" t="n">
        <f aca="false">VLOOKUP(A107,'SYS Allocations'!A:G,2,0)</f>
        <v>0</v>
      </c>
      <c r="N107" s="28" t="n">
        <f aca="false">VLOOKUP(A107,'SYS Allocations'!A:G,3,0)</f>
        <v>0</v>
      </c>
      <c r="O107" s="28" t="n">
        <f aca="false">VLOOKUP(A107,'SYS Allocations'!A:G,4,0)</f>
        <v>0</v>
      </c>
      <c r="P107" s="28" t="n">
        <f aca="false">VLOOKUP(A107,'SYS Allocations'!A:G,5,0)</f>
        <v>0</v>
      </c>
      <c r="Q107" s="28" t="n">
        <f aca="false">VLOOKUP(A107,'SYS Allocations'!A:G,6,0)</f>
        <v>0</v>
      </c>
      <c r="R107" s="29" t="n">
        <f aca="false">VLOOKUP(A107,'SYS Allocations'!A:G,7,0)</f>
        <v>3</v>
      </c>
      <c r="S107" s="30"/>
    </row>
    <row r="108" customFormat="false" ht="13.15" hidden="true" customHeight="false" outlineLevel="0" collapsed="false">
      <c r="A108" s="32" t="s">
        <v>124</v>
      </c>
      <c r="B108" s="21" t="str">
        <f aca="false">VLOOKUP(A108,All!A:AM,2,0)</f>
        <v>SOUTH WEST</v>
      </c>
      <c r="C108" s="22" t="n">
        <f aca="false">VLOOKUP(A108,All!A:AM,11,0)</f>
        <v>45638</v>
      </c>
      <c r="D108" s="23"/>
      <c r="E108" s="24" t="n">
        <f aca="false">VLOOKUP(A108,All!A:AM,30,0)</f>
        <v>96.1293260473588</v>
      </c>
      <c r="F108" s="24" t="n">
        <f aca="false">VLOOKUP(A108,All!A:AM,28,0)</f>
        <v>23.0099</v>
      </c>
      <c r="G108" s="24" t="n">
        <f aca="false">VLOOKUP(A108,All!A:AM,31,0)</f>
        <v>95.072463768116</v>
      </c>
      <c r="H108" s="24" t="n">
        <f aca="false">VLOOKUP(A108,All!A:AM,29,0)</f>
        <v>17.876</v>
      </c>
      <c r="I108" s="25" t="n">
        <f aca="false">VLOOKUP(A108,All!A:AM,33,0)</f>
        <v>94.6782235088687</v>
      </c>
      <c r="J108" s="25" t="n">
        <f aca="false">VLOOKUP(A108,All!A:AM,32,0)</f>
        <v>16.4831</v>
      </c>
      <c r="K108" s="26" t="n">
        <f aca="false">VLOOKUP(A108,All!A:AM,39,0)</f>
        <v>96.6378109452736</v>
      </c>
      <c r="L108" s="26" t="n">
        <f aca="false">VLOOKUP(A108,All!A:AM,38,0)</f>
        <v>48.5605</v>
      </c>
      <c r="M108" s="28" t="n">
        <f aca="false">VLOOKUP(A108,'SYS Allocations'!A:G,2,0)</f>
        <v>0</v>
      </c>
      <c r="N108" s="28" t="n">
        <f aca="false">VLOOKUP(A108,'SYS Allocations'!A:G,3,0)</f>
        <v>0</v>
      </c>
      <c r="O108" s="28" t="n">
        <f aca="false">VLOOKUP(A108,'SYS Allocations'!A:G,4,0)</f>
        <v>0</v>
      </c>
      <c r="P108" s="28" t="str">
        <f aca="false">VLOOKUP(A108,'SYS Allocations'!A:G,5,0)</f>
        <v>AM</v>
      </c>
      <c r="Q108" s="28" t="n">
        <f aca="false">VLOOKUP(A108,'SYS Allocations'!A:G,6,0)</f>
        <v>0</v>
      </c>
      <c r="R108" s="29" t="n">
        <f aca="false">VLOOKUP(A108,'SYS Allocations'!A:G,7,0)</f>
        <v>5.85</v>
      </c>
      <c r="S108" s="30"/>
    </row>
    <row r="109" customFormat="false" ht="13.15" hidden="true" customHeight="false" outlineLevel="0" collapsed="false">
      <c r="A109" s="32" t="s">
        <v>125</v>
      </c>
      <c r="B109" s="21" t="str">
        <f aca="false">VLOOKUP(A109,All!A:AM,2,0)</f>
        <v>SOUTH WEST</v>
      </c>
      <c r="C109" s="22" t="n">
        <f aca="false">VLOOKUP(A109,All!A:AM,11,0)</f>
        <v>45638</v>
      </c>
      <c r="D109" s="23"/>
      <c r="E109" s="24" t="n">
        <f aca="false">VLOOKUP(A109,All!A:AM,30,0)</f>
        <v>96.8123861566485</v>
      </c>
      <c r="F109" s="24" t="n">
        <f aca="false">VLOOKUP(A109,All!A:AM,28,0)</f>
        <v>23.1734</v>
      </c>
      <c r="G109" s="24" t="n">
        <f aca="false">VLOOKUP(A109,All!A:AM,31,0)</f>
        <v>95.9420289855072</v>
      </c>
      <c r="H109" s="24" t="n">
        <f aca="false">VLOOKUP(A109,All!A:AM,29,0)</f>
        <v>18.0395</v>
      </c>
      <c r="I109" s="25" t="n">
        <f aca="false">VLOOKUP(A109,All!A:AM,33,0)</f>
        <v>95.6173605367154</v>
      </c>
      <c r="J109" s="25" t="n">
        <f aca="false">VLOOKUP(A109,All!A:AM,32,0)</f>
        <v>16.6466</v>
      </c>
      <c r="K109" s="26"/>
      <c r="L109" s="26"/>
      <c r="M109" s="28" t="n">
        <f aca="false">VLOOKUP(A109,'SYS Allocations'!A:G,2,0)</f>
        <v>0</v>
      </c>
      <c r="N109" s="28" t="n">
        <f aca="false">VLOOKUP(A109,'SYS Allocations'!A:G,3,0)</f>
        <v>0</v>
      </c>
      <c r="O109" s="28" t="n">
        <f aca="false">VLOOKUP(A109,'SYS Allocations'!A:G,4,0)</f>
        <v>0</v>
      </c>
      <c r="P109" s="28" t="n">
        <f aca="false">VLOOKUP(A109,'SYS Allocations'!A:G,5,0)</f>
        <v>0</v>
      </c>
      <c r="Q109" s="28" t="n">
        <f aca="false">VLOOKUP(A109,'SYS Allocations'!A:G,6,0)</f>
        <v>0</v>
      </c>
      <c r="R109" s="29" t="n">
        <f aca="false">VLOOKUP(A109,'SYS Allocations'!A:G,7,0)</f>
        <v>5.85</v>
      </c>
      <c r="S109" s="30"/>
    </row>
    <row r="110" customFormat="false" ht="13.15" hidden="true" customHeight="false" outlineLevel="0" collapsed="false">
      <c r="A110" s="20" t="s">
        <v>126</v>
      </c>
      <c r="B110" s="21" t="str">
        <f aca="false">VLOOKUP(A110,All!A:AM,2,0)</f>
        <v>SOUTH EAST</v>
      </c>
      <c r="C110" s="22" t="n">
        <f aca="false">VLOOKUP(A110,All!A:AM,11,0)</f>
        <v>45406</v>
      </c>
      <c r="D110" s="23"/>
      <c r="E110" s="24" t="n">
        <f aca="false">VLOOKUP(A110,All!A:AM,30,0)</f>
        <v>85.4400345125108</v>
      </c>
      <c r="F110" s="24" t="n">
        <f aca="false">VLOOKUP(A110,All!A:AM,28,0)</f>
        <v>25.90494</v>
      </c>
      <c r="G110" s="24" t="n">
        <f aca="false">VLOOKUP(A110,All!A:AM,31,0)</f>
        <v>79.5144157814871</v>
      </c>
      <c r="H110" s="24" t="n">
        <f aca="false">VLOOKUP(A110,All!A:AM,29,0)</f>
        <v>17.1348</v>
      </c>
      <c r="I110" s="25" t="n">
        <f aca="false">VLOOKUP(A110,All!A:AM,33,0)</f>
        <v>83.4380064829822</v>
      </c>
      <c r="J110" s="25" t="n">
        <f aca="false">VLOOKUP(A110,All!A:AM,32,0)</f>
        <v>22.2399</v>
      </c>
      <c r="K110" s="26" t="n">
        <f aca="false">VLOOKUP(A110,All!A:AM,39,0)</f>
        <v>80.38</v>
      </c>
      <c r="L110" s="26" t="n">
        <f aca="false">VLOOKUP(A110,All!A:AM,38,0)</f>
        <v>18.0855</v>
      </c>
      <c r="M110" s="28" t="n">
        <f aca="false">VLOOKUP(A110,'SYS Allocations'!A:G,2,0)</f>
        <v>0</v>
      </c>
      <c r="N110" s="28" t="n">
        <f aca="false">VLOOKUP(A110,'SYS Allocations'!A:G,3,0)</f>
        <v>0</v>
      </c>
      <c r="O110" s="28" t="n">
        <f aca="false">VLOOKUP(A110,'SYS Allocations'!A:G,4,0)</f>
        <v>0</v>
      </c>
      <c r="P110" s="28" t="n">
        <f aca="false">VLOOKUP(A110,'SYS Allocations'!A:G,5,0)</f>
        <v>0</v>
      </c>
      <c r="Q110" s="28" t="n">
        <f aca="false">VLOOKUP(A110,'SYS Allocations'!A:G,6,0)</f>
        <v>0</v>
      </c>
      <c r="R110" s="29" t="n">
        <f aca="false">VLOOKUP(A110,'SYS Allocations'!A:G,7,0)</f>
        <v>0</v>
      </c>
      <c r="S110" s="30"/>
    </row>
    <row r="111" customFormat="false" ht="13.15" hidden="true" customHeight="false" outlineLevel="0" collapsed="false">
      <c r="A111" s="20" t="s">
        <v>127</v>
      </c>
      <c r="B111" s="21" t="str">
        <f aca="false">VLOOKUP(A111,All!A:AM,2,0)</f>
        <v>NORTH EAST</v>
      </c>
      <c r="C111" s="22" t="n">
        <f aca="false">VLOOKUP(A111,All!A:AM,11,0)</f>
        <v>45470</v>
      </c>
      <c r="D111" s="23"/>
      <c r="E111" s="24" t="n">
        <f aca="false">VLOOKUP(A111,All!A:AM,30,0)</f>
        <v>84.0909090909091</v>
      </c>
      <c r="F111" s="24" t="n">
        <f aca="false">VLOOKUP(A111,All!A:AM,28,0)</f>
        <v>4.033</v>
      </c>
      <c r="G111" s="24" t="n">
        <f aca="false">VLOOKUP(A111,All!A:AM,31,0)</f>
        <v>80</v>
      </c>
      <c r="H111" s="24" t="n">
        <f aca="false">VLOOKUP(A111,All!A:AM,29,0)</f>
        <v>3.052</v>
      </c>
      <c r="I111" s="25" t="n">
        <f aca="false">VLOOKUP(A111,All!A:AM,33,0)</f>
        <v>79.7453703703704</v>
      </c>
      <c r="J111" s="25" t="n">
        <f aca="false">VLOOKUP(A111,All!A:AM,32,0)</f>
        <v>3.00404</v>
      </c>
      <c r="K111" s="26" t="n">
        <f aca="false">VLOOKUP(A111,All!A:AM,39,0)</f>
        <v>84.81592039801</v>
      </c>
      <c r="L111" s="26" t="n">
        <f aca="false">VLOOKUP(A111,All!A:AM,38,0)</f>
        <v>4.262</v>
      </c>
      <c r="M111" s="28" t="n">
        <f aca="false">VLOOKUP(A111,'SYS Allocations'!A:G,2,0)</f>
        <v>0</v>
      </c>
      <c r="N111" s="28" t="n">
        <f aca="false">VLOOKUP(A111,'SYS Allocations'!A:G,3,0)</f>
        <v>0</v>
      </c>
      <c r="O111" s="28" t="n">
        <f aca="false">VLOOKUP(A111,'SYS Allocations'!A:G,4,0)</f>
        <v>0</v>
      </c>
      <c r="P111" s="28" t="n">
        <f aca="false">VLOOKUP(A111,'SYS Allocations'!A:G,5,0)</f>
        <v>0</v>
      </c>
      <c r="Q111" s="28" t="n">
        <f aca="false">VLOOKUP(A111,'SYS Allocations'!A:G,6,0)</f>
        <v>0</v>
      </c>
      <c r="R111" s="29" t="n">
        <f aca="false">VLOOKUP(A111,'SYS Allocations'!A:G,7,0)</f>
        <v>0</v>
      </c>
      <c r="S111" s="30"/>
    </row>
    <row r="112" customFormat="false" ht="13.15" hidden="true" customHeight="false" outlineLevel="0" collapsed="false">
      <c r="A112" s="20" t="s">
        <v>128</v>
      </c>
      <c r="B112" s="21" t="str">
        <f aca="false">VLOOKUP(A112,All!A:AM,2,0)</f>
        <v>THAMES VALLEY</v>
      </c>
      <c r="C112" s="22" t="n">
        <f aca="false">VLOOKUP(A112,All!A:AM,11,0)</f>
        <v>45659</v>
      </c>
      <c r="D112" s="23"/>
      <c r="E112" s="24" t="n">
        <f aca="false">VLOOKUP(A112,All!A:AM,30,0)</f>
        <v>70.9699453551913</v>
      </c>
      <c r="F112" s="24" t="n">
        <f aca="false">VLOOKUP(A112,All!A:AM,28,0)</f>
        <v>6.79506</v>
      </c>
      <c r="G112" s="24" t="n">
        <f aca="false">VLOOKUP(A112,All!A:AM,31,0)</f>
        <v>67.2236503856041</v>
      </c>
      <c r="H112" s="24" t="n">
        <f aca="false">VLOOKUP(A112,All!A:AM,29,0)</f>
        <v>5.7007</v>
      </c>
      <c r="I112" s="25" t="n">
        <f aca="false">VLOOKUP(A112,All!A:AM,33,0)</f>
        <v>64.4135631760079</v>
      </c>
      <c r="J112" s="25" t="n">
        <f aca="false">VLOOKUP(A112,All!A:AM,32,0)</f>
        <v>5.03106000000001</v>
      </c>
      <c r="K112" s="26" t="n">
        <f aca="false">VLOOKUP(A112,All!A:AM,39,0)</f>
        <v>75.2933333333333</v>
      </c>
      <c r="L112" s="26" t="n">
        <f aca="false">VLOOKUP(A112,All!A:AM,38,0)</f>
        <v>8.4705</v>
      </c>
      <c r="M112" s="28" t="n">
        <f aca="false">VLOOKUP(A112,'SYS Allocations'!A:G,2,0)</f>
        <v>0</v>
      </c>
      <c r="N112" s="28" t="n">
        <f aca="false">VLOOKUP(A112,'SYS Allocations'!A:G,3,0)</f>
        <v>0</v>
      </c>
      <c r="O112" s="28" t="n">
        <f aca="false">VLOOKUP(A112,'SYS Allocations'!A:G,4,0)</f>
        <v>0</v>
      </c>
      <c r="P112" s="28" t="n">
        <f aca="false">VLOOKUP(A112,'SYS Allocations'!A:G,5,0)</f>
        <v>0</v>
      </c>
      <c r="Q112" s="28" t="n">
        <f aca="false">VLOOKUP(A112,'SYS Allocations'!A:G,6,0)</f>
        <v>0</v>
      </c>
      <c r="R112" s="29" t="n">
        <f aca="false">VLOOKUP(A112,'SYS Allocations'!A:G,7,0)</f>
        <v>0</v>
      </c>
      <c r="S112" s="30"/>
    </row>
    <row r="113" customFormat="false" ht="13.15" hidden="true" customHeight="false" outlineLevel="0" collapsed="false">
      <c r="A113" s="33" t="s">
        <v>129</v>
      </c>
      <c r="B113" s="21" t="str">
        <f aca="false">VLOOKUP(A113,All!A:AM,2,0)</f>
        <v>SOUTH WEST</v>
      </c>
      <c r="C113" s="22" t="n">
        <f aca="false">VLOOKUP(A113,All!A:AM,11,0)</f>
        <v>45659</v>
      </c>
      <c r="D113" s="23"/>
      <c r="E113" s="24" t="n">
        <f aca="false">VLOOKUP(A113,All!A:AM,30,0)</f>
        <v>96.1828993892639</v>
      </c>
      <c r="F113" s="24" t="n">
        <f aca="false">VLOOKUP(A113,All!A:AM,28,0)</f>
        <v>26.09242</v>
      </c>
      <c r="G113" s="24" t="n">
        <f aca="false">VLOOKUP(A113,All!A:AM,31,0)</f>
        <v>95.4567192730751</v>
      </c>
      <c r="H113" s="24" t="n">
        <f aca="false">VLOOKUP(A113,All!A:AM,29,0)</f>
        <v>21.7564</v>
      </c>
      <c r="I113" s="25" t="n">
        <f aca="false">VLOOKUP(A113,All!A:AM,33,0)</f>
        <v>94.0521321569709</v>
      </c>
      <c r="J113" s="25" t="n">
        <f aca="false">VLOOKUP(A113,All!A:AM,32,0)</f>
        <v>16.3741</v>
      </c>
      <c r="K113" s="26" t="n">
        <f aca="false">VLOOKUP(A113,All!A:AM,39,0)</f>
        <v>96.9964444444444</v>
      </c>
      <c r="L113" s="26" t="n">
        <f aca="false">VLOOKUP(A113,All!A:AM,38,0)</f>
        <v>109.121</v>
      </c>
      <c r="M113" s="28" t="n">
        <f aca="false">VLOOKUP(A113,'SYS Allocations'!A:G,2,0)</f>
        <v>0</v>
      </c>
      <c r="N113" s="28" t="n">
        <f aca="false">VLOOKUP(A113,'SYS Allocations'!A:G,3,0)</f>
        <v>0</v>
      </c>
      <c r="O113" s="28" t="n">
        <f aca="false">VLOOKUP(A113,'SYS Allocations'!A:G,4,0)</f>
        <v>0</v>
      </c>
      <c r="P113" s="28" t="str">
        <f aca="false">VLOOKUP(A113,'SYS Allocations'!A:G,5,0)</f>
        <v>AM</v>
      </c>
      <c r="Q113" s="28" t="n">
        <f aca="false">VLOOKUP(A113,'SYS Allocations'!A:G,6,0)</f>
        <v>0</v>
      </c>
      <c r="R113" s="29" t="n">
        <f aca="false">VLOOKUP(A113,'SYS Allocations'!A:G,7,0)</f>
        <v>6.25</v>
      </c>
      <c r="S113" s="30"/>
    </row>
    <row r="114" customFormat="false" ht="13.15" hidden="true" customHeight="false" outlineLevel="0" collapsed="false">
      <c r="A114" s="33" t="s">
        <v>130</v>
      </c>
      <c r="B114" s="21" t="str">
        <f aca="false">VLOOKUP(A114,All!A:AM,2,0)</f>
        <v>SOUTH WEST</v>
      </c>
      <c r="C114" s="22" t="n">
        <f aca="false">VLOOKUP(A114,All!A:AM,11,0)</f>
        <v>45659</v>
      </c>
      <c r="D114" s="23"/>
      <c r="E114" s="24" t="n">
        <f aca="false">VLOOKUP(A114,All!A:AM,30,0)</f>
        <v>91.3612986178078</v>
      </c>
      <c r="F114" s="24" t="n">
        <f aca="false">VLOOKUP(A114,All!A:AM,28,0)</f>
        <v>24.78442</v>
      </c>
      <c r="G114" s="24" t="n">
        <f aca="false">VLOOKUP(A114,All!A:AM,31,0)</f>
        <v>89.7178383548541</v>
      </c>
      <c r="H114" s="24" t="n">
        <f aca="false">VLOOKUP(A114,All!A:AM,29,0)</f>
        <v>20.4484</v>
      </c>
      <c r="I114" s="25" t="n">
        <f aca="false">VLOOKUP(A114,All!A:AM,33,0)</f>
        <v>86.5390359341972</v>
      </c>
      <c r="J114" s="25" t="n">
        <f aca="false">VLOOKUP(A114,All!A:AM,32,0)</f>
        <v>15.0661</v>
      </c>
      <c r="K114" s="26" t="n">
        <f aca="false">VLOOKUP(A114,All!A:AM,39,0)</f>
        <v>0</v>
      </c>
      <c r="L114" s="26" t="n">
        <f aca="false">VLOOKUP(A114,All!A:AM,38,0)</f>
        <v>0</v>
      </c>
      <c r="M114" s="28" t="n">
        <f aca="false">VLOOKUP(A114,'SYS Allocations'!A:G,2,0)</f>
        <v>0</v>
      </c>
      <c r="N114" s="28" t="n">
        <f aca="false">VLOOKUP(A114,'SYS Allocations'!A:G,3,0)</f>
        <v>0</v>
      </c>
      <c r="O114" s="28" t="n">
        <f aca="false">VLOOKUP(A114,'SYS Allocations'!A:G,4,0)</f>
        <v>0</v>
      </c>
      <c r="P114" s="28" t="n">
        <f aca="false">VLOOKUP(A114,'SYS Allocations'!A:G,5,0)</f>
        <v>0</v>
      </c>
      <c r="Q114" s="28" t="n">
        <f aca="false">VLOOKUP(A114,'SYS Allocations'!A:G,6,0)</f>
        <v>0</v>
      </c>
      <c r="R114" s="29" t="n">
        <f aca="false">VLOOKUP(A114,'SYS Allocations'!A:G,7,0)</f>
        <v>6.25</v>
      </c>
      <c r="S114" s="30"/>
    </row>
    <row r="115" customFormat="false" ht="13.15" hidden="true" customHeight="false" outlineLevel="0" collapsed="false">
      <c r="A115" s="20" t="s">
        <v>131</v>
      </c>
      <c r="B115" s="21" t="str">
        <f aca="false">VLOOKUP(A115,All!A:AM,2,0)</f>
        <v>SOUTH WEST</v>
      </c>
      <c r="C115" s="22" t="n">
        <f aca="false">VLOOKUP(A115,All!A:AM,11,0)</f>
        <v>45628</v>
      </c>
      <c r="D115" s="23"/>
      <c r="E115" s="24" t="n">
        <f aca="false">VLOOKUP(A115,All!A:AM,30,0)</f>
        <v>58.8611525086935</v>
      </c>
      <c r="F115" s="24" t="n">
        <f aca="false">VLOOKUP(A115,All!A:AM,28,0)</f>
        <v>20.66422</v>
      </c>
      <c r="G115" s="24" t="n">
        <f aca="false">VLOOKUP(A115,All!A:AM,31,0)</f>
        <v>34.6001974333662</v>
      </c>
      <c r="H115" s="24" t="n">
        <f aca="false">VLOOKUP(A115,All!A:AM,29,0)</f>
        <v>7.6409</v>
      </c>
      <c r="I115" s="25" t="n">
        <f aca="false">VLOOKUP(A115,All!A:AM,33,0)</f>
        <v>59.3782345529004</v>
      </c>
      <c r="J115" s="25" t="n">
        <f aca="false">VLOOKUP(A115,All!A:AM,32,0)</f>
        <v>21.1111</v>
      </c>
      <c r="K115" s="26" t="n">
        <f aca="false">VLOOKUP(A115,All!A:AM,39,0)</f>
        <v>67.9055555555556</v>
      </c>
      <c r="L115" s="26" t="n">
        <f aca="false">VLOOKUP(A115,All!A:AM,38,0)</f>
        <v>30.5575</v>
      </c>
      <c r="M115" s="28" t="n">
        <f aca="false">VLOOKUP(A115,'SYS Allocations'!A:G,2,0)</f>
        <v>0</v>
      </c>
      <c r="N115" s="28" t="str">
        <f aca="false">VLOOKUP(A115,'SYS Allocations'!A:G,3,0)</f>
        <v>RA</v>
      </c>
      <c r="O115" s="28" t="n">
        <f aca="false">VLOOKUP(A115,'SYS Allocations'!A:G,4,0)</f>
        <v>0</v>
      </c>
      <c r="P115" s="28" t="n">
        <f aca="false">VLOOKUP(A115,'SYS Allocations'!A:G,5,0)</f>
        <v>0</v>
      </c>
      <c r="Q115" s="28" t="n">
        <f aca="false">VLOOKUP(A115,'SYS Allocations'!A:G,6,0)</f>
        <v>0</v>
      </c>
      <c r="R115" s="29" t="n">
        <f aca="false">VLOOKUP(A115,'SYS Allocations'!A:G,7,0)</f>
        <v>3.9</v>
      </c>
      <c r="S115" s="30"/>
    </row>
    <row r="116" customFormat="false" ht="13.15" hidden="true" customHeight="false" outlineLevel="0" collapsed="false">
      <c r="A116" s="32" t="s">
        <v>132</v>
      </c>
      <c r="B116" s="21" t="str">
        <f aca="false">VLOOKUP(A116,All!A:AM,2,0)</f>
        <v>SOUTH</v>
      </c>
      <c r="C116" s="22" t="n">
        <f aca="false">VLOOKUP(A116,All!A:AM,11,0)</f>
        <v>45659</v>
      </c>
      <c r="D116" s="23"/>
      <c r="E116" s="24" t="n">
        <f aca="false">VLOOKUP(A116,All!A:AM,30,0)</f>
        <v>77.9254964680794</v>
      </c>
      <c r="F116" s="24" t="n">
        <f aca="false">VLOOKUP(A116,All!A:AM,28,0)</f>
        <v>50.98366</v>
      </c>
      <c r="G116" s="24" t="n">
        <f aca="false">VLOOKUP(A116,All!A:AM,31,0)</f>
        <v>70.5751721074839</v>
      </c>
      <c r="H116" s="24" t="n">
        <f aca="false">VLOOKUP(A116,All!A:AM,29,0)</f>
        <v>34.6402</v>
      </c>
      <c r="I116" s="25" t="n">
        <f aca="false">VLOOKUP(A116,All!A:AM,33,0)</f>
        <v>72.9188230352669</v>
      </c>
      <c r="J116" s="25" t="n">
        <f aca="false">VLOOKUP(A116,All!A:AM,32,0)</f>
        <v>38.8879</v>
      </c>
      <c r="K116" s="26" t="n">
        <f aca="false">VLOOKUP(A116,All!A:AM,39,0)</f>
        <v>79.0477777777778</v>
      </c>
      <c r="L116" s="26" t="n">
        <f aca="false">VLOOKUP(A116,All!A:AM,38,0)</f>
        <v>142.286</v>
      </c>
      <c r="M116" s="28" t="n">
        <f aca="false">VLOOKUP(A116,'SYS Allocations'!A:G,2,0)</f>
        <v>0</v>
      </c>
      <c r="N116" s="28" t="str">
        <f aca="false">VLOOKUP(A116,'SYS Allocations'!A:G,3,0)</f>
        <v>RA</v>
      </c>
      <c r="O116" s="28" t="n">
        <f aca="false">VLOOKUP(A116,'SYS Allocations'!A:G,4,0)</f>
        <v>0</v>
      </c>
      <c r="P116" s="28" t="n">
        <f aca="false">VLOOKUP(A116,'SYS Allocations'!A:G,5,0)</f>
        <v>0</v>
      </c>
      <c r="Q116" s="28" t="n">
        <f aca="false">VLOOKUP(A116,'SYS Allocations'!A:G,6,0)</f>
        <v>0</v>
      </c>
      <c r="R116" s="29" t="n">
        <f aca="false">VLOOKUP(A116,'SYS Allocations'!A:G,7,0)</f>
        <v>6.9</v>
      </c>
      <c r="S116" s="30"/>
    </row>
    <row r="117" customFormat="false" ht="13.15" hidden="true" customHeight="false" outlineLevel="0" collapsed="false">
      <c r="A117" s="32" t="s">
        <v>133</v>
      </c>
      <c r="B117" s="21" t="str">
        <f aca="false">VLOOKUP(A117,All!A:AM,2,0)</f>
        <v>SOUTH</v>
      </c>
      <c r="C117" s="22" t="n">
        <f aca="false">VLOOKUP(A117,All!A:AM,11,0)</f>
        <v>45659</v>
      </c>
      <c r="D117" s="35"/>
      <c r="E117" s="24" t="n">
        <f aca="false">VLOOKUP(A117,All!A:AM,30,0)</f>
        <v>64.4308943089431</v>
      </c>
      <c r="F117" s="24" t="n">
        <f aca="false">VLOOKUP(A117,All!A:AM,28,0)</f>
        <v>42.15466</v>
      </c>
      <c r="G117" s="24" t="n">
        <f aca="false">VLOOKUP(A117,All!A:AM,31,0)</f>
        <v>52.5871641128137</v>
      </c>
      <c r="H117" s="24" t="n">
        <f aca="false">VLOOKUP(A117,All!A:AM,29,0)</f>
        <v>25.8112</v>
      </c>
      <c r="I117" s="25" t="n">
        <f aca="false">VLOOKUP(A117,All!A:AM,33,0)</f>
        <v>56.3635374945622</v>
      </c>
      <c r="J117" s="25" t="n">
        <f aca="false">VLOOKUP(A117,All!A:AM,32,0)</f>
        <v>30.0589</v>
      </c>
      <c r="K117" s="26"/>
      <c r="L117" s="26"/>
      <c r="M117" s="28" t="n">
        <f aca="false">VLOOKUP(A117,'SYS Allocations'!A:G,2,0)</f>
        <v>0</v>
      </c>
      <c r="N117" s="28" t="n">
        <f aca="false">VLOOKUP(A117,'SYS Allocations'!A:G,3,0)</f>
        <v>0</v>
      </c>
      <c r="O117" s="28" t="n">
        <f aca="false">VLOOKUP(A117,'SYS Allocations'!A:G,4,0)</f>
        <v>0</v>
      </c>
      <c r="P117" s="28" t="n">
        <f aca="false">VLOOKUP(A117,'SYS Allocations'!A:G,5,0)</f>
        <v>0</v>
      </c>
      <c r="Q117" s="28" t="n">
        <f aca="false">VLOOKUP(A117,'SYS Allocations'!A:G,6,0)</f>
        <v>0</v>
      </c>
      <c r="R117" s="29" t="n">
        <f aca="false">VLOOKUP(A117,'SYS Allocations'!A:G,7,0)</f>
        <v>6.9</v>
      </c>
      <c r="S117" s="30"/>
    </row>
    <row r="118" customFormat="false" ht="13.15" hidden="true" customHeight="false" outlineLevel="0" collapsed="false">
      <c r="A118" s="33" t="s">
        <v>134</v>
      </c>
      <c r="B118" s="21" t="str">
        <f aca="false">VLOOKUP(A118,All!A:AM,2,0)</f>
        <v>SCOTLAND</v>
      </c>
      <c r="C118" s="22" t="n">
        <f aca="false">VLOOKUP(A118,All!A:AM,11,0)</f>
        <v>45659</v>
      </c>
      <c r="D118" s="35"/>
      <c r="E118" s="24" t="n">
        <f aca="false">VLOOKUP(A118,All!A:AM,30,0)</f>
        <v>45.8707083204454</v>
      </c>
      <c r="F118" s="24" t="n">
        <f aca="false">VLOOKUP(A118,All!A:AM,28,0)</f>
        <v>38.79528</v>
      </c>
      <c r="G118" s="24" t="n">
        <f aca="false">VLOOKUP(A118,All!A:AM,31,0)</f>
        <v>26.3028601509037</v>
      </c>
      <c r="H118" s="24" t="n">
        <f aca="false">VLOOKUP(A118,All!A:AM,29,0)</f>
        <v>16.3391</v>
      </c>
      <c r="I118" s="25" t="n">
        <f aca="false">VLOOKUP(A118,All!A:AM,33,0)</f>
        <v>35.6183340083706</v>
      </c>
      <c r="J118" s="25" t="n">
        <f aca="false">VLOOKUP(A118,All!A:AM,32,0)</f>
        <v>25.3272000000002</v>
      </c>
      <c r="K118" s="26" t="n">
        <f aca="false">VLOOKUP(A118,All!A:AM,39,0)</f>
        <v>10.9227777777778</v>
      </c>
      <c r="L118" s="26" t="n">
        <f aca="false">VLOOKUP(A118,All!A:AM,38,0)</f>
        <v>9.8305</v>
      </c>
      <c r="M118" s="28" t="str">
        <f aca="false">VLOOKUP(A118,'SYS Allocations'!A:G,2,0)</f>
        <v>P-Core</v>
      </c>
      <c r="N118" s="28" t="str">
        <f aca="false">VLOOKUP(A118,'SYS Allocations'!A:G,3,0)</f>
        <v>RA</v>
      </c>
      <c r="O118" s="28" t="str">
        <f aca="false">VLOOKUP(A118,'SYS Allocations'!A:G,4,0)</f>
        <v>PX</v>
      </c>
      <c r="P118" s="28" t="n">
        <f aca="false">VLOOKUP(A118,'SYS Allocations'!A:G,5,0)</f>
        <v>0</v>
      </c>
      <c r="Q118" s="28" t="str">
        <f aca="false">VLOOKUP(A118,'SYS Allocations'!A:G,6,0)</f>
        <v>OPEX</v>
      </c>
      <c r="R118" s="29" t="n">
        <f aca="false">VLOOKUP(A118,'SYS Allocations'!A:G,7,0)</f>
        <v>12.75</v>
      </c>
      <c r="S118" s="30"/>
    </row>
    <row r="119" customFormat="false" ht="13.15" hidden="true" customHeight="false" outlineLevel="0" collapsed="false">
      <c r="A119" s="33" t="s">
        <v>135</v>
      </c>
      <c r="B119" s="21" t="str">
        <f aca="false">VLOOKUP(A119,All!A:AM,2,0)</f>
        <v>SCOTLAND</v>
      </c>
      <c r="C119" s="22" t="n">
        <f aca="false">VLOOKUP(A119,All!A:AM,11,0)</f>
        <v>45659</v>
      </c>
      <c r="D119" s="35"/>
      <c r="E119" s="24" t="n">
        <f aca="false">VLOOKUP(A119,All!A:AM,30,0)</f>
        <v>59.3385916073822</v>
      </c>
      <c r="F119" s="24" t="n">
        <f aca="false">VLOOKUP(A119,All!A:AM,28,0)</f>
        <v>50.18578</v>
      </c>
      <c r="G119" s="24" t="n">
        <f aca="false">VLOOKUP(A119,All!A:AM,31,0)</f>
        <v>44.6394104228812</v>
      </c>
      <c r="H119" s="24" t="n">
        <f aca="false">VLOOKUP(A119,All!A:AM,29,0)</f>
        <v>27.7296</v>
      </c>
      <c r="I119" s="25" t="n">
        <f aca="false">VLOOKUP(A119,All!A:AM,33,0)</f>
        <v>51.6371056658118</v>
      </c>
      <c r="J119" s="25" t="n">
        <f aca="false">VLOOKUP(A119,All!A:AM,32,0)</f>
        <v>36.7177000000002</v>
      </c>
      <c r="K119" s="26"/>
      <c r="L119" s="26"/>
      <c r="M119" s="28" t="n">
        <f aca="false">VLOOKUP(A119,'SYS Allocations'!A:G,2,0)</f>
        <v>0</v>
      </c>
      <c r="N119" s="28" t="n">
        <f aca="false">VLOOKUP(A119,'SYS Allocations'!A:G,3,0)</f>
        <v>0</v>
      </c>
      <c r="O119" s="28" t="n">
        <f aca="false">VLOOKUP(A119,'SYS Allocations'!A:G,4,0)</f>
        <v>0</v>
      </c>
      <c r="P119" s="28" t="n">
        <f aca="false">VLOOKUP(A119,'SYS Allocations'!A:G,5,0)</f>
        <v>0</v>
      </c>
      <c r="Q119" s="28" t="n">
        <f aca="false">VLOOKUP(A119,'SYS Allocations'!A:G,6,0)</f>
        <v>0</v>
      </c>
      <c r="R119" s="29" t="n">
        <f aca="false">VLOOKUP(A119,'SYS Allocations'!A:G,7,0)</f>
        <v>12.75</v>
      </c>
      <c r="S119" s="30"/>
    </row>
    <row r="120" customFormat="false" ht="13.15" hidden="true" customHeight="false" outlineLevel="0" collapsed="false">
      <c r="A120" s="20" t="s">
        <v>136</v>
      </c>
      <c r="B120" s="21" t="str">
        <f aca="false">VLOOKUP(A120,All!A:AM,2,0)</f>
        <v>SCOTLAND</v>
      </c>
      <c r="C120" s="22" t="n">
        <f aca="false">VLOOKUP(A120,All!A:AM,11,0)</f>
        <v>45659</v>
      </c>
      <c r="D120" s="23"/>
      <c r="E120" s="24" t="n">
        <f aca="false">VLOOKUP(A120,All!A:AM,30,0)</f>
        <v>67.1751669702489</v>
      </c>
      <c r="F120" s="24" t="n">
        <f aca="false">VLOOKUP(A120,All!A:AM,28,0)</f>
        <v>19.29518</v>
      </c>
      <c r="G120" s="24" t="n">
        <f aca="false">VLOOKUP(A120,All!A:AM,31,0)</f>
        <v>51.783723522854</v>
      </c>
      <c r="H120" s="24" t="n">
        <f aca="false">VLOOKUP(A120,All!A:AM,29,0)</f>
        <v>10.1261</v>
      </c>
      <c r="I120" s="25" t="n">
        <f aca="false">VLOOKUP(A120,All!A:AM,33,0)</f>
        <v>64.6268533525422</v>
      </c>
      <c r="J120" s="25" t="n">
        <f aca="false">VLOOKUP(A120,All!A:AM,32,0)</f>
        <v>17.2259</v>
      </c>
      <c r="K120" s="26" t="n">
        <f aca="false">VLOOKUP(A120,All!A:AM,39,0)</f>
        <v>58.0955555555556</v>
      </c>
      <c r="L120" s="26" t="n">
        <f aca="false">VLOOKUP(A120,All!A:AM,38,0)</f>
        <v>13.0715</v>
      </c>
      <c r="M120" s="28" t="n">
        <f aca="false">VLOOKUP(A120,'SYS Allocations'!A:G,2,0)</f>
        <v>0</v>
      </c>
      <c r="N120" s="28" t="str">
        <f aca="false">VLOOKUP(A120,'SYS Allocations'!A:G,3,0)</f>
        <v>RA</v>
      </c>
      <c r="O120" s="28" t="n">
        <f aca="false">VLOOKUP(A120,'SYS Allocations'!A:G,4,0)</f>
        <v>0</v>
      </c>
      <c r="P120" s="28" t="n">
        <f aca="false">VLOOKUP(A120,'SYS Allocations'!A:G,5,0)</f>
        <v>0</v>
      </c>
      <c r="Q120" s="28" t="n">
        <f aca="false">VLOOKUP(A120,'SYS Allocations'!A:G,6,0)</f>
        <v>0</v>
      </c>
      <c r="R120" s="29" t="n">
        <f aca="false">VLOOKUP(A120,'SYS Allocations'!A:G,7,0)</f>
        <v>4.4</v>
      </c>
      <c r="S120" s="30"/>
    </row>
    <row r="121" customFormat="false" ht="13.15" hidden="true" customHeight="false" outlineLevel="0" collapsed="false">
      <c r="A121" s="20" t="s">
        <v>137</v>
      </c>
      <c r="B121" s="21" t="str">
        <f aca="false">VLOOKUP(A121,All!A:AM,2,0)</f>
        <v>SCOTLAND</v>
      </c>
      <c r="C121" s="22" t="n">
        <f aca="false">VLOOKUP(A121,All!A:AM,11,0)</f>
        <v>45659</v>
      </c>
      <c r="D121" s="23"/>
      <c r="E121" s="24" t="n">
        <f aca="false">VLOOKUP(A121,All!A:AM,30,0)</f>
        <v>41.4376406300225</v>
      </c>
      <c r="F121" s="24" t="n">
        <f aca="false">VLOOKUP(A121,All!A:AM,28,0)</f>
        <v>22.48234</v>
      </c>
      <c r="G121" s="24" t="n">
        <f aca="false">VLOOKUP(A121,All!A:AM,31,0)</f>
        <v>9.52824332712601</v>
      </c>
      <c r="H121" s="24" t="n">
        <f aca="false">VLOOKUP(A121,All!A:AM,29,0)</f>
        <v>3.3463</v>
      </c>
      <c r="I121" s="25" t="n">
        <f aca="false">VLOOKUP(A121,All!A:AM,33,0)</f>
        <v>40.4214106775873</v>
      </c>
      <c r="J121" s="25" t="n">
        <f aca="false">VLOOKUP(A121,All!A:AM,32,0)</f>
        <v>21.5569</v>
      </c>
      <c r="K121" s="26" t="n">
        <f aca="false">VLOOKUP(A121,All!A:AM,39,0)</f>
        <v>49.565873015873</v>
      </c>
      <c r="L121" s="26" t="n">
        <f aca="false">VLOOKUP(A121,All!A:AM,38,0)</f>
        <v>31.2265</v>
      </c>
      <c r="M121" s="28" t="n">
        <f aca="false">VLOOKUP(A121,'SYS Allocations'!A:G,2,0)</f>
        <v>0</v>
      </c>
      <c r="N121" s="28" t="n">
        <f aca="false">VLOOKUP(A121,'SYS Allocations'!A:G,3,0)</f>
        <v>0</v>
      </c>
      <c r="O121" s="28" t="n">
        <f aca="false">VLOOKUP(A121,'SYS Allocations'!A:G,4,0)</f>
        <v>0</v>
      </c>
      <c r="P121" s="28" t="n">
        <f aca="false">VLOOKUP(A121,'SYS Allocations'!A:G,5,0)</f>
        <v>0</v>
      </c>
      <c r="Q121" s="28" t="n">
        <f aca="false">VLOOKUP(A121,'SYS Allocations'!A:G,6,0)</f>
        <v>0</v>
      </c>
      <c r="R121" s="29" t="n">
        <f aca="false">VLOOKUP(A121,'SYS Allocations'!A:G,7,0)</f>
        <v>3</v>
      </c>
      <c r="S121" s="30"/>
    </row>
    <row r="122" customFormat="false" ht="13.15" hidden="true" customHeight="false" outlineLevel="0" collapsed="false">
      <c r="A122" s="20" t="s">
        <v>138</v>
      </c>
      <c r="B122" s="21" t="str">
        <f aca="false">VLOOKUP(A122,All!A:AM,2,0)</f>
        <v>SCOTLAND</v>
      </c>
      <c r="C122" s="22" t="n">
        <f aca="false">VLOOKUP(A122,All!A:AM,11,0)</f>
        <v>45659</v>
      </c>
      <c r="D122" s="23"/>
      <c r="E122" s="24" t="n">
        <f aca="false">VLOOKUP(A122,All!A:AM,30,0)</f>
        <v>76.0928961748634</v>
      </c>
      <c r="F122" s="24" t="n">
        <f aca="false">VLOOKUP(A122,All!A:AM,28,0)</f>
        <v>2.42852</v>
      </c>
      <c r="G122" s="24" t="n">
        <f aca="false">VLOOKUP(A122,All!A:AM,31,0)</f>
        <v>73.6842105263158</v>
      </c>
      <c r="H122" s="24" t="n">
        <f aca="false">VLOOKUP(A122,All!A:AM,29,0)</f>
        <v>2.1364</v>
      </c>
      <c r="I122" s="25" t="n">
        <f aca="false">VLOOKUP(A122,All!A:AM,33,0)</f>
        <v>57.4408746095493</v>
      </c>
      <c r="J122" s="25" t="n">
        <f aca="false">VLOOKUP(A122,All!A:AM,32,0)</f>
        <v>1.0298</v>
      </c>
      <c r="K122" s="26" t="n">
        <f aca="false">VLOOKUP(A122,All!A:AM,39,0)</f>
        <v>84.81592039801</v>
      </c>
      <c r="L122" s="26" t="n">
        <f aca="false">VLOOKUP(A122,All!A:AM,38,0)</f>
        <v>4.262</v>
      </c>
      <c r="M122" s="28" t="n">
        <f aca="false">VLOOKUP(A122,'SYS Allocations'!A:G,2,0)</f>
        <v>0</v>
      </c>
      <c r="N122" s="28" t="n">
        <f aca="false">VLOOKUP(A122,'SYS Allocations'!A:G,3,0)</f>
        <v>0</v>
      </c>
      <c r="O122" s="28" t="n">
        <f aca="false">VLOOKUP(A122,'SYS Allocations'!A:G,4,0)</f>
        <v>0</v>
      </c>
      <c r="P122" s="28" t="n">
        <f aca="false">VLOOKUP(A122,'SYS Allocations'!A:G,5,0)</f>
        <v>0</v>
      </c>
      <c r="Q122" s="28" t="n">
        <f aca="false">VLOOKUP(A122,'SYS Allocations'!A:G,6,0)</f>
        <v>0</v>
      </c>
      <c r="R122" s="29" t="n">
        <f aca="false">VLOOKUP(A122,'SYS Allocations'!A:G,7,0)</f>
        <v>2.7</v>
      </c>
      <c r="S122" s="30"/>
    </row>
    <row r="123" customFormat="false" ht="13.15" hidden="true" customHeight="false" outlineLevel="0" collapsed="false">
      <c r="A123" s="20" t="s">
        <v>139</v>
      </c>
      <c r="B123" s="21" t="str">
        <f aca="false">VLOOKUP(A123,All!A:AM,2,0)</f>
        <v>SOUTH EAST</v>
      </c>
      <c r="C123" s="22" t="n">
        <f aca="false">VLOOKUP(A123,All!A:AM,11,0)</f>
        <v>45659</v>
      </c>
      <c r="D123" s="23"/>
      <c r="E123" s="24" t="n">
        <f aca="false">VLOOKUP(A123,All!A:AM,30,0)</f>
        <v>29.5238095238095</v>
      </c>
      <c r="F123" s="24" t="n">
        <f aca="false">VLOOKUP(A123,All!A:AM,28,0)</f>
        <v>3.379</v>
      </c>
      <c r="G123" s="24" t="n">
        <f aca="false">VLOOKUP(A123,All!A:AM,31,0)</f>
        <v>20.0432172893533</v>
      </c>
      <c r="H123" s="24" t="n">
        <f aca="false">VLOOKUP(A123,All!A:AM,29,0)</f>
        <v>2.021949673</v>
      </c>
      <c r="I123" s="25" t="n">
        <f aca="false">VLOOKUP(A123,All!A:AM,33,0)</f>
        <v>4.2497625830962</v>
      </c>
      <c r="J123" s="25" t="n">
        <f aca="false">VLOOKUP(A123,All!A:AM,32,0)</f>
        <v>0.358000000000025</v>
      </c>
      <c r="K123" s="26" t="n">
        <f aca="false">VLOOKUP(A123,All!A:AM,39,0)</f>
        <v>32.7833333333333</v>
      </c>
      <c r="L123" s="26" t="n">
        <f aca="false">VLOOKUP(A123,All!A:AM,38,0)</f>
        <v>3.934</v>
      </c>
      <c r="M123" s="28" t="n">
        <f aca="false">VLOOKUP(A123,'SYS Allocations'!A:G,2,0)</f>
        <v>0</v>
      </c>
      <c r="N123" s="28" t="n">
        <f aca="false">VLOOKUP(A123,'SYS Allocations'!A:G,3,0)</f>
        <v>0</v>
      </c>
      <c r="O123" s="28" t="n">
        <f aca="false">VLOOKUP(A123,'SYS Allocations'!A:G,4,0)</f>
        <v>0</v>
      </c>
      <c r="P123" s="28" t="n">
        <f aca="false">VLOOKUP(A123,'SYS Allocations'!A:G,5,0)</f>
        <v>0</v>
      </c>
      <c r="Q123" s="28" t="n">
        <f aca="false">VLOOKUP(A123,'SYS Allocations'!A:G,6,0)</f>
        <v>0</v>
      </c>
      <c r="R123" s="29" t="n">
        <f aca="false">VLOOKUP(A123,'SYS Allocations'!A:G,7,0)</f>
        <v>0.5</v>
      </c>
      <c r="S123" s="30"/>
    </row>
    <row r="124" customFormat="false" ht="13.15" hidden="true" customHeight="false" outlineLevel="0" collapsed="false">
      <c r="A124" s="20" t="s">
        <v>140</v>
      </c>
      <c r="B124" s="21" t="str">
        <f aca="false">VLOOKUP(A124,All!A:AM,2,0)</f>
        <v>NORTHERN HOME COUNTIES</v>
      </c>
      <c r="C124" s="22" t="n">
        <f aca="false">VLOOKUP(A124,All!A:AM,11,0)</f>
        <v>45529</v>
      </c>
      <c r="D124" s="23"/>
      <c r="E124" s="24" t="n">
        <f aca="false">VLOOKUP(A124,All!A:AM,30,0)</f>
        <v>67.5546448087432</v>
      </c>
      <c r="F124" s="24" t="n">
        <f aca="false">VLOOKUP(A124,All!A:AM,28,0)</f>
        <v>19.40418</v>
      </c>
      <c r="G124" s="24" t="n">
        <f aca="false">VLOOKUP(A124,All!A:AM,31,0)</f>
        <v>47.7543538038497</v>
      </c>
      <c r="H124" s="24" t="n">
        <f aca="false">VLOOKUP(A124,All!A:AM,29,0)</f>
        <v>8.51835</v>
      </c>
      <c r="I124" s="25" t="n">
        <f aca="false">VLOOKUP(A124,All!A:AM,33,0)</f>
        <v>66.9380587484036</v>
      </c>
      <c r="J124" s="25" t="n">
        <f aca="false">VLOOKUP(A124,All!A:AM,32,0)</f>
        <v>18.8685</v>
      </c>
      <c r="K124" s="26" t="n">
        <f aca="false">VLOOKUP(A124,All!A:AM,39,0)</f>
        <v>58.58</v>
      </c>
      <c r="L124" s="26" t="n">
        <f aca="false">VLOOKUP(A124,All!A:AM,38,0)</f>
        <v>13.1805</v>
      </c>
      <c r="M124" s="28" t="n">
        <f aca="false">VLOOKUP(A124,'SYS Allocations'!A:G,2,0)</f>
        <v>0</v>
      </c>
      <c r="N124" s="28" t="n">
        <f aca="false">VLOOKUP(A124,'SYS Allocations'!A:G,3,0)</f>
        <v>0</v>
      </c>
      <c r="O124" s="28" t="n">
        <f aca="false">VLOOKUP(A124,'SYS Allocations'!A:G,4,0)</f>
        <v>0</v>
      </c>
      <c r="P124" s="28" t="n">
        <f aca="false">VLOOKUP(A124,'SYS Allocations'!A:G,5,0)</f>
        <v>0</v>
      </c>
      <c r="Q124" s="28" t="n">
        <f aca="false">VLOOKUP(A124,'SYS Allocations'!A:G,6,0)</f>
        <v>0</v>
      </c>
      <c r="R124" s="29" t="n">
        <f aca="false">VLOOKUP(A124,'SYS Allocations'!A:G,7,0)</f>
        <v>2</v>
      </c>
      <c r="S124" s="30"/>
    </row>
    <row r="125" customFormat="false" ht="13.15" hidden="true" customHeight="false" outlineLevel="0" collapsed="false">
      <c r="A125" s="20" t="s">
        <v>141</v>
      </c>
      <c r="B125" s="21" t="str">
        <f aca="false">VLOOKUP(A125,All!A:AM,2,0)</f>
        <v>LONDON</v>
      </c>
      <c r="C125" s="22" t="n">
        <f aca="false">VLOOKUP(A125,All!A:AM,11,0)</f>
        <v>45659</v>
      </c>
      <c r="D125" s="23"/>
      <c r="E125" s="24" t="n">
        <f aca="false">VLOOKUP(A125,All!A:AM,30,0)</f>
        <v>46.8188914910226</v>
      </c>
      <c r="F125" s="24" t="n">
        <f aca="false">VLOOKUP(A125,All!A:AM,28,0)</f>
        <v>5.22982</v>
      </c>
      <c r="G125" s="24" t="n">
        <f aca="false">VLOOKUP(A125,All!A:AM,31,0)</f>
        <v>14.9765990639626</v>
      </c>
      <c r="H125" s="24" t="n">
        <f aca="false">VLOOKUP(A125,All!A:AM,29,0)</f>
        <v>1.0464</v>
      </c>
      <c r="I125" s="25" t="n">
        <f aca="false">VLOOKUP(A125,All!A:AM,33,0)</f>
        <v>61.9713567273027</v>
      </c>
      <c r="J125" s="25" t="n">
        <f aca="false">VLOOKUP(A125,All!A:AM,32,0)</f>
        <v>9.68062000000003</v>
      </c>
      <c r="K125" s="26" t="n">
        <f aca="false">VLOOKUP(A125,All!A:AM,39,0)</f>
        <v>87.814358974359</v>
      </c>
      <c r="L125" s="26" t="n">
        <f aca="false">VLOOKUP(A125,All!A:AM,38,0)</f>
        <v>42.8095</v>
      </c>
      <c r="M125" s="28" t="n">
        <f aca="false">VLOOKUP(A125,'SYS Allocations'!A:G,2,0)</f>
        <v>0</v>
      </c>
      <c r="N125" s="28" t="n">
        <f aca="false">VLOOKUP(A125,'SYS Allocations'!A:G,3,0)</f>
        <v>0</v>
      </c>
      <c r="O125" s="28" t="n">
        <f aca="false">VLOOKUP(A125,'SYS Allocations'!A:G,4,0)</f>
        <v>0</v>
      </c>
      <c r="P125" s="28" t="n">
        <f aca="false">VLOOKUP(A125,'SYS Allocations'!A:G,5,0)</f>
        <v>0</v>
      </c>
      <c r="Q125" s="28" t="n">
        <f aca="false">VLOOKUP(A125,'SYS Allocations'!A:G,6,0)</f>
        <v>0</v>
      </c>
      <c r="R125" s="29" t="n">
        <f aca="false">VLOOKUP(A125,'SYS Allocations'!A:G,7,0)</f>
        <v>0</v>
      </c>
      <c r="S125" s="30"/>
    </row>
    <row r="126" customFormat="false" ht="13.15" hidden="true" customHeight="false" outlineLevel="0" collapsed="false">
      <c r="A126" s="20" t="s">
        <v>142</v>
      </c>
      <c r="B126" s="21" t="str">
        <f aca="false">VLOOKUP(A126,All!A:AM,2,0)</f>
        <v>LONDON</v>
      </c>
      <c r="C126" s="22" t="n">
        <f aca="false">VLOOKUP(A126,All!A:AM,11,0)</f>
        <v>45659</v>
      </c>
      <c r="D126" s="23"/>
      <c r="E126" s="24" t="n">
        <f aca="false">VLOOKUP(A126,All!A:AM,30,0)</f>
        <v>46.8188914910226</v>
      </c>
      <c r="F126" s="24" t="n">
        <f aca="false">VLOOKUP(A126,All!A:AM,28,0)</f>
        <v>5.22982</v>
      </c>
      <c r="G126" s="24" t="n">
        <f aca="false">VLOOKUP(A126,All!A:AM,31,0)</f>
        <v>14.9765990639626</v>
      </c>
      <c r="H126" s="24" t="n">
        <f aca="false">VLOOKUP(A126,All!A:AM,29,0)</f>
        <v>1.0464</v>
      </c>
      <c r="I126" s="25" t="n">
        <f aca="false">VLOOKUP(A126,All!A:AM,33,0)</f>
        <v>61.9713567273027</v>
      </c>
      <c r="J126" s="25" t="n">
        <f aca="false">VLOOKUP(A126,All!A:AM,32,0)</f>
        <v>9.68062000000003</v>
      </c>
      <c r="K126" s="26" t="n">
        <f aca="false">VLOOKUP(A126,All!A:AM,39,0)</f>
        <v>87.814358974359</v>
      </c>
      <c r="L126" s="26" t="n">
        <f aca="false">VLOOKUP(A126,All!A:AM,38,0)</f>
        <v>42.8095</v>
      </c>
      <c r="M126" s="28" t="n">
        <f aca="false">VLOOKUP(A126,'SYS Allocations'!A:G,2,0)</f>
        <v>0</v>
      </c>
      <c r="N126" s="28" t="n">
        <f aca="false">VLOOKUP(A126,'SYS Allocations'!A:G,3,0)</f>
        <v>0</v>
      </c>
      <c r="O126" s="28" t="n">
        <f aca="false">VLOOKUP(A126,'SYS Allocations'!A:G,4,0)</f>
        <v>0</v>
      </c>
      <c r="P126" s="28" t="n">
        <f aca="false">VLOOKUP(A126,'SYS Allocations'!A:G,5,0)</f>
        <v>0</v>
      </c>
      <c r="Q126" s="28" t="n">
        <f aca="false">VLOOKUP(A126,'SYS Allocations'!A:G,6,0)</f>
        <v>0</v>
      </c>
      <c r="R126" s="29" t="n">
        <f aca="false">VLOOKUP(A126,'SYS Allocations'!A:G,7,0)</f>
        <v>0</v>
      </c>
      <c r="S126" s="30"/>
    </row>
    <row r="127" customFormat="false" ht="13.15" hidden="true" customHeight="false" outlineLevel="0" collapsed="false">
      <c r="A127" s="20" t="s">
        <v>143</v>
      </c>
      <c r="B127" s="21" t="str">
        <f aca="false">VLOOKUP(A127,All!A:AM,2,0)</f>
        <v>ANGLIA</v>
      </c>
      <c r="C127" s="22" t="n">
        <f aca="false">VLOOKUP(A127,All!A:AM,11,0)</f>
        <v>45337</v>
      </c>
      <c r="D127" s="23"/>
      <c r="E127" s="24" t="n">
        <f aca="false">VLOOKUP(A127,All!A:AM,30,0)</f>
        <v>60.297131147541</v>
      </c>
      <c r="F127" s="24" t="n">
        <f aca="false">VLOOKUP(A127,All!A:AM,28,0)</f>
        <v>15.39516</v>
      </c>
      <c r="G127" s="24" t="n">
        <f aca="false">VLOOKUP(A127,All!A:AM,31,0)</f>
        <v>55.2454282964389</v>
      </c>
      <c r="H127" s="24" t="n">
        <f aca="false">VLOOKUP(A127,All!A:AM,29,0)</f>
        <v>12.5132</v>
      </c>
      <c r="I127" s="25" t="n">
        <f aca="false">VLOOKUP(A127,All!A:AM,33,0)</f>
        <v>29.7446773120426</v>
      </c>
      <c r="J127" s="25" t="n">
        <f aca="false">VLOOKUP(A127,All!A:AM,32,0)</f>
        <v>4.2918</v>
      </c>
      <c r="K127" s="26" t="n">
        <f aca="false">VLOOKUP(A127,All!A:AM,39,0)</f>
        <v>84.9822222222222</v>
      </c>
      <c r="L127" s="26" t="n">
        <f aca="false">VLOOKUP(A127,All!A:AM,38,0)</f>
        <v>57.363</v>
      </c>
      <c r="M127" s="28" t="n">
        <f aca="false">VLOOKUP(A127,'SYS Allocations'!A:G,2,0)</f>
        <v>0</v>
      </c>
      <c r="N127" s="28" t="n">
        <f aca="false">VLOOKUP(A127,'SYS Allocations'!A:G,3,0)</f>
        <v>0</v>
      </c>
      <c r="O127" s="28" t="n">
        <f aca="false">VLOOKUP(A127,'SYS Allocations'!A:G,4,0)</f>
        <v>0</v>
      </c>
      <c r="P127" s="28" t="n">
        <f aca="false">VLOOKUP(A127,'SYS Allocations'!A:G,5,0)</f>
        <v>0</v>
      </c>
      <c r="Q127" s="28" t="n">
        <f aca="false">VLOOKUP(A127,'SYS Allocations'!A:G,6,0)</f>
        <v>0</v>
      </c>
      <c r="R127" s="29" t="n">
        <f aca="false">VLOOKUP(A127,'SYS Allocations'!A:G,7,0)</f>
        <v>1</v>
      </c>
      <c r="S127" s="30"/>
    </row>
    <row r="128" customFormat="false" ht="13.15" hidden="true" customHeight="false" outlineLevel="0" collapsed="false">
      <c r="A128" s="20" t="s">
        <v>144</v>
      </c>
      <c r="B128" s="21" t="str">
        <f aca="false">VLOOKUP(A128,All!A:AM,2,0)</f>
        <v>LONDON</v>
      </c>
      <c r="C128" s="22" t="n">
        <f aca="false">VLOOKUP(A128,All!A:AM,11,0)</f>
        <v>45503</v>
      </c>
      <c r="D128" s="23"/>
      <c r="E128" s="24" t="n">
        <f aca="false">VLOOKUP(A128,All!A:AM,30,0)</f>
        <v>81.7591902632886</v>
      </c>
      <c r="F128" s="24" t="n">
        <f aca="false">VLOOKUP(A128,All!A:AM,28,0)</f>
        <v>57.40594</v>
      </c>
      <c r="G128" s="24" t="n">
        <f aca="false">VLOOKUP(A128,All!A:AM,31,0)</f>
        <v>76.7418844022169</v>
      </c>
      <c r="H128" s="24" t="n">
        <f aca="false">VLOOKUP(A128,All!A:AM,29,0)</f>
        <v>42.2593</v>
      </c>
      <c r="I128" s="25" t="n">
        <f aca="false">VLOOKUP(A128,All!A:AM,33,0)</f>
        <v>75.984616653916</v>
      </c>
      <c r="J128" s="25" t="n">
        <f aca="false">VLOOKUP(A128,All!A:AM,32,0)</f>
        <v>40.5229</v>
      </c>
      <c r="K128" s="26" t="n">
        <f aca="false">VLOOKUP(A128,All!A:AM,39,0)</f>
        <v>81.0259259259259</v>
      </c>
      <c r="L128" s="26" t="n">
        <f aca="false">VLOOKUP(A128,All!A:AM,38,0)</f>
        <v>54.6925</v>
      </c>
      <c r="M128" s="28" t="n">
        <f aca="false">VLOOKUP(A128,'SYS Allocations'!A:G,2,0)</f>
        <v>0</v>
      </c>
      <c r="N128" s="28" t="str">
        <f aca="false">VLOOKUP(A128,'SYS Allocations'!A:G,3,0)</f>
        <v>RA</v>
      </c>
      <c r="O128" s="28" t="n">
        <f aca="false">VLOOKUP(A128,'SYS Allocations'!A:G,4,0)</f>
        <v>0</v>
      </c>
      <c r="P128" s="28" t="n">
        <f aca="false">VLOOKUP(A128,'SYS Allocations'!A:G,5,0)</f>
        <v>0</v>
      </c>
      <c r="Q128" s="28" t="n">
        <f aca="false">VLOOKUP(A128,'SYS Allocations'!A:G,6,0)</f>
        <v>0</v>
      </c>
      <c r="R128" s="29" t="n">
        <f aca="false">VLOOKUP(A128,'SYS Allocations'!A:G,7,0)</f>
        <v>10.1</v>
      </c>
      <c r="S128" s="30"/>
    </row>
    <row r="129" customFormat="false" ht="13.15" hidden="true" customHeight="false" outlineLevel="0" collapsed="false">
      <c r="A129" s="20" t="s">
        <v>145</v>
      </c>
      <c r="B129" s="21" t="str">
        <f aca="false">VLOOKUP(A129,All!A:AM,2,0)</f>
        <v>NORTH EAST</v>
      </c>
      <c r="C129" s="22" t="n">
        <f aca="false">VLOOKUP(A129,All!A:AM,11,0)</f>
        <v>45419</v>
      </c>
      <c r="D129" s="23"/>
      <c r="E129" s="24" t="n">
        <f aca="false">VLOOKUP(A129,All!A:AM,30,0)</f>
        <v>74.1666666666667</v>
      </c>
      <c r="F129" s="24" t="n">
        <f aca="false">VLOOKUP(A129,All!A:AM,28,0)</f>
        <v>9.701</v>
      </c>
      <c r="G129" s="24" t="n">
        <f aca="false">VLOOKUP(A129,All!A:AM,31,0)</f>
        <v>65.7458563535912</v>
      </c>
      <c r="H129" s="24" t="n">
        <f aca="false">VLOOKUP(A129,All!A:AM,29,0)</f>
        <v>6.4855</v>
      </c>
      <c r="I129" s="25" t="n">
        <f aca="false">VLOOKUP(A129,All!A:AM,33,0)</f>
        <v>66.5736783792337</v>
      </c>
      <c r="J129" s="25" t="n">
        <f aca="false">VLOOKUP(A129,All!A:AM,32,0)</f>
        <v>6.72979999999998</v>
      </c>
      <c r="K129" s="26" t="n">
        <f aca="false">VLOOKUP(A129,All!A:AM,39,0)</f>
        <v>62.4555555555556</v>
      </c>
      <c r="L129" s="26" t="n">
        <f aca="false">VLOOKUP(A129,All!A:AM,38,0)</f>
        <v>5.621</v>
      </c>
      <c r="M129" s="28" t="n">
        <f aca="false">VLOOKUP(A129,'SYS Allocations'!A:G,2,0)</f>
        <v>0</v>
      </c>
      <c r="N129" s="28" t="n">
        <f aca="false">VLOOKUP(A129,'SYS Allocations'!A:G,3,0)</f>
        <v>0</v>
      </c>
      <c r="O129" s="28" t="n">
        <f aca="false">VLOOKUP(A129,'SYS Allocations'!A:G,4,0)</f>
        <v>0</v>
      </c>
      <c r="P129" s="28" t="n">
        <f aca="false">VLOOKUP(A129,'SYS Allocations'!A:G,5,0)</f>
        <v>0</v>
      </c>
      <c r="Q129" s="28" t="n">
        <f aca="false">VLOOKUP(A129,'SYS Allocations'!A:G,6,0)</f>
        <v>0</v>
      </c>
      <c r="R129" s="29" t="n">
        <f aca="false">VLOOKUP(A129,'SYS Allocations'!A:G,7,0)</f>
        <v>1</v>
      </c>
      <c r="S129" s="30"/>
    </row>
    <row r="130" customFormat="false" ht="13.15" hidden="true" customHeight="false" outlineLevel="0" collapsed="false">
      <c r="A130" s="20" t="s">
        <v>146</v>
      </c>
      <c r="B130" s="21" t="str">
        <f aca="false">VLOOKUP(A130,All!A:AM,2,0)</f>
        <v>LONDON</v>
      </c>
      <c r="C130" s="22" t="n">
        <f aca="false">VLOOKUP(A130,All!A:AM,11,0)</f>
        <v>45659</v>
      </c>
      <c r="D130" s="23"/>
      <c r="E130" s="24" t="n">
        <f aca="false">VLOOKUP(A130,All!A:AM,30,0)</f>
        <v>43.3410396525151</v>
      </c>
      <c r="F130" s="24" t="n">
        <f aca="false">VLOOKUP(A130,All!A:AM,28,0)</f>
        <v>26.97314</v>
      </c>
      <c r="G130" s="24" t="n">
        <f aca="false">VLOOKUP(A130,All!A:AM,31,0)</f>
        <v>21.8032390621223</v>
      </c>
      <c r="H130" s="24" t="n">
        <f aca="false">VLOOKUP(A130,All!A:AM,29,0)</f>
        <v>9.8318</v>
      </c>
      <c r="I130" s="25" t="n">
        <f aca="false">VLOOKUP(A130,All!A:AM,33,0)</f>
        <v>33.8810509578027</v>
      </c>
      <c r="J130" s="25" t="n">
        <f aca="false">VLOOKUP(A130,All!A:AM,32,0)</f>
        <v>18.0689</v>
      </c>
      <c r="K130" s="26" t="n">
        <f aca="false">VLOOKUP(A130,All!A:AM,39,0)</f>
        <v>52.0251700680272</v>
      </c>
      <c r="L130" s="26" t="n">
        <f aca="false">VLOOKUP(A130,All!A:AM,38,0)</f>
        <v>38.2385</v>
      </c>
      <c r="M130" s="28" t="n">
        <f aca="false">VLOOKUP(A130,'SYS Allocations'!A:G,2,0)</f>
        <v>0</v>
      </c>
      <c r="N130" s="28" t="str">
        <f aca="false">VLOOKUP(A130,'SYS Allocations'!A:G,3,0)</f>
        <v>RA</v>
      </c>
      <c r="O130" s="28" t="n">
        <f aca="false">VLOOKUP(A130,'SYS Allocations'!A:G,4,0)</f>
        <v>0</v>
      </c>
      <c r="P130" s="28" t="n">
        <f aca="false">VLOOKUP(A130,'SYS Allocations'!A:G,5,0)</f>
        <v>0</v>
      </c>
      <c r="Q130" s="28" t="n">
        <f aca="false">VLOOKUP(A130,'SYS Allocations'!A:G,6,0)</f>
        <v>0</v>
      </c>
      <c r="R130" s="29" t="n">
        <f aca="false">VLOOKUP(A130,'SYS Allocations'!A:G,7,0)</f>
        <v>4.4</v>
      </c>
      <c r="S130" s="30"/>
    </row>
    <row r="131" customFormat="false" ht="13.15" hidden="true" customHeight="false" outlineLevel="0" collapsed="false">
      <c r="A131" s="20" t="s">
        <v>147</v>
      </c>
      <c r="B131" s="21" t="str">
        <f aca="false">VLOOKUP(A131,All!A:AM,2,0)</f>
        <v>SCOTLAND</v>
      </c>
      <c r="C131" s="22" t="n">
        <f aca="false">VLOOKUP(A131,All!A:AM,11,0)</f>
        <v>45659</v>
      </c>
      <c r="D131" s="23"/>
      <c r="E131" s="24" t="n">
        <f aca="false">VLOOKUP(A131,All!A:AM,30,0)</f>
        <v>71.1834016393443</v>
      </c>
      <c r="F131" s="24" t="n">
        <f aca="false">VLOOKUP(A131,All!A:AM,28,0)</f>
        <v>18.17466</v>
      </c>
      <c r="G131" s="24" t="n">
        <f aca="false">VLOOKUP(A131,All!A:AM,31,0)</f>
        <v>61.1622554660529</v>
      </c>
      <c r="H131" s="24" t="n">
        <f aca="false">VLOOKUP(A131,All!A:AM,29,0)</f>
        <v>11.5867</v>
      </c>
      <c r="I131" s="25" t="n">
        <f aca="false">VLOOKUP(A131,All!A:AM,33,0)</f>
        <v>63.6084401709402</v>
      </c>
      <c r="J131" s="25" t="n">
        <f aca="false">VLOOKUP(A131,All!A:AM,32,0)</f>
        <v>12.8601</v>
      </c>
      <c r="K131" s="26" t="n">
        <f aca="false">VLOOKUP(A131,All!A:AM,39,0)</f>
        <v>34.6</v>
      </c>
      <c r="L131" s="26" t="n">
        <f aca="false">VLOOKUP(A131,All!A:AM,38,0)</f>
        <v>3.8925</v>
      </c>
      <c r="M131" s="28" t="n">
        <f aca="false">VLOOKUP(A131,'SYS Allocations'!A:G,2,0)</f>
        <v>0</v>
      </c>
      <c r="N131" s="28" t="str">
        <f aca="false">VLOOKUP(A131,'SYS Allocations'!A:G,3,0)</f>
        <v>RA</v>
      </c>
      <c r="O131" s="28" t="n">
        <f aca="false">VLOOKUP(A131,'SYS Allocations'!A:G,4,0)</f>
        <v>0</v>
      </c>
      <c r="P131" s="28" t="n">
        <f aca="false">VLOOKUP(A131,'SYS Allocations'!A:G,5,0)</f>
        <v>0</v>
      </c>
      <c r="Q131" s="28" t="n">
        <f aca="false">VLOOKUP(A131,'SYS Allocations'!A:G,6,0)</f>
        <v>0</v>
      </c>
      <c r="R131" s="29" t="n">
        <f aca="false">VLOOKUP(A131,'SYS Allocations'!A:G,7,0)</f>
        <v>8.6</v>
      </c>
      <c r="S131" s="30"/>
    </row>
    <row r="132" customFormat="false" ht="13.15" hidden="true" customHeight="false" outlineLevel="0" collapsed="false">
      <c r="A132" s="20" t="s">
        <v>148</v>
      </c>
      <c r="B132" s="21" t="str">
        <f aca="false">VLOOKUP(A132,All!A:AM,2,0)</f>
        <v>SCOTLAND</v>
      </c>
      <c r="C132" s="22" t="n">
        <f aca="false">VLOOKUP(A132,All!A:AM,11,0)</f>
        <v>45659</v>
      </c>
      <c r="D132" s="23"/>
      <c r="E132" s="24" t="n">
        <f aca="false">VLOOKUP(A132,All!A:AM,30,0)</f>
        <v>53.4665300546448</v>
      </c>
      <c r="F132" s="24" t="n">
        <f aca="false">VLOOKUP(A132,All!A:AM,28,0)</f>
        <v>6.82558</v>
      </c>
      <c r="G132" s="24" t="n">
        <f aca="false">VLOOKUP(A132,All!A:AM,31,0)</f>
        <v>42.5105460974914</v>
      </c>
      <c r="H132" s="24" t="n">
        <f aca="false">VLOOKUP(A132,All!A:AM,29,0)</f>
        <v>4.392699564</v>
      </c>
      <c r="I132" s="25" t="n">
        <f aca="false">VLOOKUP(A132,All!A:AM,33,0)</f>
        <v>47.1109330484331</v>
      </c>
      <c r="J132" s="25" t="n">
        <f aca="false">VLOOKUP(A132,All!A:AM,32,0)</f>
        <v>5.2915</v>
      </c>
      <c r="K132" s="26" t="n">
        <f aca="false">VLOOKUP(A132,All!A:AM,39,0)</f>
        <v>43.4238095238095</v>
      </c>
      <c r="L132" s="26" t="n">
        <f aca="false">VLOOKUP(A132,All!A:AM,38,0)</f>
        <v>4.5595</v>
      </c>
      <c r="M132" s="28" t="n">
        <f aca="false">VLOOKUP(A132,'SYS Allocations'!A:G,2,0)</f>
        <v>0</v>
      </c>
      <c r="N132" s="28" t="n">
        <f aca="false">VLOOKUP(A132,'SYS Allocations'!A:G,3,0)</f>
        <v>0</v>
      </c>
      <c r="O132" s="28" t="n">
        <f aca="false">VLOOKUP(A132,'SYS Allocations'!A:G,4,0)</f>
        <v>0</v>
      </c>
      <c r="P132" s="28" t="n">
        <f aca="false">VLOOKUP(A132,'SYS Allocations'!A:G,5,0)</f>
        <v>0</v>
      </c>
      <c r="Q132" s="28" t="n">
        <f aca="false">VLOOKUP(A132,'SYS Allocations'!A:G,6,0)</f>
        <v>0</v>
      </c>
      <c r="R132" s="29" t="n">
        <f aca="false">VLOOKUP(A132,'SYS Allocations'!A:G,7,0)</f>
        <v>4</v>
      </c>
      <c r="S132" s="30"/>
    </row>
    <row r="133" customFormat="false" ht="13.15" hidden="true" customHeight="false" outlineLevel="0" collapsed="false">
      <c r="A133" s="20" t="s">
        <v>149</v>
      </c>
      <c r="B133" s="21" t="str">
        <f aca="false">VLOOKUP(A133,All!A:AM,2,0)</f>
        <v>LONDON</v>
      </c>
      <c r="C133" s="22" t="n">
        <f aca="false">VLOOKUP(A133,All!A:AM,11,0)</f>
        <v>45295</v>
      </c>
      <c r="D133" s="23"/>
      <c r="E133" s="24" t="n">
        <f aca="false">VLOOKUP(A133,All!A:AM,30,0)</f>
        <v>30.9808612440191</v>
      </c>
      <c r="F133" s="24" t="n">
        <f aca="false">VLOOKUP(A133,All!A:AM,28,0)</f>
        <v>14.1155</v>
      </c>
      <c r="G133" s="24" t="n">
        <f aca="false">VLOOKUP(A133,All!A:AM,31,0)</f>
        <v>10.5426356589147</v>
      </c>
      <c r="H133" s="24" t="n">
        <f aca="false">VLOOKUP(A133,All!A:AM,29,0)</f>
        <v>3.706</v>
      </c>
      <c r="I133" s="25" t="n">
        <f aca="false">VLOOKUP(A133,All!A:AM,33,0)</f>
        <v>11.5518541019756</v>
      </c>
      <c r="J133" s="25" t="n">
        <f aca="false">VLOOKUP(A133,All!A:AM,32,0)</f>
        <v>4.1071</v>
      </c>
      <c r="K133" s="26" t="n">
        <f aca="false">VLOOKUP(A133,All!A:AM,39,0)</f>
        <v>79.0356666666667</v>
      </c>
      <c r="L133" s="26" t="n">
        <f aca="false">VLOOKUP(A133,All!A:AM,38,0)</f>
        <v>118.5535</v>
      </c>
      <c r="M133" s="28" t="n">
        <f aca="false">VLOOKUP(A133,'SYS Allocations'!A:G,2,0)</f>
        <v>0</v>
      </c>
      <c r="N133" s="28" t="str">
        <f aca="false">VLOOKUP(A133,'SYS Allocations'!A:G,3,0)</f>
        <v>RA</v>
      </c>
      <c r="O133" s="28" t="n">
        <f aca="false">VLOOKUP(A133,'SYS Allocations'!A:G,4,0)</f>
        <v>0</v>
      </c>
      <c r="P133" s="28" t="n">
        <f aca="false">VLOOKUP(A133,'SYS Allocations'!A:G,5,0)</f>
        <v>0</v>
      </c>
      <c r="Q133" s="28" t="str">
        <f aca="false">VLOOKUP(A133,'SYS Allocations'!A:G,6,0)</f>
        <v>OPEX</v>
      </c>
      <c r="R133" s="29" t="n">
        <f aca="false">VLOOKUP(A133,'SYS Allocations'!A:G,7,0)</f>
        <v>10.4</v>
      </c>
      <c r="S133" s="30"/>
    </row>
    <row r="134" customFormat="false" ht="13.15" hidden="true" customHeight="false" outlineLevel="0" collapsed="false">
      <c r="A134" s="20" t="s">
        <v>150</v>
      </c>
      <c r="B134" s="21" t="str">
        <f aca="false">VLOOKUP(A134,All!A:AM,2,0)</f>
        <v>LONDON</v>
      </c>
      <c r="C134" s="22" t="n">
        <f aca="false">VLOOKUP(A134,All!A:AM,11,0)</f>
        <v>45475</v>
      </c>
      <c r="D134" s="23"/>
      <c r="E134" s="24" t="n">
        <f aca="false">VLOOKUP(A134,All!A:AM,30,0)</f>
        <v>55.9342929494869</v>
      </c>
      <c r="F134" s="24" t="n">
        <f aca="false">VLOOKUP(A134,All!A:AM,28,0)</f>
        <v>36.59566</v>
      </c>
      <c r="G134" s="24" t="n">
        <f aca="false">VLOOKUP(A134,All!A:AM,31,0)</f>
        <v>43.6994465730098</v>
      </c>
      <c r="H134" s="24" t="n">
        <f aca="false">VLOOKUP(A134,All!A:AM,29,0)</f>
        <v>22.3777</v>
      </c>
      <c r="I134" s="25" t="n">
        <f aca="false">VLOOKUP(A134,All!A:AM,33,0)</f>
        <v>41.4585363872645</v>
      </c>
      <c r="J134" s="25" t="n">
        <f aca="false">VLOOKUP(A134,All!A:AM,32,0)</f>
        <v>20.4175</v>
      </c>
      <c r="K134" s="26" t="n">
        <f aca="false">VLOOKUP(A134,All!A:AM,39,0)</f>
        <v>52.5423868312757</v>
      </c>
      <c r="L134" s="26" t="n">
        <f aca="false">VLOOKUP(A134,All!A:AM,38,0)</f>
        <v>31.9195</v>
      </c>
      <c r="M134" s="28"/>
      <c r="N134" s="28"/>
      <c r="O134" s="28"/>
      <c r="P134" s="28"/>
      <c r="Q134" s="28" t="str">
        <f aca="false">VLOOKUP(A134,'SYS Allocations'!A:G,6,0)</f>
        <v>OPEX</v>
      </c>
      <c r="R134" s="29" t="n">
        <f aca="false">VLOOKUP(A134,'SYS Allocations'!A:G,7,0)</f>
        <v>1</v>
      </c>
      <c r="S134" s="30"/>
    </row>
    <row r="135" customFormat="false" ht="13.15" hidden="true" customHeight="false" outlineLevel="0" collapsed="false">
      <c r="A135" s="20" t="s">
        <v>151</v>
      </c>
      <c r="B135" s="21" t="str">
        <f aca="false">VLOOKUP(A135,All!A:AM,2,0)</f>
        <v>ANGLIA</v>
      </c>
      <c r="C135" s="22" t="n">
        <f aca="false">VLOOKUP(A135,All!A:AM,11,0)</f>
        <v>45350</v>
      </c>
      <c r="D135" s="23"/>
      <c r="E135" s="24" t="n">
        <f aca="false">VLOOKUP(A135,All!A:AM,30,0)</f>
        <v>62.8415300546448</v>
      </c>
      <c r="F135" s="24" t="n">
        <f aca="false">VLOOKUP(A135,All!A:AM,28,0)</f>
        <v>25.07</v>
      </c>
      <c r="G135" s="24" t="n">
        <f aca="false">VLOOKUP(A135,All!A:AM,31,0)</f>
        <v>47.1844660194175</v>
      </c>
      <c r="H135" s="24" t="n">
        <f aca="false">VLOOKUP(A135,All!A:AM,29,0)</f>
        <v>13.2435</v>
      </c>
      <c r="I135" s="25" t="n">
        <f aca="false">VLOOKUP(A135,All!A:AM,33,0)</f>
        <v>58.3052067863733</v>
      </c>
      <c r="J135" s="25" t="n">
        <f aca="false">VLOOKUP(A135,All!A:AM,32,0)</f>
        <v>20.7296</v>
      </c>
      <c r="K135" s="26" t="n">
        <f aca="false">VLOOKUP(A135,All!A:AM,39,0)</f>
        <v>34.1155555555556</v>
      </c>
      <c r="L135" s="26" t="n">
        <f aca="false">VLOOKUP(A135,All!A:AM,38,0)</f>
        <v>7.676</v>
      </c>
      <c r="M135" s="28" t="n">
        <f aca="false">VLOOKUP(A135,'SYS Allocations'!A:G,2,0)</f>
        <v>0</v>
      </c>
      <c r="N135" s="28" t="str">
        <f aca="false">VLOOKUP(A135,'SYS Allocations'!A:G,3,0)</f>
        <v>RA</v>
      </c>
      <c r="O135" s="28" t="n">
        <f aca="false">VLOOKUP(A135,'SYS Allocations'!A:G,4,0)</f>
        <v>0</v>
      </c>
      <c r="P135" s="28" t="n">
        <f aca="false">VLOOKUP(A135,'SYS Allocations'!A:G,5,0)</f>
        <v>0</v>
      </c>
      <c r="Q135" s="28" t="n">
        <f aca="false">VLOOKUP(A135,'SYS Allocations'!A:G,6,0)</f>
        <v>0</v>
      </c>
      <c r="R135" s="29" t="n">
        <f aca="false">VLOOKUP(A135,'SYS Allocations'!A:G,7,0)</f>
        <v>6.7</v>
      </c>
      <c r="S135" s="30"/>
    </row>
    <row r="136" customFormat="false" ht="13.15" hidden="true" customHeight="false" outlineLevel="0" collapsed="false">
      <c r="A136" s="20" t="s">
        <v>152</v>
      </c>
      <c r="B136" s="21" t="str">
        <f aca="false">VLOOKUP(A136,All!A:AM,2,0)</f>
        <v>THAMES VALLEY</v>
      </c>
      <c r="C136" s="22" t="n">
        <f aca="false">VLOOKUP(A136,All!A:AM,11,0)</f>
        <v>45524</v>
      </c>
      <c r="D136" s="23"/>
      <c r="E136" s="24" t="n">
        <f aca="false">VLOOKUP(A136,All!A:AM,30,0)</f>
        <v>0.102459016393447</v>
      </c>
      <c r="F136" s="24" t="n">
        <f aca="false">VLOOKUP(A136,All!A:AM,28,0)</f>
        <v>0.00654000000000025</v>
      </c>
      <c r="G136" s="24" t="n">
        <f aca="false">VLOOKUP(A136,All!A:AM,31,0)</f>
        <v>-35.4166666666667</v>
      </c>
      <c r="H136" s="24" t="n">
        <f aca="false">VLOOKUP(A136,All!A:AM,29,0)</f>
        <v>-1.6677</v>
      </c>
      <c r="I136" s="25" t="n">
        <f aca="false">VLOOKUP(A136,All!A:AM,33,0)</f>
        <v>30.7997343334896</v>
      </c>
      <c r="J136" s="25" t="n">
        <f aca="false">VLOOKUP(A136,All!A:AM,32,0)</f>
        <v>2.83806</v>
      </c>
      <c r="K136" s="26" t="n">
        <f aca="false">VLOOKUP(A136,All!A:AM,39,0)</f>
        <v>29.15</v>
      </c>
      <c r="L136" s="26" t="n">
        <f aca="false">VLOOKUP(A136,All!A:AM,38,0)</f>
        <v>2.6235</v>
      </c>
      <c r="M136" s="28" t="n">
        <f aca="false">VLOOKUP(A136,'SYS Allocations'!A:G,2,0)</f>
        <v>0</v>
      </c>
      <c r="N136" s="28" t="n">
        <f aca="false">VLOOKUP(A136,'SYS Allocations'!A:G,3,0)</f>
        <v>0</v>
      </c>
      <c r="O136" s="28" t="n">
        <f aca="false">VLOOKUP(A136,'SYS Allocations'!A:G,4,0)</f>
        <v>0</v>
      </c>
      <c r="P136" s="28" t="n">
        <f aca="false">VLOOKUP(A136,'SYS Allocations'!A:G,5,0)</f>
        <v>0</v>
      </c>
      <c r="Q136" s="28" t="n">
        <f aca="false">VLOOKUP(A136,'SYS Allocations'!A:G,6,0)</f>
        <v>0</v>
      </c>
      <c r="R136" s="29" t="n">
        <f aca="false">VLOOKUP(A136,'SYS Allocations'!A:G,7,0)</f>
        <v>0</v>
      </c>
      <c r="S136" s="30"/>
    </row>
    <row r="137" customFormat="false" ht="13.15" hidden="true" customHeight="false" outlineLevel="0" collapsed="false">
      <c r="A137" s="20" t="s">
        <v>153</v>
      </c>
      <c r="B137" s="21" t="str">
        <f aca="false">VLOOKUP(A137,All!A:AM,2,0)</f>
        <v>ANGLIA</v>
      </c>
      <c r="C137" s="22" t="n">
        <f aca="false">VLOOKUP(A137,All!A:AM,11,0)</f>
        <v>45351</v>
      </c>
      <c r="D137" s="23"/>
      <c r="E137" s="24" t="n">
        <f aca="false">VLOOKUP(A137,All!A:AM,30,0)</f>
        <v>94.1666666666667</v>
      </c>
      <c r="F137" s="24" t="n">
        <f aca="false">VLOOKUP(A137,All!A:AM,28,0)</f>
        <v>6.1585</v>
      </c>
      <c r="G137" s="24" t="n">
        <f aca="false">VLOOKUP(A137,All!A:AM,31,0)</f>
        <v>94.7209653092006</v>
      </c>
      <c r="H137" s="24" t="n">
        <f aca="false">VLOOKUP(A137,All!A:AM,29,0)</f>
        <v>6.8452</v>
      </c>
      <c r="I137" s="25" t="n">
        <f aca="false">VLOOKUP(A137,All!A:AM,33,0)</f>
        <v>78.7204373047747</v>
      </c>
      <c r="J137" s="25" t="n">
        <f aca="false">VLOOKUP(A137,All!A:AM,32,0)</f>
        <v>1.4113</v>
      </c>
      <c r="K137" s="26" t="n">
        <f aca="false">VLOOKUP(A137,All!A:AM,39,0)</f>
        <v>89.8266666666667</v>
      </c>
      <c r="L137" s="26" t="n">
        <f aca="false">VLOOKUP(A137,All!A:AM,38,0)</f>
        <v>3.3685</v>
      </c>
      <c r="M137" s="28" t="n">
        <f aca="false">VLOOKUP(A137,'SYS Allocations'!A:G,2,0)</f>
        <v>0</v>
      </c>
      <c r="N137" s="28" t="n">
        <f aca="false">VLOOKUP(A137,'SYS Allocations'!A:G,3,0)</f>
        <v>0</v>
      </c>
      <c r="O137" s="28" t="n">
        <f aca="false">VLOOKUP(A137,'SYS Allocations'!A:G,4,0)</f>
        <v>0</v>
      </c>
      <c r="P137" s="28" t="n">
        <f aca="false">VLOOKUP(A137,'SYS Allocations'!A:G,5,0)</f>
        <v>0</v>
      </c>
      <c r="Q137" s="28" t="n">
        <f aca="false">VLOOKUP(A137,'SYS Allocations'!A:G,6,0)</f>
        <v>0</v>
      </c>
      <c r="R137" s="29" t="n">
        <f aca="false">VLOOKUP(A137,'SYS Allocations'!A:G,7,0)</f>
        <v>0</v>
      </c>
      <c r="S137" s="30"/>
    </row>
    <row r="138" customFormat="false" ht="13.15" hidden="true" customHeight="false" outlineLevel="0" collapsed="false">
      <c r="A138" s="20" t="s">
        <v>154</v>
      </c>
      <c r="B138" s="21" t="str">
        <f aca="false">VLOOKUP(A138,All!A:AM,2,0)</f>
        <v>NORTH WEST</v>
      </c>
      <c r="C138" s="22" t="n">
        <f aca="false">VLOOKUP(A138,All!A:AM,11,0)</f>
        <v>45659</v>
      </c>
      <c r="D138" s="23"/>
      <c r="E138" s="24" t="n">
        <f aca="false">VLOOKUP(A138,All!A:AM,30,0)</f>
        <v>45.7821038251366</v>
      </c>
      <c r="F138" s="24" t="n">
        <f aca="false">VLOOKUP(A138,All!A:AM,28,0)</f>
        <v>5.84458</v>
      </c>
      <c r="G138" s="24" t="n">
        <f aca="false">VLOOKUP(A138,All!A:AM,31,0)</f>
        <v>-3.42019543973941</v>
      </c>
      <c r="H138" s="24" t="n">
        <f aca="false">VLOOKUP(A138,All!A:AM,29,0)</f>
        <v>-0.2289</v>
      </c>
      <c r="I138" s="25" t="n">
        <f aca="false">VLOOKUP(A138,All!A:AM,33,0)</f>
        <v>52.0299678420936</v>
      </c>
      <c r="J138" s="25" t="n">
        <f aca="false">VLOOKUP(A138,All!A:AM,32,0)</f>
        <v>7.5073</v>
      </c>
      <c r="K138" s="26" t="n">
        <f aca="false">VLOOKUP(A138,All!A:AM,39,0)</f>
        <v>69.2377777777778</v>
      </c>
      <c r="L138" s="26" t="n">
        <f aca="false">VLOOKUP(A138,All!A:AM,38,0)</f>
        <v>15.5785</v>
      </c>
      <c r="M138" s="28" t="n">
        <f aca="false">VLOOKUP(A138,'SYS Allocations'!A:G,2,0)</f>
        <v>0</v>
      </c>
      <c r="N138" s="28" t="n">
        <f aca="false">VLOOKUP(A138,'SYS Allocations'!A:G,3,0)</f>
        <v>0</v>
      </c>
      <c r="O138" s="28" t="n">
        <f aca="false">VLOOKUP(A138,'SYS Allocations'!A:G,4,0)</f>
        <v>0</v>
      </c>
      <c r="P138" s="28" t="n">
        <f aca="false">VLOOKUP(A138,'SYS Allocations'!A:G,5,0)</f>
        <v>0</v>
      </c>
      <c r="Q138" s="28" t="n">
        <f aca="false">VLOOKUP(A138,'SYS Allocations'!A:G,6,0)</f>
        <v>0</v>
      </c>
      <c r="R138" s="29" t="n">
        <f aca="false">VLOOKUP(A138,'SYS Allocations'!A:G,7,0)</f>
        <v>0.5</v>
      </c>
      <c r="S138" s="30"/>
    </row>
    <row r="139" customFormat="false" ht="13.15" hidden="true" customHeight="false" outlineLevel="0" collapsed="false">
      <c r="A139" s="20" t="s">
        <v>155</v>
      </c>
      <c r="B139" s="21" t="str">
        <f aca="false">VLOOKUP(A139,All!A:AM,2,0)</f>
        <v>MIDLANDS</v>
      </c>
      <c r="C139" s="22" t="n">
        <f aca="false">VLOOKUP(A139,All!A:AM,11,0)</f>
        <v>45630</v>
      </c>
      <c r="D139" s="23"/>
      <c r="E139" s="24" t="n">
        <f aca="false">VLOOKUP(A139,All!A:AM,30,0)</f>
        <v>55.6010928961749</v>
      </c>
      <c r="F139" s="24" t="n">
        <f aca="false">VLOOKUP(A139,All!A:AM,28,0)</f>
        <v>61.22094</v>
      </c>
      <c r="G139" s="24" t="n">
        <f aca="false">VLOOKUP(A139,All!A:AM,31,0)</f>
        <v>36.1747545182866</v>
      </c>
      <c r="H139" s="24" t="n">
        <f aca="false">VLOOKUP(A139,All!A:AM,29,0)</f>
        <v>27.7078</v>
      </c>
      <c r="I139" s="25" t="n">
        <f aca="false">VLOOKUP(A139,All!A:AM,33,0)</f>
        <v>48.8689705203125</v>
      </c>
      <c r="J139" s="25" t="n">
        <f aca="false">VLOOKUP(A139,All!A:AM,32,0)</f>
        <v>46.72374</v>
      </c>
      <c r="K139" s="26" t="n">
        <f aca="false">VLOOKUP(A139,All!A:AM,39,0)</f>
        <v>40.7436363636364</v>
      </c>
      <c r="L139" s="26" t="n">
        <f aca="false">VLOOKUP(A139,All!A:AM,38,0)</f>
        <v>33.6135</v>
      </c>
      <c r="M139" s="28" t="n">
        <f aca="false">VLOOKUP(A139,'SYS Allocations'!A:G,2,0)</f>
        <v>0</v>
      </c>
      <c r="N139" s="28" t="str">
        <f aca="false">VLOOKUP(A139,'SYS Allocations'!A:G,3,0)</f>
        <v>RA</v>
      </c>
      <c r="O139" s="28" t="n">
        <f aca="false">VLOOKUP(A139,'SYS Allocations'!A:G,4,0)</f>
        <v>0</v>
      </c>
      <c r="P139" s="28" t="n">
        <f aca="false">VLOOKUP(A139,'SYS Allocations'!A:G,5,0)</f>
        <v>0</v>
      </c>
      <c r="Q139" s="28" t="n">
        <f aca="false">VLOOKUP(A139,'SYS Allocations'!A:G,6,0)</f>
        <v>0</v>
      </c>
      <c r="R139" s="29" t="n">
        <f aca="false">VLOOKUP(A139,'SYS Allocations'!A:G,7,0)</f>
        <v>19.7</v>
      </c>
      <c r="S139" s="30"/>
    </row>
    <row r="140" customFormat="false" ht="13.15" hidden="true" customHeight="false" outlineLevel="0" collapsed="false">
      <c r="A140" s="33" t="s">
        <v>156</v>
      </c>
      <c r="B140" s="21" t="str">
        <f aca="false">VLOOKUP(A140,All!A:AM,2,0)</f>
        <v>NORTH EAST</v>
      </c>
      <c r="C140" s="22" t="n">
        <f aca="false">VLOOKUP(A140,All!A:AM,11,0)</f>
        <v>44713.5416666667</v>
      </c>
      <c r="D140" s="35"/>
      <c r="E140" s="24" t="n">
        <f aca="false">VLOOKUP(A140,All!A:AM,30,0)</f>
        <v>85.3896103896104</v>
      </c>
      <c r="F140" s="24" t="n">
        <f aca="false">VLOOKUP(A140,All!A:AM,28,0)</f>
        <v>14.3335</v>
      </c>
      <c r="G140" s="24" t="n">
        <f aca="false">VLOOKUP(A140,All!A:AM,31,0)</f>
        <v>86.1538461538462</v>
      </c>
      <c r="H140" s="24" t="n">
        <f aca="false">VLOOKUP(A140,All!A:AM,29,0)</f>
        <v>15.26</v>
      </c>
      <c r="I140" s="25" t="n">
        <f aca="false">VLOOKUP(A140,All!A:AM,33,0)</f>
        <v>54.40093708166</v>
      </c>
      <c r="J140" s="25" t="n">
        <f aca="false">VLOOKUP(A140,All!A:AM,32,0)</f>
        <v>2.9259</v>
      </c>
      <c r="K140" s="26" t="n">
        <f aca="false">VLOOKUP(A140,All!A:AM,39,0)</f>
        <v>70.70625</v>
      </c>
      <c r="L140" s="26" t="n">
        <f aca="false">VLOOKUP(A140,All!A:AM,38,0)</f>
        <v>16.9695</v>
      </c>
      <c r="M140" s="28" t="n">
        <f aca="false">VLOOKUP(A140,'SYS Allocations'!A:G,2,0)</f>
        <v>0</v>
      </c>
      <c r="N140" s="28" t="n">
        <f aca="false">VLOOKUP(A140,'SYS Allocations'!A:G,3,0)</f>
        <v>0</v>
      </c>
      <c r="O140" s="28" t="n">
        <f aca="false">VLOOKUP(A140,'SYS Allocations'!A:G,4,0)</f>
        <v>0</v>
      </c>
      <c r="P140" s="28" t="n">
        <f aca="false">VLOOKUP(A140,'SYS Allocations'!A:G,5,0)</f>
        <v>0</v>
      </c>
      <c r="Q140" s="28" t="n">
        <f aca="false">VLOOKUP(A140,'SYS Allocations'!A:G,6,0)</f>
        <v>0</v>
      </c>
      <c r="R140" s="29" t="n">
        <f aca="false">VLOOKUP(A140,'SYS Allocations'!A:G,7,0)</f>
        <v>0</v>
      </c>
      <c r="S140" s="30"/>
    </row>
    <row r="141" customFormat="false" ht="13.15" hidden="true" customHeight="false" outlineLevel="0" collapsed="false">
      <c r="A141" s="33" t="s">
        <v>157</v>
      </c>
      <c r="B141" s="21" t="str">
        <f aca="false">VLOOKUP(A141,All!A:AM,2,0)</f>
        <v>NORTH EAST</v>
      </c>
      <c r="C141" s="22" t="n">
        <f aca="false">VLOOKUP(A141,All!A:AM,11,0)</f>
        <v>44700.6458333333</v>
      </c>
      <c r="D141" s="35"/>
      <c r="E141" s="24" t="n">
        <f aca="false">VLOOKUP(A141,All!A:AM,30,0)</f>
        <v>72.7272727272727</v>
      </c>
      <c r="F141" s="24" t="n">
        <f aca="false">VLOOKUP(A141,All!A:AM,28,0)</f>
        <v>12.208</v>
      </c>
      <c r="G141" s="24" t="n">
        <f aca="false">VLOOKUP(A141,All!A:AM,31,0)</f>
        <v>74.1538461538462</v>
      </c>
      <c r="H141" s="24" t="n">
        <f aca="false">VLOOKUP(A141,All!A:AM,29,0)</f>
        <v>13.1345</v>
      </c>
      <c r="I141" s="25" t="n">
        <f aca="false">VLOOKUP(A141,All!A:AM,33,0)</f>
        <v>14.8817492190986</v>
      </c>
      <c r="J141" s="25" t="n">
        <f aca="false">VLOOKUP(A141,All!A:AM,32,0)</f>
        <v>0.8004</v>
      </c>
      <c r="K141" s="26"/>
      <c r="L141" s="26"/>
      <c r="M141" s="28" t="n">
        <f aca="false">VLOOKUP(A141,'SYS Allocations'!A:G,2,0)</f>
        <v>0</v>
      </c>
      <c r="N141" s="28" t="n">
        <f aca="false">VLOOKUP(A141,'SYS Allocations'!A:G,3,0)</f>
        <v>0</v>
      </c>
      <c r="O141" s="28" t="n">
        <f aca="false">VLOOKUP(A141,'SYS Allocations'!A:G,4,0)</f>
        <v>0</v>
      </c>
      <c r="P141" s="28" t="n">
        <f aca="false">VLOOKUP(A141,'SYS Allocations'!A:G,5,0)</f>
        <v>0</v>
      </c>
      <c r="Q141" s="28" t="n">
        <f aca="false">VLOOKUP(A141,'SYS Allocations'!A:G,6,0)</f>
        <v>0</v>
      </c>
      <c r="R141" s="29" t="n">
        <f aca="false">VLOOKUP(A141,'SYS Allocations'!A:G,7,0)</f>
        <v>0</v>
      </c>
      <c r="S141" s="30"/>
    </row>
    <row r="142" customFormat="false" ht="13.15" hidden="true" customHeight="false" outlineLevel="0" collapsed="false">
      <c r="A142" s="32" t="s">
        <v>158</v>
      </c>
      <c r="B142" s="21" t="str">
        <f aca="false">VLOOKUP(A142,All!A:AM,2,0)</f>
        <v>NORTH EAST</v>
      </c>
      <c r="C142" s="22" t="n">
        <f aca="false">VLOOKUP(A142,All!A:AM,11,0)</f>
        <v>45659</v>
      </c>
      <c r="D142" s="23"/>
      <c r="E142" s="24" t="n">
        <f aca="false">VLOOKUP(A142,All!A:AM,30,0)</f>
        <v>46.3903743315508</v>
      </c>
      <c r="F142" s="24" t="n">
        <f aca="false">VLOOKUP(A142,All!A:AM,28,0)</f>
        <v>75.646</v>
      </c>
      <c r="G142" s="24" t="n">
        <f aca="false">VLOOKUP(A142,All!A:AM,31,0)</f>
        <v>36.8503937007874</v>
      </c>
      <c r="H142" s="24" t="n">
        <f aca="false">VLOOKUP(A142,All!A:AM,29,0)</f>
        <v>51.012</v>
      </c>
      <c r="I142" s="25" t="n">
        <f aca="false">VLOOKUP(A142,All!A:AM,33,0)</f>
        <v>18.0411172614495</v>
      </c>
      <c r="J142" s="25" t="n">
        <f aca="false">VLOOKUP(A142,All!A:AM,32,0)</f>
        <v>19.2428000000001</v>
      </c>
      <c r="K142" s="26" t="n">
        <f aca="false">VLOOKUP(A142,All!A:AM,39,0)</f>
        <v>25.6564102564103</v>
      </c>
      <c r="L142" s="26" t="n">
        <f aca="false">VLOOKUP(A142,All!A:AM,38,0)</f>
        <v>50.03</v>
      </c>
      <c r="M142" s="28" t="str">
        <f aca="false">VLOOKUP(A142,'SYS Allocations'!A:G,2,0)</f>
        <v>P-Core</v>
      </c>
      <c r="N142" s="28" t="str">
        <f aca="false">VLOOKUP(A142,'SYS Allocations'!A:G,3,0)</f>
        <v>RA</v>
      </c>
      <c r="O142" s="28" t="str">
        <f aca="false">VLOOKUP(A142,'SYS Allocations'!A:G,4,0)</f>
        <v>PX</v>
      </c>
      <c r="P142" s="28" t="n">
        <f aca="false">VLOOKUP(A142,'SYS Allocations'!A:G,5,0)</f>
        <v>0</v>
      </c>
      <c r="Q142" s="28" t="str">
        <f aca="false">VLOOKUP(A142,'SYS Allocations'!A:G,6,0)</f>
        <v>OPEX</v>
      </c>
      <c r="R142" s="29" t="n">
        <f aca="false">VLOOKUP(A142,'SYS Allocations'!A:G,7,0)</f>
        <v>22.1</v>
      </c>
      <c r="S142" s="30"/>
    </row>
    <row r="143" customFormat="false" ht="13.15" hidden="true" customHeight="false" outlineLevel="0" collapsed="false">
      <c r="A143" s="32" t="s">
        <v>159</v>
      </c>
      <c r="B143" s="21" t="str">
        <f aca="false">VLOOKUP(A143,All!A:AM,2,0)</f>
        <v>NORTH EAST</v>
      </c>
      <c r="C143" s="22" t="n">
        <f aca="false">VLOOKUP(A143,All!A:AM,11,0)</f>
        <v>45659</v>
      </c>
      <c r="D143" s="23"/>
      <c r="E143" s="24" t="n">
        <f aca="false">VLOOKUP(A143,All!A:AM,30,0)</f>
        <v>65.2173913043478</v>
      </c>
      <c r="F143" s="24" t="n">
        <f aca="false">VLOOKUP(A143,All!A:AM,28,0)</f>
        <v>107.91</v>
      </c>
      <c r="G143" s="24" t="n">
        <f aca="false">VLOOKUP(A143,All!A:AM,31,0)</f>
        <v>59.3063583815029</v>
      </c>
      <c r="H143" s="24" t="n">
        <f aca="false">VLOOKUP(A143,All!A:AM,29,0)</f>
        <v>83.8755</v>
      </c>
      <c r="I143" s="25" t="n">
        <f aca="false">VLOOKUP(A143,All!A:AM,33,0)</f>
        <v>46.0420323117772</v>
      </c>
      <c r="J143" s="25" t="n">
        <f aca="false">VLOOKUP(A143,All!A:AM,32,0)</f>
        <v>49.1088000000001</v>
      </c>
      <c r="K143" s="26"/>
      <c r="L143" s="26"/>
      <c r="M143" s="28" t="n">
        <f aca="false">VLOOKUP(A143,'SYS Allocations'!A:G,2,0)</f>
        <v>0</v>
      </c>
      <c r="N143" s="28" t="n">
        <f aca="false">VLOOKUP(A143,'SYS Allocations'!A:G,3,0)</f>
        <v>0</v>
      </c>
      <c r="O143" s="28" t="n">
        <f aca="false">VLOOKUP(A143,'SYS Allocations'!A:G,4,0)</f>
        <v>0</v>
      </c>
      <c r="P143" s="28" t="n">
        <f aca="false">VLOOKUP(A143,'SYS Allocations'!A:G,5,0)</f>
        <v>0</v>
      </c>
      <c r="Q143" s="28" t="n">
        <f aca="false">VLOOKUP(A143,'SYS Allocations'!A:G,6,0)</f>
        <v>0</v>
      </c>
      <c r="R143" s="29" t="n">
        <f aca="false">VLOOKUP(A143,'SYS Allocations'!A:G,7,0)</f>
        <v>22.1</v>
      </c>
      <c r="S143" s="30"/>
    </row>
    <row r="144" customFormat="false" ht="13.15" hidden="true" customHeight="false" outlineLevel="0" collapsed="false">
      <c r="A144" s="20" t="s">
        <v>160</v>
      </c>
      <c r="B144" s="21" t="str">
        <f aca="false">VLOOKUP(A144,All!A:AM,2,0)</f>
        <v>NORTH EAST</v>
      </c>
      <c r="C144" s="22" t="n">
        <f aca="false">VLOOKUP(A144,All!A:AM,11,0)</f>
        <v>44637.6666666667</v>
      </c>
      <c r="D144" s="23"/>
      <c r="E144" s="24" t="n">
        <f aca="false">VLOOKUP(A144,All!A:AM,30,0)</f>
        <v>63.6363636363637</v>
      </c>
      <c r="F144" s="24" t="n">
        <f aca="false">VLOOKUP(A144,All!A:AM,28,0)</f>
        <v>11.445</v>
      </c>
      <c r="G144" s="24" t="n">
        <f aca="false">VLOOKUP(A144,All!A:AM,31,0)</f>
        <v>37.3368146214099</v>
      </c>
      <c r="H144" s="24" t="n">
        <f aca="false">VLOOKUP(A144,All!A:AM,29,0)</f>
        <v>3.89675</v>
      </c>
      <c r="I144" s="25" t="n">
        <f aca="false">VLOOKUP(A144,All!A:AM,33,0)</f>
        <v>65.1979565772669</v>
      </c>
      <c r="J144" s="25" t="n">
        <f aca="false">VLOOKUP(A144,All!A:AM,32,0)</f>
        <v>12.252</v>
      </c>
      <c r="K144" s="26" t="n">
        <f aca="false">VLOOKUP(A144,All!A:AM,39,0)</f>
        <v>72.75</v>
      </c>
      <c r="L144" s="26" t="n">
        <f aca="false">VLOOKUP(A144,All!A:AM,38,0)</f>
        <v>17.46</v>
      </c>
      <c r="M144" s="28" t="n">
        <f aca="false">VLOOKUP(A144,'SYS Allocations'!A:G,2,0)</f>
        <v>0</v>
      </c>
      <c r="N144" s="28" t="n">
        <f aca="false">VLOOKUP(A144,'SYS Allocations'!A:G,3,0)</f>
        <v>0</v>
      </c>
      <c r="O144" s="28" t="n">
        <f aca="false">VLOOKUP(A144,'SYS Allocations'!A:G,4,0)</f>
        <v>0</v>
      </c>
      <c r="P144" s="28" t="n">
        <f aca="false">VLOOKUP(A144,'SYS Allocations'!A:G,5,0)</f>
        <v>0</v>
      </c>
      <c r="Q144" s="28" t="n">
        <f aca="false">VLOOKUP(A144,'SYS Allocations'!A:G,6,0)</f>
        <v>0</v>
      </c>
      <c r="R144" s="29" t="n">
        <f aca="false">VLOOKUP(A144,'SYS Allocations'!A:G,7,0)</f>
        <v>0.1</v>
      </c>
      <c r="S144" s="30"/>
    </row>
    <row r="145" customFormat="false" ht="13.15" hidden="true" customHeight="false" outlineLevel="0" collapsed="false">
      <c r="A145" s="20" t="s">
        <v>161</v>
      </c>
      <c r="B145" s="21" t="str">
        <f aca="false">VLOOKUP(A145,All!A:AM,2,0)</f>
        <v>NORTH EAST</v>
      </c>
      <c r="C145" s="22" t="n">
        <f aca="false">VLOOKUP(A145,All!A:AM,11,0)</f>
        <v>45659</v>
      </c>
      <c r="D145" s="23"/>
      <c r="E145" s="24" t="n">
        <f aca="false">VLOOKUP(A145,All!A:AM,30,0)</f>
        <v>60.682393709183</v>
      </c>
      <c r="F145" s="24" t="n">
        <f aca="false">VLOOKUP(A145,All!A:AM,28,0)</f>
        <v>39.70216</v>
      </c>
      <c r="G145" s="24" t="n">
        <f aca="false">VLOOKUP(A145,All!A:AM,31,0)</f>
        <v>47.5904952254053</v>
      </c>
      <c r="H145" s="24" t="n">
        <f aca="false">VLOOKUP(A145,All!A:AM,29,0)</f>
        <v>23.3587</v>
      </c>
      <c r="I145" s="25" t="n">
        <f aca="false">VLOOKUP(A145,All!A:AM,33,0)</f>
        <v>51.7648470665887</v>
      </c>
      <c r="J145" s="25" t="n">
        <f aca="false">VLOOKUP(A145,All!A:AM,32,0)</f>
        <v>27.6064</v>
      </c>
      <c r="K145" s="26" t="n">
        <f aca="false">VLOOKUP(A145,All!A:AM,39,0)</f>
        <v>80.9451851851852</v>
      </c>
      <c r="L145" s="26" t="n">
        <f aca="false">VLOOKUP(A145,All!A:AM,38,0)</f>
        <v>109.276</v>
      </c>
      <c r="M145" s="28" t="n">
        <f aca="false">VLOOKUP(A145,'SYS Allocations'!A:G,2,0)</f>
        <v>0</v>
      </c>
      <c r="N145" s="28" t="str">
        <f aca="false">VLOOKUP(A145,'SYS Allocations'!A:G,3,0)</f>
        <v>RA</v>
      </c>
      <c r="O145" s="28" t="n">
        <f aca="false">VLOOKUP(A145,'SYS Allocations'!A:G,4,0)</f>
        <v>0</v>
      </c>
      <c r="P145" s="28" t="n">
        <f aca="false">VLOOKUP(A145,'SYS Allocations'!A:G,5,0)</f>
        <v>0</v>
      </c>
      <c r="Q145" s="28" t="n">
        <f aca="false">VLOOKUP(A145,'SYS Allocations'!A:G,6,0)</f>
        <v>0</v>
      </c>
      <c r="R145" s="29" t="n">
        <f aca="false">VLOOKUP(A145,'SYS Allocations'!A:G,7,0)</f>
        <v>12.3</v>
      </c>
      <c r="S145" s="30"/>
    </row>
    <row r="146" customFormat="false" ht="13.15" hidden="true" customHeight="false" outlineLevel="0" collapsed="false">
      <c r="A146" s="20" t="s">
        <v>162</v>
      </c>
      <c r="B146" s="21" t="str">
        <f aca="false">VLOOKUP(A146,All!A:AM,2,0)</f>
        <v>SCOTLAND</v>
      </c>
      <c r="C146" s="22" t="n">
        <f aca="false">VLOOKUP(A146,All!A:AM,11,0)</f>
        <v>45659</v>
      </c>
      <c r="D146" s="23"/>
      <c r="E146" s="24" t="n">
        <f aca="false">VLOOKUP(A146,All!A:AM,30,0)</f>
        <v>49.7749919639987</v>
      </c>
      <c r="F146" s="24" t="n">
        <f aca="false">VLOOKUP(A146,All!A:AM,28,0)</f>
        <v>27.00584</v>
      </c>
      <c r="G146" s="24" t="n">
        <f aca="false">VLOOKUP(A146,All!A:AM,31,0)</f>
        <v>22.4084419615146</v>
      </c>
      <c r="H146" s="24" t="n">
        <f aca="false">VLOOKUP(A146,All!A:AM,29,0)</f>
        <v>7.8698</v>
      </c>
      <c r="I146" s="25" t="n">
        <f aca="false">VLOOKUP(A146,All!A:AM,33,0)</f>
        <v>48.9034396891829</v>
      </c>
      <c r="J146" s="25" t="n">
        <f aca="false">VLOOKUP(A146,All!A:AM,32,0)</f>
        <v>26.0804</v>
      </c>
      <c r="K146" s="26" t="n">
        <f aca="false">VLOOKUP(A146,All!A:AM,39,0)</f>
        <v>59.6296296296296</v>
      </c>
      <c r="L146" s="26" t="n">
        <f aca="false">VLOOKUP(A146,All!A:AM,38,0)</f>
        <v>40.25</v>
      </c>
      <c r="M146" s="28" t="n">
        <f aca="false">VLOOKUP(A146,'SYS Allocations'!A:G,2,0)</f>
        <v>0</v>
      </c>
      <c r="N146" s="28" t="n">
        <f aca="false">VLOOKUP(A146,'SYS Allocations'!A:G,3,0)</f>
        <v>0</v>
      </c>
      <c r="O146" s="28" t="n">
        <f aca="false">VLOOKUP(A146,'SYS Allocations'!A:G,4,0)</f>
        <v>0</v>
      </c>
      <c r="P146" s="28" t="n">
        <f aca="false">VLOOKUP(A146,'SYS Allocations'!A:G,5,0)</f>
        <v>0</v>
      </c>
      <c r="Q146" s="28" t="n">
        <f aca="false">VLOOKUP(A146,'SYS Allocations'!A:G,6,0)</f>
        <v>0</v>
      </c>
      <c r="R146" s="29" t="n">
        <f aca="false">VLOOKUP(A146,'SYS Allocations'!A:G,7,0)</f>
        <v>2</v>
      </c>
      <c r="S146" s="30"/>
    </row>
    <row r="147" customFormat="false" ht="13.15" hidden="true" customHeight="false" outlineLevel="0" collapsed="false">
      <c r="A147" s="20" t="s">
        <v>163</v>
      </c>
      <c r="B147" s="21" t="str">
        <f aca="false">VLOOKUP(A147,All!A:AM,2,0)</f>
        <v>NORTH WEST</v>
      </c>
      <c r="C147" s="22" t="n">
        <f aca="false">VLOOKUP(A147,All!A:AM,11,0)</f>
        <v>45659</v>
      </c>
      <c r="D147" s="23"/>
      <c r="E147" s="24" t="n">
        <f aca="false">VLOOKUP(A147,All!A:AM,30,0)</f>
        <v>72.9745782846282</v>
      </c>
      <c r="F147" s="24" t="n">
        <f aca="false">VLOOKUP(A147,All!A:AM,28,0)</f>
        <v>26.78348</v>
      </c>
      <c r="G147" s="24" t="n">
        <f aca="false">VLOOKUP(A147,All!A:AM,31,0)</f>
        <v>58.804889090086</v>
      </c>
      <c r="H147" s="24" t="n">
        <f aca="false">VLOOKUP(A147,All!A:AM,29,0)</f>
        <v>14.1591</v>
      </c>
      <c r="I147" s="25" t="n">
        <f aca="false">VLOOKUP(A147,All!A:AM,33,0)</f>
        <v>72.1012780702939</v>
      </c>
      <c r="J147" s="25" t="n">
        <f aca="false">VLOOKUP(A147,All!A:AM,32,0)</f>
        <v>25.6346</v>
      </c>
      <c r="K147" s="26" t="n">
        <f aca="false">VLOOKUP(A147,All!A:AM,39,0)</f>
        <v>55.9155555555556</v>
      </c>
      <c r="L147" s="26" t="n">
        <f aca="false">VLOOKUP(A147,All!A:AM,38,0)</f>
        <v>12.581</v>
      </c>
      <c r="M147" s="28" t="n">
        <f aca="false">VLOOKUP(A147,'SYS Allocations'!A:G,2,0)</f>
        <v>0</v>
      </c>
      <c r="N147" s="28" t="str">
        <f aca="false">VLOOKUP(A147,'SYS Allocations'!A:G,3,0)</f>
        <v>RA</v>
      </c>
      <c r="O147" s="28" t="n">
        <f aca="false">VLOOKUP(A147,'SYS Allocations'!A:G,4,0)</f>
        <v>0</v>
      </c>
      <c r="P147" s="28" t="n">
        <f aca="false">VLOOKUP(A147,'SYS Allocations'!A:G,5,0)</f>
        <v>0</v>
      </c>
      <c r="Q147" s="28" t="n">
        <f aca="false">VLOOKUP(A147,'SYS Allocations'!A:G,6,0)</f>
        <v>0</v>
      </c>
      <c r="R147" s="29" t="n">
        <f aca="false">VLOOKUP(A147,'SYS Allocations'!A:G,7,0)</f>
        <v>5.9</v>
      </c>
      <c r="S147" s="30"/>
    </row>
    <row r="148" customFormat="false" ht="13.15" hidden="true" customHeight="false" outlineLevel="0" collapsed="false">
      <c r="A148" s="20" t="s">
        <v>164</v>
      </c>
      <c r="B148" s="21" t="str">
        <f aca="false">VLOOKUP(A148,All!A:AM,2,0)</f>
        <v>MIDLANDS</v>
      </c>
      <c r="C148" s="22" t="n">
        <f aca="false">VLOOKUP(A148,All!A:AM,11,0)</f>
        <v>45435</v>
      </c>
      <c r="D148" s="38"/>
      <c r="E148" s="24" t="n">
        <f aca="false">VLOOKUP(A148,All!A:AM,30,0)</f>
        <v>64.1393442622951</v>
      </c>
      <c r="F148" s="24" t="n">
        <f aca="false">VLOOKUP(A148,All!A:AM,28,0)</f>
        <v>10.2351</v>
      </c>
      <c r="G148" s="24" t="n">
        <f aca="false">VLOOKUP(A148,All!A:AM,31,0)</f>
        <v>5.40540540540541</v>
      </c>
      <c r="H148" s="24" t="n">
        <f aca="false">VLOOKUP(A148,All!A:AM,29,0)</f>
        <v>0.327</v>
      </c>
      <c r="I148" s="25" t="n">
        <f aca="false">VLOOKUP(A148,All!A:AM,33,0)</f>
        <v>73.5598247948547</v>
      </c>
      <c r="J148" s="25" t="n">
        <f aca="false">VLOOKUP(A148,All!A:AM,32,0)</f>
        <v>15.9207</v>
      </c>
      <c r="K148" s="26" t="n">
        <f aca="false">VLOOKUP(A148,All!A:AM,39,0)</f>
        <v>72.75</v>
      </c>
      <c r="L148" s="26" t="n">
        <f aca="false">VLOOKUP(A148,All!A:AM,38,0)</f>
        <v>15.2775</v>
      </c>
      <c r="M148" s="28" t="n">
        <f aca="false">VLOOKUP(A148,'SYS Allocations'!A:G,2,0)</f>
        <v>0</v>
      </c>
      <c r="N148" s="28" t="n">
        <f aca="false">VLOOKUP(A148,'SYS Allocations'!A:G,3,0)</f>
        <v>0</v>
      </c>
      <c r="O148" s="28" t="n">
        <f aca="false">VLOOKUP(A148,'SYS Allocations'!A:G,4,0)</f>
        <v>0</v>
      </c>
      <c r="P148" s="28" t="n">
        <f aca="false">VLOOKUP(A148,'SYS Allocations'!A:G,5,0)</f>
        <v>0</v>
      </c>
      <c r="Q148" s="28" t="n">
        <f aca="false">VLOOKUP(A148,'SYS Allocations'!A:G,6,0)</f>
        <v>0</v>
      </c>
      <c r="R148" s="29" t="n">
        <f aca="false">VLOOKUP(A148,'SYS Allocations'!A:G,7,0)</f>
        <v>0</v>
      </c>
      <c r="S148" s="30"/>
    </row>
    <row r="149" customFormat="false" ht="13.15" hidden="true" customHeight="false" outlineLevel="0" collapsed="false">
      <c r="A149" s="20" t="s">
        <v>165</v>
      </c>
      <c r="B149" s="21" t="str">
        <f aca="false">VLOOKUP(A149,All!A:AM,2,0)</f>
        <v>NORTH WEST</v>
      </c>
      <c r="C149" s="22" t="n">
        <f aca="false">VLOOKUP(A149,All!A:AM,11,0)</f>
        <v>45659</v>
      </c>
      <c r="D149" s="23"/>
      <c r="E149" s="24" t="n">
        <f aca="false">VLOOKUP(A149,All!A:AM,30,0)</f>
        <v>63.5701275045537</v>
      </c>
      <c r="F149" s="24" t="n">
        <f aca="false">VLOOKUP(A149,All!A:AM,28,0)</f>
        <v>9.12984</v>
      </c>
      <c r="G149" s="24" t="n">
        <f aca="false">VLOOKUP(A149,All!A:AM,31,0)</f>
        <v>70.4978488014751</v>
      </c>
      <c r="H149" s="24" t="n">
        <f aca="false">VLOOKUP(A149,All!A:AM,29,0)</f>
        <v>12.5023</v>
      </c>
      <c r="I149" s="25" t="n">
        <f aca="false">VLOOKUP(A149,All!A:AM,33,0)</f>
        <v>-51.3888888888889</v>
      </c>
      <c r="J149" s="25" t="n">
        <f aca="false">VLOOKUP(A149,All!A:AM,32,0)</f>
        <v>-1.776</v>
      </c>
      <c r="K149" s="26" t="n">
        <f aca="false">VLOOKUP(A149,All!A:AM,39,0)</f>
        <v>53.4933333333333</v>
      </c>
      <c r="L149" s="26" t="n">
        <f aca="false">VLOOKUP(A149,All!A:AM,38,0)</f>
        <v>6.018</v>
      </c>
      <c r="M149" s="28" t="n">
        <f aca="false">VLOOKUP(A149,'SYS Allocations'!A:G,2,0)</f>
        <v>0</v>
      </c>
      <c r="N149" s="28" t="n">
        <f aca="false">VLOOKUP(A149,'SYS Allocations'!A:G,3,0)</f>
        <v>0</v>
      </c>
      <c r="O149" s="28" t="n">
        <f aca="false">VLOOKUP(A149,'SYS Allocations'!A:G,4,0)</f>
        <v>0</v>
      </c>
      <c r="P149" s="28" t="n">
        <f aca="false">VLOOKUP(A149,'SYS Allocations'!A:G,5,0)</f>
        <v>0</v>
      </c>
      <c r="Q149" s="28" t="n">
        <f aca="false">VLOOKUP(A149,'SYS Allocations'!A:G,6,0)</f>
        <v>0</v>
      </c>
      <c r="R149" s="29" t="n">
        <f aca="false">VLOOKUP(A149,'SYS Allocations'!A:G,7,0)</f>
        <v>0</v>
      </c>
      <c r="S149" s="30"/>
    </row>
    <row r="150" customFormat="false" ht="13.15" hidden="true" customHeight="false" outlineLevel="0" collapsed="false">
      <c r="A150" s="20" t="s">
        <v>166</v>
      </c>
      <c r="B150" s="21" t="str">
        <f aca="false">VLOOKUP(A150,All!A:AM,2,0)</f>
        <v>NORTH WEST</v>
      </c>
      <c r="C150" s="22" t="n">
        <f aca="false">VLOOKUP(A150,All!A:AM,11,0)</f>
        <v>45659</v>
      </c>
      <c r="D150" s="23"/>
      <c r="E150" s="24" t="n">
        <f aca="false">VLOOKUP(A150,All!A:AM,30,0)</f>
        <v>56.6939890710383</v>
      </c>
      <c r="F150" s="24" t="n">
        <f aca="false">VLOOKUP(A150,All!A:AM,28,0)</f>
        <v>22.6175</v>
      </c>
      <c r="G150" s="24" t="n">
        <f aca="false">VLOOKUP(A150,All!A:AM,31,0)</f>
        <v>38.4466019417476</v>
      </c>
      <c r="H150" s="24" t="n">
        <f aca="false">VLOOKUP(A150,All!A:AM,29,0)</f>
        <v>10.791</v>
      </c>
      <c r="I150" s="25" t="n">
        <f aca="false">VLOOKUP(A150,All!A:AM,33,0)</f>
        <v>51.4071711444129</v>
      </c>
      <c r="J150" s="25" t="n">
        <f aca="false">VLOOKUP(A150,All!A:AM,32,0)</f>
        <v>18.2771</v>
      </c>
      <c r="K150" s="26" t="n">
        <f aca="false">VLOOKUP(A150,All!A:AM,39,0)</f>
        <v>53.9293333333333</v>
      </c>
      <c r="L150" s="26" t="n">
        <f aca="false">VLOOKUP(A150,All!A:AM,38,0)</f>
        <v>20.2235</v>
      </c>
      <c r="M150" s="28" t="n">
        <f aca="false">VLOOKUP(A150,'SYS Allocations'!A:G,2,0)</f>
        <v>0</v>
      </c>
      <c r="N150" s="28" t="str">
        <f aca="false">VLOOKUP(A150,'SYS Allocations'!A:G,3,0)</f>
        <v>RA</v>
      </c>
      <c r="O150" s="28" t="n">
        <f aca="false">VLOOKUP(A150,'SYS Allocations'!A:G,4,0)</f>
        <v>0</v>
      </c>
      <c r="P150" s="28" t="n">
        <f aca="false">VLOOKUP(A150,'SYS Allocations'!A:G,5,0)</f>
        <v>0</v>
      </c>
      <c r="Q150" s="28" t="n">
        <f aca="false">VLOOKUP(A150,'SYS Allocations'!A:G,6,0)</f>
        <v>0</v>
      </c>
      <c r="R150" s="29" t="n">
        <f aca="false">VLOOKUP(A150,'SYS Allocations'!A:G,7,0)</f>
        <v>1.7</v>
      </c>
      <c r="S150" s="30"/>
    </row>
    <row r="151" customFormat="false" ht="13.15" hidden="true" customHeight="false" outlineLevel="0" collapsed="false">
      <c r="A151" s="20" t="s">
        <v>167</v>
      </c>
      <c r="B151" s="21" t="str">
        <f aca="false">VLOOKUP(A151,All!A:AM,2,0)</f>
        <v>LONDON</v>
      </c>
      <c r="C151" s="22" t="n">
        <f aca="false">VLOOKUP(A151,All!A:AM,11,0)</f>
        <v>45301</v>
      </c>
      <c r="D151" s="23"/>
      <c r="E151" s="24" t="n">
        <f aca="false">VLOOKUP(A151,All!A:AM,30,0)</f>
        <v>30</v>
      </c>
      <c r="F151" s="24" t="n">
        <f aca="false">VLOOKUP(A151,All!A:AM,28,0)</f>
        <v>33.354</v>
      </c>
      <c r="G151" s="24" t="n">
        <f aca="false">VLOOKUP(A151,All!A:AM,31,0)</f>
        <v>18.4</v>
      </c>
      <c r="H151" s="24" t="n">
        <f aca="false">VLOOKUP(A151,All!A:AM,29,0)</f>
        <v>17.549</v>
      </c>
      <c r="I151" s="25" t="n">
        <f aca="false">VLOOKUP(A151,All!A:AM,33,0)</f>
        <v>31.5008449514153</v>
      </c>
      <c r="J151" s="25" t="n">
        <f aca="false">VLOOKUP(A151,All!A:AM,32,0)</f>
        <v>35.79</v>
      </c>
      <c r="K151" s="26" t="n">
        <f aca="false">VLOOKUP(A151,All!A:AM,39,0)</f>
        <v>-9.22947368421052</v>
      </c>
      <c r="L151" s="26" t="n">
        <f aca="false">VLOOKUP(A151,All!A:AM,38,0)</f>
        <v>-6.57599999999999</v>
      </c>
      <c r="M151" s="28" t="n">
        <f aca="false">VLOOKUP(A151,'SYS Allocations'!A:G,2,0)</f>
        <v>0</v>
      </c>
      <c r="N151" s="28" t="n">
        <f aca="false">VLOOKUP(A151,'SYS Allocations'!A:G,3,0)</f>
        <v>0</v>
      </c>
      <c r="O151" s="28" t="n">
        <f aca="false">VLOOKUP(A151,'SYS Allocations'!A:G,4,0)</f>
        <v>0</v>
      </c>
      <c r="P151" s="28" t="n">
        <f aca="false">VLOOKUP(A151,'SYS Allocations'!A:G,5,0)</f>
        <v>0</v>
      </c>
      <c r="Q151" s="28" t="n">
        <f aca="false">VLOOKUP(A151,'SYS Allocations'!A:G,6,0)</f>
        <v>0</v>
      </c>
      <c r="R151" s="29" t="n">
        <f aca="false">VLOOKUP(A151,'SYS Allocations'!A:G,7,0)</f>
        <v>11.5</v>
      </c>
      <c r="S151" s="30"/>
    </row>
    <row r="152" customFormat="false" ht="13.15" hidden="true" customHeight="false" outlineLevel="0" collapsed="false">
      <c r="A152" s="20" t="s">
        <v>168</v>
      </c>
      <c r="B152" s="21" t="str">
        <f aca="false">VLOOKUP(A152,All!A:AM,2,0)</f>
        <v>NORTHERN HOME COUNTIES</v>
      </c>
      <c r="C152" s="22" t="n">
        <f aca="false">VLOOKUP(A152,All!A:AM,11,0)</f>
        <v>45329</v>
      </c>
      <c r="D152" s="23"/>
      <c r="E152" s="24" t="n">
        <f aca="false">VLOOKUP(A152,All!A:AM,30,0)</f>
        <v>72.7272727272727</v>
      </c>
      <c r="F152" s="24" t="n">
        <f aca="false">VLOOKUP(A152,All!A:AM,28,0)</f>
        <v>26.16</v>
      </c>
      <c r="G152" s="24" t="n">
        <f aca="false">VLOOKUP(A152,All!A:AM,31,0)</f>
        <v>64.3564356435644</v>
      </c>
      <c r="H152" s="24" t="n">
        <f aca="false">VLOOKUP(A152,All!A:AM,29,0)</f>
        <v>17.7125</v>
      </c>
      <c r="I152" s="25" t="n">
        <f aca="false">VLOOKUP(A152,All!A:AM,33,0)</f>
        <v>65.1177675371224</v>
      </c>
      <c r="J152" s="25" t="n">
        <f aca="false">VLOOKUP(A152,All!A:AM,32,0)</f>
        <v>18.3132</v>
      </c>
      <c r="K152" s="26" t="n">
        <f aca="false">VLOOKUP(A152,All!A:AM,39,0)</f>
        <v>56.4</v>
      </c>
      <c r="L152" s="26" t="n">
        <f aca="false">VLOOKUP(A152,All!A:AM,38,0)</f>
        <v>12.69</v>
      </c>
      <c r="M152" s="28" t="n">
        <f aca="false">VLOOKUP(A152,'SYS Allocations'!A:G,2,0)</f>
        <v>0</v>
      </c>
      <c r="N152" s="28" t="n">
        <f aca="false">VLOOKUP(A152,'SYS Allocations'!A:G,3,0)</f>
        <v>0</v>
      </c>
      <c r="O152" s="28" t="n">
        <f aca="false">VLOOKUP(A152,'SYS Allocations'!A:G,4,0)</f>
        <v>0</v>
      </c>
      <c r="P152" s="28" t="n">
        <f aca="false">VLOOKUP(A152,'SYS Allocations'!A:G,5,0)</f>
        <v>0</v>
      </c>
      <c r="Q152" s="28" t="n">
        <f aca="false">VLOOKUP(A152,'SYS Allocations'!A:G,6,0)</f>
        <v>0</v>
      </c>
      <c r="R152" s="29" t="n">
        <f aca="false">VLOOKUP(A152,'SYS Allocations'!A:G,7,0)</f>
        <v>1</v>
      </c>
      <c r="S152" s="30"/>
    </row>
    <row r="153" customFormat="false" ht="13.15" hidden="true" customHeight="false" outlineLevel="0" collapsed="false">
      <c r="A153" s="20" t="s">
        <v>169</v>
      </c>
      <c r="B153" s="21" t="str">
        <f aca="false">VLOOKUP(A153,All!A:AM,2,0)</f>
        <v>NORTH WEST</v>
      </c>
      <c r="C153" s="22" t="n">
        <f aca="false">VLOOKUP(A153,All!A:AM,11,0)</f>
        <v>45659</v>
      </c>
      <c r="D153" s="23"/>
      <c r="E153" s="24" t="n">
        <f aca="false">VLOOKUP(A153,All!A:AM,30,0)</f>
        <v>77.4735495872573</v>
      </c>
      <c r="F153" s="24" t="n">
        <f aca="false">VLOOKUP(A153,All!A:AM,28,0)</f>
        <v>58.10572</v>
      </c>
      <c r="G153" s="24" t="n">
        <f aca="false">VLOOKUP(A153,All!A:AM,31,0)</f>
        <v>66.3116713757879</v>
      </c>
      <c r="H153" s="24" t="n">
        <f aca="false">VLOOKUP(A153,All!A:AM,29,0)</f>
        <v>33.2559</v>
      </c>
      <c r="I153" s="25" t="n">
        <f aca="false">VLOOKUP(A153,All!A:AM,33,0)</f>
        <v>76.2400994554701</v>
      </c>
      <c r="J153" s="25" t="n">
        <f aca="false">VLOOKUP(A153,All!A:AM,32,0)</f>
        <v>54.2122000000002</v>
      </c>
      <c r="K153" s="26" t="n">
        <f aca="false">VLOOKUP(A153,All!A:AM,39,0)</f>
        <v>57.5505555555556</v>
      </c>
      <c r="L153" s="26" t="n">
        <f aca="false">VLOOKUP(A153,All!A:AM,38,0)</f>
        <v>51.7955</v>
      </c>
      <c r="M153" s="28" t="n">
        <f aca="false">VLOOKUP(A153,'SYS Allocations'!A:G,2,0)</f>
        <v>0</v>
      </c>
      <c r="N153" s="28" t="n">
        <f aca="false">VLOOKUP(A153,'SYS Allocations'!A:G,3,0)</f>
        <v>0</v>
      </c>
      <c r="O153" s="28" t="n">
        <f aca="false">VLOOKUP(A153,'SYS Allocations'!A:G,4,0)</f>
        <v>0</v>
      </c>
      <c r="P153" s="28" t="n">
        <f aca="false">VLOOKUP(A153,'SYS Allocations'!A:G,5,0)</f>
        <v>0</v>
      </c>
      <c r="Q153" s="28" t="n">
        <f aca="false">VLOOKUP(A153,'SYS Allocations'!A:G,6,0)</f>
        <v>0</v>
      </c>
      <c r="R153" s="29" t="n">
        <f aca="false">VLOOKUP(A153,'SYS Allocations'!A:G,7,0)</f>
        <v>2</v>
      </c>
      <c r="S153" s="30"/>
    </row>
    <row r="154" customFormat="false" ht="13.15" hidden="true" customHeight="false" outlineLevel="0" collapsed="false">
      <c r="A154" s="20" t="s">
        <v>170</v>
      </c>
      <c r="B154" s="21" t="str">
        <f aca="false">VLOOKUP(A154,All!A:AM,2,0)</f>
        <v>NORTH WEST</v>
      </c>
      <c r="C154" s="22" t="n">
        <f aca="false">VLOOKUP(A154,All!A:AM,11,0)</f>
        <v>45659</v>
      </c>
      <c r="D154" s="23"/>
      <c r="E154" s="24" t="n">
        <f aca="false">VLOOKUP(A154,All!A:AM,30,0)</f>
        <v>67.4296947887512</v>
      </c>
      <c r="F154" s="24" t="n">
        <f aca="false">VLOOKUP(A154,All!A:AM,28,0)</f>
        <v>44.11666</v>
      </c>
      <c r="G154" s="24" t="n">
        <f aca="false">VLOOKUP(A154,All!A:AM,31,0)</f>
        <v>44.1906936911219</v>
      </c>
      <c r="H154" s="24" t="n">
        <f aca="false">VLOOKUP(A154,All!A:AM,29,0)</f>
        <v>16.8732</v>
      </c>
      <c r="I154" s="25" t="n">
        <f aca="false">VLOOKUP(A154,All!A:AM,33,0)</f>
        <v>70.0318673777059</v>
      </c>
      <c r="J154" s="25" t="n">
        <f aca="false">VLOOKUP(A154,All!A:AM,32,0)</f>
        <v>49.7977000000002</v>
      </c>
      <c r="K154" s="26"/>
      <c r="L154" s="26"/>
      <c r="M154" s="28" t="n">
        <f aca="false">VLOOKUP(A154,'SYS Allocations'!A:G,2,0)</f>
        <v>0</v>
      </c>
      <c r="N154" s="28" t="str">
        <f aca="false">VLOOKUP(A154,'SYS Allocations'!A:G,3,0)</f>
        <v>RA</v>
      </c>
      <c r="O154" s="28" t="str">
        <f aca="false">VLOOKUP(A154,'SYS Allocations'!A:G,4,0)</f>
        <v>PX</v>
      </c>
      <c r="P154" s="28" t="n">
        <f aca="false">VLOOKUP(A154,'SYS Allocations'!A:G,5,0)</f>
        <v>0</v>
      </c>
      <c r="Q154" s="28" t="str">
        <f aca="false">VLOOKUP(A154,'SYS Allocations'!A:G,6,0)</f>
        <v>OPEX</v>
      </c>
      <c r="R154" s="29" t="n">
        <f aca="false">VLOOKUP(A154,'SYS Allocations'!A:G,7,0)</f>
        <v>20.1</v>
      </c>
      <c r="S154" s="30"/>
    </row>
    <row r="155" customFormat="false" ht="13.15" hidden="true" customHeight="false" outlineLevel="0" collapsed="false">
      <c r="A155" s="20" t="s">
        <v>171</v>
      </c>
      <c r="B155" s="21" t="str">
        <f aca="false">VLOOKUP(A155,All!A:AM,2,0)</f>
        <v>NORTH WEST</v>
      </c>
      <c r="C155" s="22" t="n">
        <f aca="false">VLOOKUP(A155,All!A:AM,11,0)</f>
        <v>0</v>
      </c>
      <c r="D155" s="23"/>
      <c r="E155" s="24" t="n">
        <f aca="false">VLOOKUP(A155,All!A:AM,30,0)</f>
        <v>0</v>
      </c>
      <c r="F155" s="24" t="n">
        <f aca="false">VLOOKUP(A155,All!A:AM,28,0)</f>
        <v>0</v>
      </c>
      <c r="G155" s="24" t="n">
        <f aca="false">VLOOKUP(A155,All!A:AM,31,0)</f>
        <v>0</v>
      </c>
      <c r="H155" s="24" t="n">
        <f aca="false">VLOOKUP(A155,All!A:AM,29,0)</f>
        <v>0</v>
      </c>
      <c r="I155" s="25" t="n">
        <f aca="false">VLOOKUP(A155,All!A:AM,33,0)</f>
        <v>0</v>
      </c>
      <c r="J155" s="25" t="n">
        <f aca="false">VLOOKUP(A155,All!A:AM,32,0)</f>
        <v>0</v>
      </c>
      <c r="K155" s="39" t="n">
        <f aca="false">VLOOKUP(A155,All!A:AM,39,0)</f>
        <v>0</v>
      </c>
      <c r="L155" s="39" t="n">
        <f aca="false">VLOOKUP(A155,All!A:AM,38,0)</f>
        <v>0</v>
      </c>
      <c r="M155" s="28" t="n">
        <f aca="false">VLOOKUP(A155,'SYS Allocations'!A:G,2,0)</f>
        <v>0</v>
      </c>
      <c r="N155" s="28" t="n">
        <f aca="false">VLOOKUP(A155,'SYS Allocations'!A:G,3,0)</f>
        <v>0</v>
      </c>
      <c r="O155" s="28" t="n">
        <f aca="false">VLOOKUP(A155,'SYS Allocations'!A:G,4,0)</f>
        <v>0</v>
      </c>
      <c r="P155" s="28" t="n">
        <f aca="false">VLOOKUP(A155,'SYS Allocations'!A:G,5,0)</f>
        <v>0</v>
      </c>
      <c r="Q155" s="28" t="n">
        <f aca="false">VLOOKUP(A155,'SYS Allocations'!A:G,6,0)</f>
        <v>0</v>
      </c>
      <c r="R155" s="29" t="n">
        <f aca="false">VLOOKUP(A155,'SYS Allocations'!A:G,7,0)</f>
        <v>0</v>
      </c>
      <c r="S155" s="30"/>
    </row>
    <row r="156" customFormat="false" ht="13.15" hidden="true" customHeight="false" outlineLevel="0" collapsed="false">
      <c r="A156" s="32" t="s">
        <v>172</v>
      </c>
      <c r="B156" s="21" t="str">
        <f aca="false">VLOOKUP(A156,All!A:AM,2,0)</f>
        <v>NORTH WEST</v>
      </c>
      <c r="C156" s="22" t="n">
        <f aca="false">VLOOKUP(A156,All!A:AM,11,0)</f>
        <v>45659</v>
      </c>
      <c r="D156" s="23"/>
      <c r="E156" s="24" t="n">
        <f aca="false">VLOOKUP(A156,All!A:AM,30,0)</f>
        <v>52.077370110157</v>
      </c>
      <c r="F156" s="24" t="n">
        <f aca="false">VLOOKUP(A156,All!A:AM,28,0)</f>
        <v>52.35488</v>
      </c>
      <c r="G156" s="24" t="n">
        <f aca="false">VLOOKUP(A156,All!A:AM,31,0)</f>
        <v>48.1768085355845</v>
      </c>
      <c r="H156" s="24" t="n">
        <f aca="false">VLOOKUP(A156,All!A:AM,29,0)</f>
        <v>44.7881</v>
      </c>
      <c r="I156" s="25" t="n">
        <f aca="false">VLOOKUP(A156,All!A:AM,33,0)</f>
        <v>9.66128137047536</v>
      </c>
      <c r="J156" s="25" t="n">
        <f aca="false">VLOOKUP(A156,All!A:AM,32,0)</f>
        <v>5.15239999999999</v>
      </c>
      <c r="K156" s="26" t="n">
        <f aca="false">VLOOKUP(A156,All!A:AM,39,0)</f>
        <v>25.6862222222222</v>
      </c>
      <c r="L156" s="26" t="n">
        <f aca="false">VLOOKUP(A156,All!A:AM,38,0)</f>
        <v>28.897</v>
      </c>
      <c r="M156" s="28" t="str">
        <f aca="false">VLOOKUP(A156,'SYS Allocations'!A:G,2,0)</f>
        <v>P-Core</v>
      </c>
      <c r="N156" s="28" t="n">
        <f aca="false">VLOOKUP(A156,'SYS Allocations'!A:G,3,0)</f>
        <v>0</v>
      </c>
      <c r="O156" s="28" t="n">
        <f aca="false">VLOOKUP(A156,'SYS Allocations'!A:G,4,0)</f>
        <v>0</v>
      </c>
      <c r="P156" s="28" t="n">
        <f aca="false">VLOOKUP(A156,'SYS Allocations'!A:G,5,0)</f>
        <v>0</v>
      </c>
      <c r="Q156" s="28" t="n">
        <f aca="false">VLOOKUP(A156,'SYS Allocations'!A:G,6,0)</f>
        <v>0</v>
      </c>
      <c r="R156" s="29" t="n">
        <f aca="false">VLOOKUP(A156,'SYS Allocations'!A:G,7,0)</f>
        <v>2</v>
      </c>
      <c r="S156" s="30"/>
    </row>
    <row r="157" customFormat="false" ht="13.15" hidden="true" customHeight="false" outlineLevel="0" collapsed="false">
      <c r="A157" s="32" t="s">
        <v>173</v>
      </c>
      <c r="B157" s="21" t="str">
        <f aca="false">VLOOKUP(A157,All!A:AM,2,0)</f>
        <v>NORTH WEST</v>
      </c>
      <c r="C157" s="22" t="n">
        <f aca="false">VLOOKUP(A157,All!A:AM,11,0)</f>
        <v>45659</v>
      </c>
      <c r="D157" s="23"/>
      <c r="E157" s="24" t="n">
        <f aca="false">VLOOKUP(A157,All!A:AM,30,0)</f>
        <v>64.7627721398213</v>
      </c>
      <c r="F157" s="24" t="n">
        <f aca="false">VLOOKUP(A157,All!A:AM,28,0)</f>
        <v>65.10788</v>
      </c>
      <c r="G157" s="24" t="n">
        <f aca="false">VLOOKUP(A157,All!A:AM,31,0)</f>
        <v>61.894712158518</v>
      </c>
      <c r="H157" s="24" t="n">
        <f aca="false">VLOOKUP(A157,All!A:AM,29,0)</f>
        <v>57.5411</v>
      </c>
      <c r="I157" s="25" t="n">
        <f aca="false">VLOOKUP(A157,All!A:AM,33,0)</f>
        <v>33.5744715959378</v>
      </c>
      <c r="J157" s="25" t="n">
        <f aca="false">VLOOKUP(A157,All!A:AM,32,0)</f>
        <v>17.9054</v>
      </c>
      <c r="K157" s="26"/>
      <c r="L157" s="26"/>
      <c r="M157" s="28" t="n">
        <f aca="false">VLOOKUP(A157,'SYS Allocations'!A:G,2,0)</f>
        <v>0</v>
      </c>
      <c r="N157" s="28" t="n">
        <f aca="false">VLOOKUP(A157,'SYS Allocations'!A:G,3,0)</f>
        <v>0</v>
      </c>
      <c r="O157" s="28" t="n">
        <f aca="false">VLOOKUP(A157,'SYS Allocations'!A:G,4,0)</f>
        <v>0</v>
      </c>
      <c r="P157" s="28" t="n">
        <f aca="false">VLOOKUP(A157,'SYS Allocations'!A:G,5,0)</f>
        <v>0</v>
      </c>
      <c r="Q157" s="28" t="n">
        <f aca="false">VLOOKUP(A157,'SYS Allocations'!A:G,6,0)</f>
        <v>0</v>
      </c>
      <c r="R157" s="29" t="n">
        <f aca="false">VLOOKUP(A157,'SYS Allocations'!A:G,7,0)</f>
        <v>2</v>
      </c>
      <c r="S157" s="30"/>
    </row>
    <row r="158" customFormat="false" ht="13.15" hidden="true" customHeight="false" outlineLevel="0" collapsed="false">
      <c r="A158" s="33" t="s">
        <v>174</v>
      </c>
      <c r="B158" s="21" t="str">
        <f aca="false">VLOOKUP(A158,All!A:AM,2,0)</f>
        <v>NORTH WEST</v>
      </c>
      <c r="C158" s="22" t="n">
        <f aca="false">VLOOKUP(A158,All!A:AM,11,0)</f>
        <v>45659</v>
      </c>
      <c r="D158" s="23"/>
      <c r="E158" s="24" t="n">
        <f aca="false">VLOOKUP(A158,All!A:AM,30,0)</f>
        <v>49.671412924425</v>
      </c>
      <c r="F158" s="24" t="n">
        <f aca="false">VLOOKUP(A158,All!A:AM,28,0)</f>
        <v>98.863</v>
      </c>
      <c r="G158" s="24" t="n">
        <f aca="false">VLOOKUP(A158,All!A:AM,31,0)</f>
        <v>38.0101180438449</v>
      </c>
      <c r="H158" s="24" t="n">
        <f aca="false">VLOOKUP(A158,All!A:AM,29,0)</f>
        <v>61.4215</v>
      </c>
      <c r="I158" s="25" t="n">
        <f aca="false">VLOOKUP(A158,All!A:AM,33,0)</f>
        <v>29.5633916115386</v>
      </c>
      <c r="J158" s="25" t="n">
        <f aca="false">VLOOKUP(A158,All!A:AM,32,0)</f>
        <v>42.0433999999999</v>
      </c>
      <c r="K158" s="26" t="n">
        <f aca="false">VLOOKUP(A158,All!A:AM,39,0)</f>
        <v>45.9650666666667</v>
      </c>
      <c r="L158" s="26" t="n">
        <f aca="false">VLOOKUP(A158,All!A:AM,38,0)</f>
        <v>172.369</v>
      </c>
      <c r="M158" s="28" t="str">
        <f aca="false">VLOOKUP(A158,'SYS Allocations'!A:G,2,0)</f>
        <v>P-Core</v>
      </c>
      <c r="N158" s="28" t="str">
        <f aca="false">VLOOKUP(A158,'SYS Allocations'!A:G,3,0)</f>
        <v>RA</v>
      </c>
      <c r="O158" s="28" t="str">
        <f aca="false">VLOOKUP(A158,'SYS Allocations'!A:G,4,0)</f>
        <v>PX</v>
      </c>
      <c r="P158" s="28" t="n">
        <f aca="false">VLOOKUP(A158,'SYS Allocations'!A:G,5,0)</f>
        <v>0</v>
      </c>
      <c r="Q158" s="28" t="str">
        <f aca="false">VLOOKUP(A158,'SYS Allocations'!A:G,6,0)</f>
        <v>OPEX</v>
      </c>
      <c r="R158" s="29" t="n">
        <f aca="false">VLOOKUP(A158,'SYS Allocations'!A:G,7,0)</f>
        <v>20.575</v>
      </c>
      <c r="S158" s="30"/>
    </row>
    <row r="159" customFormat="false" ht="13.15" hidden="true" customHeight="false" outlineLevel="0" collapsed="false">
      <c r="A159" s="33" t="s">
        <v>175</v>
      </c>
      <c r="B159" s="21" t="str">
        <f aca="false">VLOOKUP(A159,All!A:AM,2,0)</f>
        <v>NORTH WEST</v>
      </c>
      <c r="C159" s="22" t="n">
        <f aca="false">VLOOKUP(A159,All!A:AM,11,0)</f>
        <v>45659</v>
      </c>
      <c r="D159" s="23"/>
      <c r="E159" s="24" t="n">
        <f aca="false">VLOOKUP(A159,All!A:AM,30,0)</f>
        <v>48.5213581599124</v>
      </c>
      <c r="F159" s="24" t="n">
        <f aca="false">VLOOKUP(A159,All!A:AM,28,0)</f>
        <v>96.574</v>
      </c>
      <c r="G159" s="24" t="n">
        <f aca="false">VLOOKUP(A159,All!A:AM,31,0)</f>
        <v>36.5935919055649</v>
      </c>
      <c r="H159" s="24" t="n">
        <f aca="false">VLOOKUP(A159,All!A:AM,29,0)</f>
        <v>59.1325</v>
      </c>
      <c r="I159" s="25" t="n">
        <f aca="false">VLOOKUP(A159,All!A:AM,33,0)</f>
        <v>27.9538499617478</v>
      </c>
      <c r="J159" s="25" t="n">
        <f aca="false">VLOOKUP(A159,All!A:AM,32,0)</f>
        <v>39.7543999999999</v>
      </c>
      <c r="K159" s="26"/>
      <c r="L159" s="26"/>
      <c r="M159" s="28" t="n">
        <f aca="false">VLOOKUP(A159,'SYS Allocations'!A:G,2,0)</f>
        <v>0</v>
      </c>
      <c r="N159" s="28" t="n">
        <f aca="false">VLOOKUP(A159,'SYS Allocations'!A:G,3,0)</f>
        <v>0</v>
      </c>
      <c r="O159" s="28" t="n">
        <f aca="false">VLOOKUP(A159,'SYS Allocations'!A:G,4,0)</f>
        <v>0</v>
      </c>
      <c r="P159" s="28" t="n">
        <f aca="false">VLOOKUP(A159,'SYS Allocations'!A:G,5,0)</f>
        <v>0</v>
      </c>
      <c r="Q159" s="28" t="n">
        <f aca="false">VLOOKUP(A159,'SYS Allocations'!A:G,6,0)</f>
        <v>0</v>
      </c>
      <c r="R159" s="29" t="n">
        <f aca="false">VLOOKUP(A159,'SYS Allocations'!A:G,7,0)</f>
        <v>19.775</v>
      </c>
      <c r="S159" s="30"/>
    </row>
    <row r="160" customFormat="false" ht="13.15" hidden="true" customHeight="false" outlineLevel="0" collapsed="false">
      <c r="A160" s="20" t="s">
        <v>176</v>
      </c>
      <c r="B160" s="21" t="str">
        <f aca="false">VLOOKUP(A160,All!A:AM,2,0)</f>
        <v>NORTH EAST</v>
      </c>
      <c r="C160" s="22" t="n">
        <f aca="false">VLOOKUP(A160,All!A:AM,11,0)</f>
        <v>45511</v>
      </c>
      <c r="D160" s="23"/>
      <c r="E160" s="24" t="n">
        <f aca="false">VLOOKUP(A160,All!A:AM,30,0)</f>
        <v>73.6111111111111</v>
      </c>
      <c r="F160" s="24" t="n">
        <f aca="false">VLOOKUP(A160,All!A:AM,28,0)</f>
        <v>20.2195</v>
      </c>
      <c r="G160" s="24" t="n">
        <f aca="false">VLOOKUP(A160,All!A:AM,31,0)</f>
        <v>73.972602739726</v>
      </c>
      <c r="H160" s="24" t="n">
        <f aca="false">VLOOKUP(A160,All!A:AM,29,0)</f>
        <v>20.601</v>
      </c>
      <c r="I160" s="25" t="n">
        <f aca="false">VLOOKUP(A160,All!A:AM,33,0)</f>
        <v>28.2951487812597</v>
      </c>
      <c r="J160" s="25" t="n">
        <f aca="false">VLOOKUP(A160,All!A:AM,32,0)</f>
        <v>2.86029999999998</v>
      </c>
      <c r="K160" s="26" t="n">
        <f aca="false">VLOOKUP(A160,All!A:AM,39,0)</f>
        <v>67.7844444444444</v>
      </c>
      <c r="L160" s="26" t="n">
        <f aca="false">VLOOKUP(A160,All!A:AM,38,0)</f>
        <v>15.2515</v>
      </c>
      <c r="M160" s="28" t="n">
        <f aca="false">VLOOKUP(A160,'SYS Allocations'!A:G,2,0)</f>
        <v>0</v>
      </c>
      <c r="N160" s="28" t="n">
        <f aca="false">VLOOKUP(A160,'SYS Allocations'!A:G,3,0)</f>
        <v>0</v>
      </c>
      <c r="O160" s="28" t="n">
        <f aca="false">VLOOKUP(A160,'SYS Allocations'!A:G,4,0)</f>
        <v>0</v>
      </c>
      <c r="P160" s="28" t="n">
        <f aca="false">VLOOKUP(A160,'SYS Allocations'!A:G,5,0)</f>
        <v>0</v>
      </c>
      <c r="Q160" s="28" t="n">
        <f aca="false">VLOOKUP(A160,'SYS Allocations'!A:G,6,0)</f>
        <v>0</v>
      </c>
      <c r="R160" s="29" t="n">
        <f aca="false">VLOOKUP(A160,'SYS Allocations'!A:G,7,0)</f>
        <v>0</v>
      </c>
      <c r="S160" s="30"/>
    </row>
    <row r="161" customFormat="false" ht="13.15" hidden="true" customHeight="false" outlineLevel="0" collapsed="false">
      <c r="A161" s="20" t="s">
        <v>177</v>
      </c>
      <c r="B161" s="21" t="str">
        <f aca="false">VLOOKUP(A161,All!A:AM,2,0)</f>
        <v>SOUTH EAST</v>
      </c>
      <c r="C161" s="22" t="n">
        <f aca="false">VLOOKUP(A161,All!A:AM,11,0)</f>
        <v>45659</v>
      </c>
      <c r="D161" s="23"/>
      <c r="E161" s="24" t="n">
        <f aca="false">VLOOKUP(A161,All!A:AM,30,0)</f>
        <v>68.4860904123199</v>
      </c>
      <c r="F161" s="24" t="n">
        <f aca="false">VLOOKUP(A161,All!A:AM,28,0)</f>
        <v>24.04322</v>
      </c>
      <c r="G161" s="24" t="n">
        <f aca="false">VLOOKUP(A161,All!A:AM,31,0)</f>
        <v>49.9012833168806</v>
      </c>
      <c r="H161" s="24" t="n">
        <f aca="false">VLOOKUP(A161,All!A:AM,29,0)</f>
        <v>11.0199</v>
      </c>
      <c r="I161" s="25" t="n">
        <f aca="false">VLOOKUP(A161,All!A:AM,33,0)</f>
        <v>68.8821947707124</v>
      </c>
      <c r="J161" s="25" t="n">
        <f aca="false">VLOOKUP(A161,All!A:AM,32,0)</f>
        <v>24.4901</v>
      </c>
      <c r="K161" s="26" t="n">
        <f aca="false">VLOOKUP(A161,All!A:AM,39,0)</f>
        <v>67.2192592592593</v>
      </c>
      <c r="L161" s="26" t="n">
        <f aca="false">VLOOKUP(A161,All!A:AM,38,0)</f>
        <v>22.6865</v>
      </c>
      <c r="M161" s="28" t="n">
        <f aca="false">VLOOKUP(A161,'SYS Allocations'!A:G,2,0)</f>
        <v>0</v>
      </c>
      <c r="N161" s="28" t="n">
        <f aca="false">VLOOKUP(A161,'SYS Allocations'!A:G,3,0)</f>
        <v>0</v>
      </c>
      <c r="O161" s="28" t="n">
        <f aca="false">VLOOKUP(A161,'SYS Allocations'!A:G,4,0)</f>
        <v>0</v>
      </c>
      <c r="P161" s="28" t="n">
        <f aca="false">VLOOKUP(A161,'SYS Allocations'!A:G,5,0)</f>
        <v>0</v>
      </c>
      <c r="Q161" s="28" t="n">
        <f aca="false">VLOOKUP(A161,'SYS Allocations'!A:G,6,0)</f>
        <v>0</v>
      </c>
      <c r="R161" s="29" t="n">
        <f aca="false">VLOOKUP(A161,'SYS Allocations'!A:G,7,0)</f>
        <v>4.8</v>
      </c>
      <c r="S161" s="30"/>
    </row>
    <row r="162" customFormat="false" ht="13.15" hidden="true" customHeight="false" outlineLevel="0" collapsed="false">
      <c r="A162" s="20" t="s">
        <v>178</v>
      </c>
      <c r="B162" s="21" t="str">
        <f aca="false">VLOOKUP(A162,All!A:AM,2,0)</f>
        <v>SCOTLAND</v>
      </c>
      <c r="C162" s="22" t="n">
        <f aca="false">VLOOKUP(A162,All!A:AM,11,0)</f>
        <v>45350</v>
      </c>
      <c r="D162" s="23"/>
      <c r="E162" s="24" t="n">
        <f aca="false">VLOOKUP(A162,All!A:AM,30,0)</f>
        <v>61.1111111111111</v>
      </c>
      <c r="F162" s="24" t="n">
        <f aca="false">VLOOKUP(A162,All!A:AM,28,0)</f>
        <v>2.9975</v>
      </c>
      <c r="G162" s="24" t="n">
        <f aca="false">VLOOKUP(A162,All!A:AM,31,0)</f>
        <v>67.741935483871</v>
      </c>
      <c r="H162" s="24" t="n">
        <f aca="false">VLOOKUP(A162,All!A:AM,29,0)</f>
        <v>4.00575</v>
      </c>
      <c r="I162" s="25" t="n">
        <f aca="false">VLOOKUP(A162,All!A:AM,33,0)</f>
        <v>44.8061342592593</v>
      </c>
      <c r="J162" s="25" t="n">
        <f aca="false">VLOOKUP(A162,All!A:AM,32,0)</f>
        <v>1.5485</v>
      </c>
      <c r="K162" s="26" t="n">
        <f aca="false">VLOOKUP(A162,All!A:AM,39,0)</f>
        <v>68.2083333333333</v>
      </c>
      <c r="L162" s="26" t="n">
        <f aca="false">VLOOKUP(A162,All!A:AM,38,0)</f>
        <v>4.0925</v>
      </c>
      <c r="M162" s="28" t="n">
        <f aca="false">VLOOKUP(A162,'SYS Allocations'!A:G,2,0)</f>
        <v>0</v>
      </c>
      <c r="N162" s="28" t="n">
        <f aca="false">VLOOKUP(A162,'SYS Allocations'!A:G,3,0)</f>
        <v>0</v>
      </c>
      <c r="O162" s="28" t="n">
        <f aca="false">VLOOKUP(A162,'SYS Allocations'!A:G,4,0)</f>
        <v>0</v>
      </c>
      <c r="P162" s="28" t="n">
        <f aca="false">VLOOKUP(A162,'SYS Allocations'!A:G,5,0)</f>
        <v>0</v>
      </c>
      <c r="Q162" s="28" t="n">
        <f aca="false">VLOOKUP(A162,'SYS Allocations'!A:G,6,0)</f>
        <v>0</v>
      </c>
      <c r="R162" s="29" t="n">
        <f aca="false">VLOOKUP(A162,'SYS Allocations'!A:G,7,0)</f>
        <v>4</v>
      </c>
      <c r="S162" s="30"/>
    </row>
    <row r="163" customFormat="false" ht="13.15" hidden="true" customHeight="false" outlineLevel="0" collapsed="false">
      <c r="A163" s="20" t="s">
        <v>179</v>
      </c>
      <c r="B163" s="21" t="str">
        <f aca="false">VLOOKUP(A163,All!A:AM,2,0)</f>
        <v>NORTHERN HOME COUNTIES</v>
      </c>
      <c r="C163" s="22" t="n">
        <f aca="false">VLOOKUP(A163,All!A:AM,11,0)</f>
        <v>45308</v>
      </c>
      <c r="D163" s="40"/>
      <c r="E163" s="24" t="n">
        <f aca="false">VLOOKUP(A163,All!A:AM,30,0)</f>
        <v>56.3329430132709</v>
      </c>
      <c r="F163" s="24" t="n">
        <f aca="false">VLOOKUP(A163,All!A:AM,28,0)</f>
        <v>25.17028</v>
      </c>
      <c r="G163" s="24" t="n">
        <f aca="false">VLOOKUP(A163,All!A:AM,31,0)</f>
        <v>42.7016645326505</v>
      </c>
      <c r="H163" s="24" t="n">
        <f aca="false">VLOOKUP(A163,All!A:AM,29,0)</f>
        <v>14.5406</v>
      </c>
      <c r="I163" s="25" t="n">
        <f aca="false">VLOOKUP(A163,All!A:AM,33,0)</f>
        <v>45.1222942261824</v>
      </c>
      <c r="J163" s="25" t="n">
        <f aca="false">VLOOKUP(A163,All!A:AM,32,0)</f>
        <v>16.0426</v>
      </c>
      <c r="K163" s="26" t="n">
        <f aca="false">VLOOKUP(A163,All!A:AM,39,0)</f>
        <v>63.8685185185185</v>
      </c>
      <c r="L163" s="26" t="n">
        <f aca="false">VLOOKUP(A163,All!A:AM,38,0)</f>
        <v>34.489</v>
      </c>
      <c r="M163" s="28" t="n">
        <f aca="false">VLOOKUP(A163,'SYS Allocations'!A:G,2,0)</f>
        <v>0</v>
      </c>
      <c r="N163" s="28" t="n">
        <f aca="false">VLOOKUP(A163,'SYS Allocations'!A:G,3,0)</f>
        <v>0</v>
      </c>
      <c r="O163" s="28" t="n">
        <f aca="false">VLOOKUP(A163,'SYS Allocations'!A:G,4,0)</f>
        <v>0</v>
      </c>
      <c r="P163" s="28" t="n">
        <f aca="false">VLOOKUP(A163,'SYS Allocations'!A:G,5,0)</f>
        <v>0</v>
      </c>
      <c r="Q163" s="28" t="n">
        <f aca="false">VLOOKUP(A163,'SYS Allocations'!A:G,6,0)</f>
        <v>0</v>
      </c>
      <c r="R163" s="29" t="n">
        <f aca="false">VLOOKUP(A163,'SYS Allocations'!A:G,7,0)</f>
        <v>1</v>
      </c>
      <c r="S163" s="30"/>
    </row>
    <row r="164" customFormat="false" ht="13.15" hidden="true" customHeight="false" outlineLevel="0" collapsed="false">
      <c r="A164" s="20" t="s">
        <v>180</v>
      </c>
      <c r="B164" s="21" t="str">
        <f aca="false">VLOOKUP(A164,All!A:AM,2,0)</f>
        <v>THAMES VALLEY</v>
      </c>
      <c r="C164" s="22" t="n">
        <f aca="false">VLOOKUP(A164,All!A:AM,11,0)</f>
        <v>45565</v>
      </c>
      <c r="D164" s="23"/>
      <c r="E164" s="24" t="n">
        <f aca="false">VLOOKUP(A164,All!A:AM,30,0)</f>
        <v>51.5151515151515</v>
      </c>
      <c r="F164" s="24" t="n">
        <f aca="false">VLOOKUP(A164,All!A:AM,28,0)</f>
        <v>14.824</v>
      </c>
      <c r="G164" s="24" t="n">
        <f aca="false">VLOOKUP(A164,All!A:AM,31,0)</f>
        <v>28.2913165266106</v>
      </c>
      <c r="H164" s="24" t="n">
        <f aca="false">VLOOKUP(A164,All!A:AM,29,0)</f>
        <v>5.5045</v>
      </c>
      <c r="I164" s="25" t="n">
        <f aca="false">VLOOKUP(A164,All!A:AM,33,0)</f>
        <v>48.4907555082994</v>
      </c>
      <c r="J164" s="25" t="n">
        <f aca="false">VLOOKUP(A164,All!A:AM,32,0)</f>
        <v>13.1344</v>
      </c>
      <c r="K164" s="26" t="n">
        <f aca="false">VLOOKUP(A164,All!A:AM,39,0)</f>
        <v>57.7212121212121</v>
      </c>
      <c r="L164" s="26" t="n">
        <f aca="false">VLOOKUP(A164,All!A:AM,38,0)</f>
        <v>19.048</v>
      </c>
      <c r="M164" s="28" t="n">
        <f aca="false">VLOOKUP(A164,'SYS Allocations'!A:G,2,0)</f>
        <v>0</v>
      </c>
      <c r="N164" s="28" t="n">
        <f aca="false">VLOOKUP(A164,'SYS Allocations'!A:G,3,0)</f>
        <v>0</v>
      </c>
      <c r="O164" s="28" t="n">
        <f aca="false">VLOOKUP(A164,'SYS Allocations'!A:G,4,0)</f>
        <v>0</v>
      </c>
      <c r="P164" s="28" t="n">
        <f aca="false">VLOOKUP(A164,'SYS Allocations'!A:G,5,0)</f>
        <v>0</v>
      </c>
      <c r="Q164" s="28" t="n">
        <f aca="false">VLOOKUP(A164,'SYS Allocations'!A:G,6,0)</f>
        <v>0</v>
      </c>
      <c r="R164" s="29" t="n">
        <f aca="false">VLOOKUP(A164,'SYS Allocations'!A:G,7,0)</f>
        <v>0.5</v>
      </c>
      <c r="S164" s="30"/>
    </row>
    <row r="165" customFormat="false" ht="13.15" hidden="true" customHeight="false" outlineLevel="0" collapsed="false">
      <c r="A165" s="20" t="s">
        <v>181</v>
      </c>
      <c r="B165" s="21" t="str">
        <f aca="false">VLOOKUP(A165,All!A:AM,2,0)</f>
        <v>MIDLANDS</v>
      </c>
      <c r="C165" s="22" t="n">
        <f aca="false">VLOOKUP(A165,All!A:AM,11,0)</f>
        <v>44624.375</v>
      </c>
      <c r="D165" s="23"/>
      <c r="E165" s="24" t="n">
        <f aca="false">VLOOKUP(A165,All!A:AM,30,0)</f>
        <v>74.1412958626073</v>
      </c>
      <c r="F165" s="24" t="n">
        <f aca="false">VLOOKUP(A165,All!A:AM,28,0)</f>
        <v>8.28182</v>
      </c>
      <c r="G165" s="24" t="n">
        <f aca="false">VLOOKUP(A165,All!A:AM,31,0)</f>
        <v>71.5969989281886</v>
      </c>
      <c r="H165" s="24" t="n">
        <f aca="false">VLOOKUP(A165,All!A:AM,29,0)</f>
        <v>7.2812</v>
      </c>
      <c r="I165" s="25" t="n">
        <f aca="false">VLOOKUP(A165,All!A:AM,33,0)</f>
        <v>59.7208277554664</v>
      </c>
      <c r="J165" s="25" t="n">
        <f aca="false">VLOOKUP(A165,All!A:AM,32,0)</f>
        <v>4.28270000000001</v>
      </c>
      <c r="K165" s="26" t="n">
        <f aca="false">VLOOKUP(A165,All!A:AM,39,0)</f>
        <v>74.3244444444444</v>
      </c>
      <c r="L165" s="26" t="n">
        <f aca="false">VLOOKUP(A165,All!A:AM,38,0)</f>
        <v>8.3615</v>
      </c>
      <c r="M165" s="28" t="n">
        <f aca="false">VLOOKUP(A165,'SYS Allocations'!A:G,2,0)</f>
        <v>0</v>
      </c>
      <c r="N165" s="28" t="n">
        <f aca="false">VLOOKUP(A165,'SYS Allocations'!A:G,3,0)</f>
        <v>0</v>
      </c>
      <c r="O165" s="28" t="n">
        <f aca="false">VLOOKUP(A165,'SYS Allocations'!A:G,4,0)</f>
        <v>0</v>
      </c>
      <c r="P165" s="28" t="n">
        <f aca="false">VLOOKUP(A165,'SYS Allocations'!A:G,5,0)</f>
        <v>0</v>
      </c>
      <c r="Q165" s="28" t="n">
        <f aca="false">VLOOKUP(A165,'SYS Allocations'!A:G,6,0)</f>
        <v>0</v>
      </c>
      <c r="R165" s="29" t="n">
        <f aca="false">VLOOKUP(A165,'SYS Allocations'!A:G,7,0)</f>
        <v>0</v>
      </c>
      <c r="S165" s="30"/>
    </row>
    <row r="166" customFormat="false" ht="13.15" hidden="true" customHeight="false" outlineLevel="0" collapsed="false">
      <c r="A166" s="20" t="s">
        <v>182</v>
      </c>
      <c r="B166" s="21" t="str">
        <f aca="false">VLOOKUP(A166,All!A:AM,2,0)</f>
        <v>MIDLANDS</v>
      </c>
      <c r="C166" s="22" t="n">
        <f aca="false">VLOOKUP(A166,All!A:AM,11,0)</f>
        <v>45589</v>
      </c>
      <c r="D166" s="23"/>
      <c r="E166" s="24" t="n">
        <f aca="false">VLOOKUP(A166,All!A:AM,30,0)</f>
        <v>54.1211293260474</v>
      </c>
      <c r="F166" s="24" t="n">
        <f aca="false">VLOOKUP(A166,All!A:AM,28,0)</f>
        <v>25.9093</v>
      </c>
      <c r="G166" s="24" t="n">
        <f aca="false">VLOOKUP(A166,All!A:AM,31,0)</f>
        <v>40.2962962962963</v>
      </c>
      <c r="H166" s="24" t="n">
        <f aca="false">VLOOKUP(A166,All!A:AM,29,0)</f>
        <v>14.824</v>
      </c>
      <c r="I166" s="25" t="n">
        <f aca="false">VLOOKUP(A166,All!A:AM,33,0)</f>
        <v>42.0610425240055</v>
      </c>
      <c r="J166" s="25" t="n">
        <f aca="false">VLOOKUP(A166,All!A:AM,32,0)</f>
        <v>15.9445</v>
      </c>
      <c r="K166" s="26" t="n">
        <f aca="false">VLOOKUP(A166,All!A:AM,39,0)</f>
        <v>77.9814536340852</v>
      </c>
      <c r="L166" s="26" t="n">
        <f aca="false">VLOOKUP(A166,All!A:AM,38,0)</f>
        <v>77.7865</v>
      </c>
      <c r="M166" s="28" t="n">
        <f aca="false">VLOOKUP(A166,'SYS Allocations'!A:G,2,0)</f>
        <v>0</v>
      </c>
      <c r="N166" s="28" t="n">
        <f aca="false">VLOOKUP(A166,'SYS Allocations'!A:G,3,0)</f>
        <v>0</v>
      </c>
      <c r="O166" s="28" t="n">
        <f aca="false">VLOOKUP(A166,'SYS Allocations'!A:G,4,0)</f>
        <v>0</v>
      </c>
      <c r="P166" s="28" t="n">
        <f aca="false">VLOOKUP(A166,'SYS Allocations'!A:G,5,0)</f>
        <v>0</v>
      </c>
      <c r="Q166" s="28" t="n">
        <f aca="false">VLOOKUP(A166,'SYS Allocations'!A:G,6,0)</f>
        <v>0</v>
      </c>
      <c r="R166" s="29" t="n">
        <f aca="false">VLOOKUP(A166,'SYS Allocations'!A:G,7,0)</f>
        <v>1</v>
      </c>
      <c r="S166" s="30"/>
    </row>
    <row r="167" customFormat="false" ht="13.15" hidden="true" customHeight="false" outlineLevel="0" collapsed="false">
      <c r="A167" s="20" t="s">
        <v>183</v>
      </c>
      <c r="B167" s="21" t="str">
        <f aca="false">VLOOKUP(A167,All!A:AM,2,0)</f>
        <v>MIDLANDS</v>
      </c>
      <c r="C167" s="22" t="n">
        <f aca="false">VLOOKUP(A167,All!A:AM,11,0)</f>
        <v>45476</v>
      </c>
      <c r="D167" s="23"/>
      <c r="E167" s="24" t="n">
        <f aca="false">VLOOKUP(A167,All!A:AM,30,0)</f>
        <v>72.75</v>
      </c>
      <c r="F167" s="24" t="n">
        <f aca="false">VLOOKUP(A167,All!A:AM,28,0)</f>
        <v>15.8595</v>
      </c>
      <c r="G167" s="24" t="n">
        <f aca="false">VLOOKUP(A167,All!A:AM,31,0)</f>
        <v>66.0964230171073</v>
      </c>
      <c r="H167" s="24" t="n">
        <f aca="false">VLOOKUP(A167,All!A:AM,29,0)</f>
        <v>11.58125</v>
      </c>
      <c r="I167" s="25" t="n">
        <f aca="false">VLOOKUP(A167,All!A:AM,33,0)</f>
        <v>60.8229133692096</v>
      </c>
      <c r="J167" s="25" t="n">
        <f aca="false">VLOOKUP(A167,All!A:AM,32,0)</f>
        <v>9.22269999999999</v>
      </c>
      <c r="K167" s="26" t="n">
        <f aca="false">VLOOKUP(A167,All!A:AM,39,0)</f>
        <v>86.7988888888889</v>
      </c>
      <c r="L167" s="26" t="n">
        <f aca="false">VLOOKUP(A167,All!A:AM,38,0)</f>
        <v>39.0595</v>
      </c>
      <c r="M167" s="28" t="n">
        <f aca="false">VLOOKUP(A167,'SYS Allocations'!A:G,2,0)</f>
        <v>0</v>
      </c>
      <c r="N167" s="28" t="n">
        <f aca="false">VLOOKUP(A167,'SYS Allocations'!A:G,3,0)</f>
        <v>0</v>
      </c>
      <c r="O167" s="28" t="n">
        <f aca="false">VLOOKUP(A167,'SYS Allocations'!A:G,4,0)</f>
        <v>0</v>
      </c>
      <c r="P167" s="28" t="n">
        <f aca="false">VLOOKUP(A167,'SYS Allocations'!A:G,5,0)</f>
        <v>0</v>
      </c>
      <c r="Q167" s="28" t="n">
        <f aca="false">VLOOKUP(A167,'SYS Allocations'!A:G,6,0)</f>
        <v>0</v>
      </c>
      <c r="R167" s="29" t="n">
        <f aca="false">VLOOKUP(A167,'SYS Allocations'!A:G,7,0)</f>
        <v>0</v>
      </c>
      <c r="S167" s="30"/>
    </row>
    <row r="168" customFormat="false" ht="13.15" hidden="true" customHeight="false" outlineLevel="0" collapsed="false">
      <c r="A168" s="20" t="s">
        <v>184</v>
      </c>
      <c r="B168" s="21" t="str">
        <f aca="false">VLOOKUP(A168,All!A:AM,2,0)</f>
        <v>ANGLIA</v>
      </c>
      <c r="C168" s="22" t="n">
        <f aca="false">VLOOKUP(A168,All!A:AM,11,0)</f>
        <v>45630</v>
      </c>
      <c r="D168" s="23"/>
      <c r="E168" s="24" t="n">
        <f aca="false">VLOOKUP(A168,All!A:AM,30,0)</f>
        <v>44.7859744990893</v>
      </c>
      <c r="F168" s="24" t="n">
        <f aca="false">VLOOKUP(A168,All!A:AM,28,0)</f>
        <v>4.28806</v>
      </c>
      <c r="G168" s="24" t="n">
        <f aca="false">VLOOKUP(A168,All!A:AM,31,0)</f>
        <v>2.61044176706827</v>
      </c>
      <c r="H168" s="24" t="n">
        <f aca="false">VLOOKUP(A168,All!A:AM,29,0)</f>
        <v>0.1417</v>
      </c>
      <c r="I168" s="25" t="n">
        <f aca="false">VLOOKUP(A168,All!A:AM,33,0)</f>
        <v>71.3144197878141</v>
      </c>
      <c r="J168" s="25" t="n">
        <f aca="false">VLOOKUP(A168,All!A:AM,32,0)</f>
        <v>13.14262</v>
      </c>
      <c r="K168" s="26" t="n">
        <f aca="false">VLOOKUP(A168,All!A:AM,39,0)</f>
        <v>53.0088888888889</v>
      </c>
      <c r="L168" s="26" t="n">
        <f aca="false">VLOOKUP(A168,All!A:AM,38,0)</f>
        <v>5.9635</v>
      </c>
      <c r="M168" s="28" t="n">
        <f aca="false">VLOOKUP(A168,'SYS Allocations'!A:G,2,0)</f>
        <v>0</v>
      </c>
      <c r="N168" s="28" t="str">
        <f aca="false">VLOOKUP(A168,'SYS Allocations'!A:G,3,0)</f>
        <v>RA</v>
      </c>
      <c r="O168" s="28" t="n">
        <f aca="false">VLOOKUP(A168,'SYS Allocations'!A:G,4,0)</f>
        <v>0</v>
      </c>
      <c r="P168" s="28" t="n">
        <f aca="false">VLOOKUP(A168,'SYS Allocations'!A:G,5,0)</f>
        <v>0</v>
      </c>
      <c r="Q168" s="28" t="n">
        <f aca="false">VLOOKUP(A168,'SYS Allocations'!A:G,6,0)</f>
        <v>0</v>
      </c>
      <c r="R168" s="29" t="n">
        <f aca="false">VLOOKUP(A168,'SYS Allocations'!A:G,7,0)</f>
        <v>2.4</v>
      </c>
      <c r="S168" s="30"/>
    </row>
    <row r="169" customFormat="false" ht="13.15" hidden="true" customHeight="false" outlineLevel="0" collapsed="false">
      <c r="A169" s="20" t="s">
        <v>185</v>
      </c>
      <c r="B169" s="21" t="str">
        <f aca="false">VLOOKUP(A169,All!A:AM,2,0)</f>
        <v>ANGLIA</v>
      </c>
      <c r="C169" s="22" t="n">
        <f aca="false">VLOOKUP(A169,All!A:AM,11,0)</f>
        <v>45309</v>
      </c>
      <c r="D169" s="23"/>
      <c r="E169" s="24" t="n">
        <f aca="false">VLOOKUP(A169,All!A:AM,30,0)</f>
        <v>64.6415943426551</v>
      </c>
      <c r="F169" s="24" t="n">
        <f aca="false">VLOOKUP(A169,All!A:AM,28,0)</f>
        <v>17.53592</v>
      </c>
      <c r="G169" s="24" t="n">
        <f aca="false">VLOOKUP(A169,All!A:AM,31,0)</f>
        <v>39.4564843481252</v>
      </c>
      <c r="H169" s="24" t="n">
        <f aca="false">VLOOKUP(A169,All!A:AM,29,0)</f>
        <v>6.25115</v>
      </c>
      <c r="I169" s="25" t="n">
        <f aca="false">VLOOKUP(A169,All!A:AM,33,0)</f>
        <v>65.9713353199943</v>
      </c>
      <c r="J169" s="25" t="n">
        <f aca="false">VLOOKUP(A169,All!A:AM,32,0)</f>
        <v>18.596</v>
      </c>
      <c r="K169" s="26" t="n">
        <f aca="false">VLOOKUP(A169,All!A:AM,39,0)</f>
        <v>57.3688888888889</v>
      </c>
      <c r="L169" s="26" t="n">
        <f aca="false">VLOOKUP(A169,All!A:AM,38,0)</f>
        <v>12.908</v>
      </c>
      <c r="M169" s="28" t="n">
        <f aca="false">VLOOKUP(A169,'SYS Allocations'!A:G,2,0)</f>
        <v>0</v>
      </c>
      <c r="N169" s="28" t="n">
        <f aca="false">VLOOKUP(A169,'SYS Allocations'!A:G,3,0)</f>
        <v>0</v>
      </c>
      <c r="O169" s="28" t="n">
        <f aca="false">VLOOKUP(A169,'SYS Allocations'!A:G,4,0)</f>
        <v>0</v>
      </c>
      <c r="P169" s="28" t="n">
        <f aca="false">VLOOKUP(A169,'SYS Allocations'!A:G,5,0)</f>
        <v>0</v>
      </c>
      <c r="Q169" s="28" t="n">
        <f aca="false">VLOOKUP(A169,'SYS Allocations'!A:G,6,0)</f>
        <v>0</v>
      </c>
      <c r="R169" s="29" t="n">
        <f aca="false">VLOOKUP(A169,'SYS Allocations'!A:G,7,0)</f>
        <v>1</v>
      </c>
      <c r="S169" s="30"/>
    </row>
    <row r="170" customFormat="false" ht="13.15" hidden="true" customHeight="false" outlineLevel="0" collapsed="false">
      <c r="A170" s="20" t="s">
        <v>186</v>
      </c>
      <c r="B170" s="21" t="str">
        <f aca="false">VLOOKUP(A170,All!A:AM,2,0)</f>
        <v>NORTH WEST</v>
      </c>
      <c r="C170" s="22" t="n">
        <f aca="false">VLOOKUP(A170,All!A:AM,11,0)</f>
        <v>45659</v>
      </c>
      <c r="D170" s="23"/>
      <c r="E170" s="24" t="n">
        <f aca="false">VLOOKUP(A170,All!A:AM,30,0)</f>
        <v>65.5054644808743</v>
      </c>
      <c r="F170" s="24" t="n">
        <f aca="false">VLOOKUP(A170,All!A:AM,28,0)</f>
        <v>10.4531</v>
      </c>
      <c r="G170" s="24" t="n">
        <f aca="false">VLOOKUP(A170,All!A:AM,31,0)</f>
        <v>52.803738317757</v>
      </c>
      <c r="H170" s="24" t="n">
        <f aca="false">VLOOKUP(A170,All!A:AM,29,0)</f>
        <v>6.1585</v>
      </c>
      <c r="I170" s="25" t="n">
        <f aca="false">VLOOKUP(A170,All!A:AM,33,0)</f>
        <v>63.0883599416335</v>
      </c>
      <c r="J170" s="25" t="n">
        <f aca="false">VLOOKUP(A170,All!A:AM,32,0)</f>
        <v>9.40814000000002</v>
      </c>
      <c r="K170" s="26" t="n">
        <f aca="false">VLOOKUP(A170,All!A:AM,39,0)</f>
        <v>47.5761904761905</v>
      </c>
      <c r="L170" s="26" t="n">
        <f aca="false">VLOOKUP(A170,All!A:AM,38,0)</f>
        <v>4.9955</v>
      </c>
      <c r="M170" s="28" t="n">
        <f aca="false">VLOOKUP(A170,'SYS Allocations'!A:G,2,0)</f>
        <v>0</v>
      </c>
      <c r="N170" s="28" t="str">
        <f aca="false">VLOOKUP(A170,'SYS Allocations'!A:G,3,0)</f>
        <v>RA</v>
      </c>
      <c r="O170" s="28" t="n">
        <f aca="false">VLOOKUP(A170,'SYS Allocations'!A:G,4,0)</f>
        <v>0</v>
      </c>
      <c r="P170" s="28" t="n">
        <f aca="false">VLOOKUP(A170,'SYS Allocations'!A:G,5,0)</f>
        <v>0</v>
      </c>
      <c r="Q170" s="28" t="n">
        <f aca="false">VLOOKUP(A170,'SYS Allocations'!A:G,6,0)</f>
        <v>0</v>
      </c>
      <c r="R170" s="29" t="n">
        <f aca="false">VLOOKUP(A170,'SYS Allocations'!A:G,7,0)</f>
        <v>1.7</v>
      </c>
      <c r="S170" s="30"/>
    </row>
    <row r="171" customFormat="false" ht="13.15" hidden="true" customHeight="false" outlineLevel="0" collapsed="false">
      <c r="A171" s="32" t="s">
        <v>187</v>
      </c>
      <c r="B171" s="21" t="str">
        <f aca="false">VLOOKUP(A171,All!A:AM,2,0)</f>
        <v>NORTH EAST</v>
      </c>
      <c r="C171" s="22" t="n">
        <f aca="false">VLOOKUP(A171,All!A:AM,11,0)</f>
        <v>45659</v>
      </c>
      <c r="D171" s="23"/>
      <c r="E171" s="24" t="n">
        <f aca="false">VLOOKUP(A171,All!A:AM,30,0)</f>
        <v>61.5503261061167</v>
      </c>
      <c r="F171" s="24" t="n">
        <f aca="false">VLOOKUP(A171,All!A:AM,28,0)</f>
        <v>30.44806</v>
      </c>
      <c r="G171" s="24" t="n">
        <f aca="false">VLOOKUP(A171,All!A:AM,31,0)</f>
        <v>46.6849984723495</v>
      </c>
      <c r="H171" s="24" t="n">
        <f aca="false">VLOOKUP(A171,All!A:AM,29,0)</f>
        <v>16.6552</v>
      </c>
      <c r="I171" s="25" t="n">
        <f aca="false">VLOOKUP(A171,All!A:AM,33,0)</f>
        <v>54.9806388699538</v>
      </c>
      <c r="J171" s="25" t="n">
        <f aca="false">VLOOKUP(A171,All!A:AM,32,0)</f>
        <v>23.2291</v>
      </c>
      <c r="K171" s="26" t="n">
        <f aca="false">VLOOKUP(A171,All!A:AM,39,0)</f>
        <v>29.15</v>
      </c>
      <c r="L171" s="26" t="n">
        <f aca="false">VLOOKUP(A171,All!A:AM,38,0)</f>
        <v>13.1175</v>
      </c>
      <c r="M171" s="28" t="n">
        <f aca="false">VLOOKUP(A171,'SYS Allocations'!A:G,2,0)</f>
        <v>0</v>
      </c>
      <c r="N171" s="28" t="str">
        <f aca="false">VLOOKUP(A171,'SYS Allocations'!A:G,3,0)</f>
        <v>RA</v>
      </c>
      <c r="O171" s="28" t="n">
        <f aca="false">VLOOKUP(A171,'SYS Allocations'!A:G,4,0)</f>
        <v>0</v>
      </c>
      <c r="P171" s="28" t="n">
        <f aca="false">VLOOKUP(A171,'SYS Allocations'!A:G,5,0)</f>
        <v>0</v>
      </c>
      <c r="Q171" s="28" t="str">
        <f aca="false">VLOOKUP(A171,'SYS Allocations'!A:G,6,0)</f>
        <v>OPEX</v>
      </c>
      <c r="R171" s="29" t="n">
        <f aca="false">VLOOKUP(A171,'SYS Allocations'!A:G,7,0)</f>
        <v>10.1</v>
      </c>
      <c r="S171" s="30"/>
    </row>
    <row r="172" customFormat="false" ht="13.15" hidden="true" customHeight="false" outlineLevel="0" collapsed="false">
      <c r="A172" s="32" t="s">
        <v>188</v>
      </c>
      <c r="B172" s="21" t="str">
        <f aca="false">VLOOKUP(A172,All!A:AM,2,0)</f>
        <v>NORTH EAST</v>
      </c>
      <c r="C172" s="22" t="n">
        <f aca="false">VLOOKUP(A172,All!A:AM,11,0)</f>
        <v>45659</v>
      </c>
      <c r="D172" s="23"/>
      <c r="E172" s="24" t="n">
        <f aca="false">VLOOKUP(A172,All!A:AM,30,0)</f>
        <v>64.9560465668805</v>
      </c>
      <c r="F172" s="24" t="n">
        <f aca="false">VLOOKUP(A172,All!A:AM,28,0)</f>
        <v>23.84048</v>
      </c>
      <c r="G172" s="24" t="n">
        <f aca="false">VLOOKUP(A172,All!A:AM,31,0)</f>
        <v>26.6625233064015</v>
      </c>
      <c r="H172" s="24" t="n">
        <f aca="false">VLOOKUP(A172,All!A:AM,29,0)</f>
        <v>4.6761</v>
      </c>
      <c r="I172" s="25" t="n">
        <f aca="false">VLOOKUP(A172,All!A:AM,33,0)</f>
        <v>71.8590282153609</v>
      </c>
      <c r="J172" s="25" t="n">
        <f aca="false">VLOOKUP(A172,All!A:AM,32,0)</f>
        <v>32.8436</v>
      </c>
      <c r="K172" s="26"/>
      <c r="L172" s="26"/>
      <c r="M172" s="28"/>
      <c r="N172" s="28"/>
      <c r="O172" s="28"/>
      <c r="P172" s="28"/>
      <c r="Q172" s="28"/>
      <c r="R172" s="29" t="n">
        <f aca="false">VLOOKUP(A172,'SYS Allocations'!A:G,7,0)</f>
        <v>10.6</v>
      </c>
      <c r="S172" s="30"/>
    </row>
    <row r="173" customFormat="false" ht="13.15" hidden="true" customHeight="false" outlineLevel="0" collapsed="false">
      <c r="A173" s="20" t="s">
        <v>189</v>
      </c>
      <c r="B173" s="21" t="str">
        <f aca="false">VLOOKUP(A173,All!A:AM,2,0)</f>
        <v>NORTH EAST</v>
      </c>
      <c r="C173" s="22" t="n">
        <f aca="false">VLOOKUP(A173,All!A:AM,11,0)</f>
        <v>45532</v>
      </c>
      <c r="D173" s="23"/>
      <c r="E173" s="24" t="n">
        <f aca="false">VLOOKUP(A173,All!A:AM,30,0)</f>
        <v>68.9569536423841</v>
      </c>
      <c r="F173" s="24" t="n">
        <f aca="false">VLOOKUP(A173,All!A:AM,28,0)</f>
        <v>12.71158</v>
      </c>
      <c r="G173" s="24" t="n">
        <f aca="false">VLOOKUP(A173,All!A:AM,31,0)</f>
        <v>65.4377880184332</v>
      </c>
      <c r="H173" s="24" t="n">
        <f aca="false">VLOOKUP(A173,All!A:AM,29,0)</f>
        <v>10.8346</v>
      </c>
      <c r="I173" s="25" t="n">
        <f aca="false">VLOOKUP(A173,All!A:AM,33,0)</f>
        <v>43.3909069325734</v>
      </c>
      <c r="J173" s="25" t="n">
        <f aca="false">VLOOKUP(A173,All!A:AM,32,0)</f>
        <v>4.38629999999998</v>
      </c>
      <c r="K173" s="26" t="n">
        <f aca="false">VLOOKUP(A173,All!A:AM,39,0)</f>
        <v>74.5666666666667</v>
      </c>
      <c r="L173" s="26" t="n">
        <f aca="false">VLOOKUP(A173,All!A:AM,38,0)</f>
        <v>16.7775</v>
      </c>
      <c r="M173" s="28" t="n">
        <f aca="false">VLOOKUP(A173,'SYS Allocations'!A:G,2,0)</f>
        <v>0</v>
      </c>
      <c r="N173" s="28" t="n">
        <f aca="false">VLOOKUP(A173,'SYS Allocations'!A:G,3,0)</f>
        <v>0</v>
      </c>
      <c r="O173" s="28" t="n">
        <f aca="false">VLOOKUP(A173,'SYS Allocations'!A:G,4,0)</f>
        <v>0</v>
      </c>
      <c r="P173" s="28" t="n">
        <f aca="false">VLOOKUP(A173,'SYS Allocations'!A:G,5,0)</f>
        <v>0</v>
      </c>
      <c r="Q173" s="28" t="n">
        <f aca="false">VLOOKUP(A173,'SYS Allocations'!A:G,6,0)</f>
        <v>0</v>
      </c>
      <c r="R173" s="29" t="n">
        <f aca="false">VLOOKUP(A173,'SYS Allocations'!A:G,7,0)</f>
        <v>0</v>
      </c>
      <c r="S173" s="30"/>
    </row>
    <row r="174" customFormat="false" ht="13.15" hidden="true" customHeight="false" outlineLevel="0" collapsed="false">
      <c r="A174" s="20" t="s">
        <v>190</v>
      </c>
      <c r="B174" s="21" t="str">
        <f aca="false">VLOOKUP(A174,All!A:AM,2,0)</f>
        <v>WALES</v>
      </c>
      <c r="C174" s="22" t="n">
        <f aca="false">VLOOKUP(A174,All!A:AM,11,0)</f>
        <v>45517</v>
      </c>
      <c r="D174" s="23"/>
      <c r="E174" s="24" t="n">
        <f aca="false">VLOOKUP(A174,All!A:AM,30,0)</f>
        <v>55.9090909090909</v>
      </c>
      <c r="F174" s="24" t="n">
        <f aca="false">VLOOKUP(A174,All!A:AM,28,0)</f>
        <v>6.7035</v>
      </c>
      <c r="G174" s="24" t="n">
        <f aca="false">VLOOKUP(A174,All!A:AM,31,0)</f>
        <v>43.3808052010649</v>
      </c>
      <c r="H174" s="24" t="n">
        <f aca="false">VLOOKUP(A174,All!A:AM,29,0)</f>
        <v>4.050439564</v>
      </c>
      <c r="I174" s="25" t="n">
        <f aca="false">VLOOKUP(A174,All!A:AM,33,0)</f>
        <v>54.6767832647461</v>
      </c>
      <c r="J174" s="25" t="n">
        <f aca="false">VLOOKUP(A174,All!A:AM,32,0)</f>
        <v>6.37749999999999</v>
      </c>
      <c r="K174" s="26" t="n">
        <f aca="false">VLOOKUP(A174,All!A:AM,39,0)</f>
        <v>76.5044444444444</v>
      </c>
      <c r="L174" s="26" t="n">
        <f aca="false">VLOOKUP(A174,All!A:AM,38,0)</f>
        <v>17.2135</v>
      </c>
      <c r="M174" s="28" t="n">
        <f aca="false">VLOOKUP(A174,'SYS Allocations'!A:G,2,0)</f>
        <v>0</v>
      </c>
      <c r="N174" s="28" t="n">
        <f aca="false">VLOOKUP(A174,'SYS Allocations'!A:G,3,0)</f>
        <v>0</v>
      </c>
      <c r="O174" s="28" t="n">
        <f aca="false">VLOOKUP(A174,'SYS Allocations'!A:G,4,0)</f>
        <v>0</v>
      </c>
      <c r="P174" s="28" t="n">
        <f aca="false">VLOOKUP(A174,'SYS Allocations'!A:G,5,0)</f>
        <v>0</v>
      </c>
      <c r="Q174" s="28" t="n">
        <f aca="false">VLOOKUP(A174,'SYS Allocations'!A:G,6,0)</f>
        <v>0</v>
      </c>
      <c r="R174" s="29" t="n">
        <f aca="false">VLOOKUP(A174,'SYS Allocations'!A:G,7,0)</f>
        <v>0</v>
      </c>
      <c r="S174" s="30"/>
    </row>
    <row r="175" customFormat="false" ht="13.15" hidden="true" customHeight="false" outlineLevel="0" collapsed="false">
      <c r="A175" s="34" t="s">
        <v>191</v>
      </c>
      <c r="B175" s="21" t="str">
        <f aca="false">VLOOKUP(A175,All!A:AM,2,0)</f>
        <v>WALES</v>
      </c>
      <c r="C175" s="22" t="n">
        <f aca="false">VLOOKUP(A175,All!A:AM,11,0)</f>
        <v>45625</v>
      </c>
      <c r="D175" s="35"/>
      <c r="E175" s="24" t="n">
        <f aca="false">VLOOKUP(A175,All!A:AM,30,0)</f>
        <v>47.9166666666667</v>
      </c>
      <c r="F175" s="24" t="n">
        <f aca="false">VLOOKUP(A175,All!A:AM,28,0)</f>
        <v>12.535</v>
      </c>
      <c r="G175" s="24" t="n">
        <f aca="false">VLOOKUP(A175,All!A:AM,31,0)</f>
        <v>34.0369393139842</v>
      </c>
      <c r="H175" s="24" t="n">
        <f aca="false">VLOOKUP(A175,All!A:AM,29,0)</f>
        <v>7.0305</v>
      </c>
      <c r="I175" s="25" t="n">
        <f aca="false">VLOOKUP(A175,All!A:AM,33,0)</f>
        <v>27.495742869306</v>
      </c>
      <c r="J175" s="25" t="n">
        <f aca="false">VLOOKUP(A175,All!A:AM,32,0)</f>
        <v>5.16699999999998</v>
      </c>
      <c r="K175" s="26" t="n">
        <f aca="false">VLOOKUP(A175,All!A:AM,39,0)</f>
        <v>39.4444444444444</v>
      </c>
      <c r="L175" s="26" t="n">
        <f aca="false">VLOOKUP(A175,All!A:AM,38,0)</f>
        <v>17.75</v>
      </c>
      <c r="M175" s="28" t="n">
        <f aca="false">VLOOKUP(A175,'SYS Allocations'!A:G,2,0)</f>
        <v>0</v>
      </c>
      <c r="N175" s="28" t="n">
        <f aca="false">VLOOKUP(A175,'SYS Allocations'!A:G,3,0)</f>
        <v>0</v>
      </c>
      <c r="O175" s="28" t="n">
        <f aca="false">VLOOKUP(A175,'SYS Allocations'!A:G,4,0)</f>
        <v>0</v>
      </c>
      <c r="P175" s="28" t="n">
        <f aca="false">VLOOKUP(A175,'SYS Allocations'!A:G,5,0)</f>
        <v>0</v>
      </c>
      <c r="Q175" s="28" t="n">
        <f aca="false">VLOOKUP(A175,'SYS Allocations'!A:G,6,0)</f>
        <v>0</v>
      </c>
      <c r="R175" s="29" t="n">
        <f aca="false">VLOOKUP(A175,'SYS Allocations'!A:G,7,0)</f>
        <v>2</v>
      </c>
      <c r="S175" s="30"/>
    </row>
    <row r="176" customFormat="false" ht="13.15" hidden="true" customHeight="false" outlineLevel="0" collapsed="false">
      <c r="A176" s="34" t="s">
        <v>192</v>
      </c>
      <c r="B176" s="21" t="str">
        <f aca="false">VLOOKUP(A176,All!A:AM,2,0)</f>
        <v>WALES</v>
      </c>
      <c r="C176" s="22" t="n">
        <f aca="false">VLOOKUP(A176,All!A:AM,11,0)</f>
        <v>45625</v>
      </c>
      <c r="D176" s="35"/>
      <c r="E176" s="24" t="n">
        <f aca="false">VLOOKUP(A176,All!A:AM,30,0)</f>
        <v>30.5555555555556</v>
      </c>
      <c r="F176" s="24" t="n">
        <f aca="false">VLOOKUP(A176,All!A:AM,28,0)</f>
        <v>5.995</v>
      </c>
      <c r="G176" s="24" t="n">
        <f aca="false">VLOOKUP(A176,All!A:AM,31,0)</f>
        <v>-9.1703056768559</v>
      </c>
      <c r="H176" s="24" t="n">
        <f aca="false">VLOOKUP(A176,All!A:AM,29,0)</f>
        <v>-1.1445</v>
      </c>
      <c r="I176" s="25" t="n">
        <f aca="false">VLOOKUP(A176,All!A:AM,33,0)</f>
        <v>27.495742869306</v>
      </c>
      <c r="J176" s="25" t="n">
        <f aca="false">VLOOKUP(A176,All!A:AM,32,0)</f>
        <v>5.16699999999998</v>
      </c>
      <c r="K176" s="26"/>
      <c r="L176" s="26"/>
      <c r="M176" s="28" t="n">
        <f aca="false">VLOOKUP(A176,'SYS Allocations'!A:G,2,0)</f>
        <v>0</v>
      </c>
      <c r="N176" s="28" t="n">
        <f aca="false">VLOOKUP(A176,'SYS Allocations'!A:G,3,0)</f>
        <v>0</v>
      </c>
      <c r="O176" s="28" t="n">
        <f aca="false">VLOOKUP(A176,'SYS Allocations'!A:G,4,0)</f>
        <v>0</v>
      </c>
      <c r="P176" s="28" t="n">
        <f aca="false">VLOOKUP(A176,'SYS Allocations'!A:G,5,0)</f>
        <v>0</v>
      </c>
      <c r="Q176" s="28" t="n">
        <f aca="false">VLOOKUP(A176,'SYS Allocations'!A:G,6,0)</f>
        <v>0</v>
      </c>
      <c r="R176" s="29" t="n">
        <f aca="false">VLOOKUP(A176,'SYS Allocations'!A:G,7,0)</f>
        <v>0</v>
      </c>
      <c r="S176" s="30"/>
    </row>
    <row r="177" customFormat="false" ht="13.15" hidden="true" customHeight="false" outlineLevel="0" collapsed="false">
      <c r="A177" s="41" t="s">
        <v>193</v>
      </c>
      <c r="B177" s="21" t="str">
        <f aca="false">VLOOKUP(A177,All!A:AM,2,0)</f>
        <v>SOUTH WEST</v>
      </c>
      <c r="C177" s="22" t="n">
        <f aca="false">VLOOKUP(A177,All!A:AM,11,0)</f>
        <v>45659</v>
      </c>
      <c r="D177" s="23"/>
      <c r="E177" s="24" t="n">
        <f aca="false">VLOOKUP(A177,All!A:AM,30,0)</f>
        <v>86.5014311735623</v>
      </c>
      <c r="F177" s="24" t="n">
        <f aca="false">VLOOKUP(A177,All!A:AM,28,0)</f>
        <v>28.98746</v>
      </c>
      <c r="G177" s="24" t="n">
        <f aca="false">VLOOKUP(A177,All!A:AM,31,0)</f>
        <v>83.2863471606927</v>
      </c>
      <c r="H177" s="24" t="n">
        <f aca="false">VLOOKUP(A177,All!A:AM,29,0)</f>
        <v>22.5412</v>
      </c>
      <c r="I177" s="25" t="n">
        <f aca="false">VLOOKUP(A177,All!A:AM,33,0)</f>
        <v>80.3175473405737</v>
      </c>
      <c r="J177" s="25" t="n">
        <f aca="false">VLOOKUP(A177,All!A:AM,32,0)</f>
        <v>18.4589</v>
      </c>
      <c r="K177" s="26" t="n">
        <f aca="false">VLOOKUP(A177,All!A:AM,39,0)</f>
        <v>82.6717948717949</v>
      </c>
      <c r="L177" s="26" t="n">
        <f aca="false">VLOOKUP(A177,All!A:AM,38,0)</f>
        <v>32.242</v>
      </c>
      <c r="M177" s="28" t="n">
        <f aca="false">VLOOKUP(A177,'SYS Allocations'!A:G,2,0)</f>
        <v>0</v>
      </c>
      <c r="N177" s="28" t="str">
        <f aca="false">VLOOKUP(A177,'SYS Allocations'!A:G,3,0)</f>
        <v>RA</v>
      </c>
      <c r="O177" s="28" t="n">
        <f aca="false">VLOOKUP(A177,'SYS Allocations'!A:G,4,0)</f>
        <v>0</v>
      </c>
      <c r="P177" s="28" t="str">
        <f aca="false">VLOOKUP(A177,'SYS Allocations'!A:G,5,0)</f>
        <v>AM</v>
      </c>
      <c r="Q177" s="28" t="n">
        <f aca="false">VLOOKUP(A177,'SYS Allocations'!A:G,6,0)</f>
        <v>0</v>
      </c>
      <c r="R177" s="29" t="n">
        <f aca="false">VLOOKUP(A177,'SYS Allocations'!A:G,7,0)</f>
        <v>6.7</v>
      </c>
      <c r="S177" s="30"/>
    </row>
    <row r="178" customFormat="false" ht="13.15" hidden="true" customHeight="false" outlineLevel="0" collapsed="false">
      <c r="A178" s="41" t="s">
        <v>194</v>
      </c>
      <c r="B178" s="21" t="str">
        <f aca="false">VLOOKUP(A178,All!A:AM,2,0)</f>
        <v>SOUTH WEST</v>
      </c>
      <c r="C178" s="22" t="n">
        <f aca="false">VLOOKUP(A178,All!A:AM,11,0)</f>
        <v>45659</v>
      </c>
      <c r="D178" s="35"/>
      <c r="E178" s="24" t="n">
        <f aca="false">VLOOKUP(A178,All!A:AM,30,0)</f>
        <v>93.3320322664585</v>
      </c>
      <c r="F178" s="24" t="n">
        <f aca="false">VLOOKUP(A178,All!A:AM,28,0)</f>
        <v>31.27646</v>
      </c>
      <c r="G178" s="24" t="n">
        <f aca="false">VLOOKUP(A178,All!A:AM,31,0)</f>
        <v>91.7438582360049</v>
      </c>
      <c r="H178" s="24" t="n">
        <f aca="false">VLOOKUP(A178,All!A:AM,29,0)</f>
        <v>24.8302</v>
      </c>
      <c r="I178" s="25" t="n">
        <f aca="false">VLOOKUP(A178,All!A:AM,33,0)</f>
        <v>90.2773426622111</v>
      </c>
      <c r="J178" s="25" t="n">
        <f aca="false">VLOOKUP(A178,All!A:AM,32,0)</f>
        <v>20.7479</v>
      </c>
      <c r="K178" s="26" t="n">
        <f aca="false">VLOOKUP(A178,All!A:AM,39,0)</f>
        <v>0</v>
      </c>
      <c r="L178" s="26" t="n">
        <f aca="false">VLOOKUP(A178,All!A:AM,38,0)</f>
        <v>0</v>
      </c>
      <c r="M178" s="28" t="n">
        <f aca="false">VLOOKUP(A178,'SYS Allocations'!A:G,2,0)</f>
        <v>0</v>
      </c>
      <c r="N178" s="28" t="n">
        <f aca="false">VLOOKUP(A178,'SYS Allocations'!A:G,3,0)</f>
        <v>0</v>
      </c>
      <c r="O178" s="28" t="n">
        <f aca="false">VLOOKUP(A178,'SYS Allocations'!A:G,4,0)</f>
        <v>0</v>
      </c>
      <c r="P178" s="28" t="n">
        <f aca="false">VLOOKUP(A178,'SYS Allocations'!A:G,5,0)</f>
        <v>0</v>
      </c>
      <c r="Q178" s="28" t="n">
        <f aca="false">VLOOKUP(A178,'SYS Allocations'!A:G,6,0)</f>
        <v>0</v>
      </c>
      <c r="R178" s="29" t="n">
        <f aca="false">VLOOKUP(A178,'SYS Allocations'!A:G,7,0)</f>
        <v>7.6</v>
      </c>
      <c r="S178" s="30"/>
    </row>
    <row r="179" customFormat="false" ht="13.15" hidden="true" customHeight="false" outlineLevel="0" collapsed="false">
      <c r="A179" s="33" t="s">
        <v>195</v>
      </c>
      <c r="B179" s="21" t="str">
        <f aca="false">VLOOKUP(A179,All!A:AM,2,0)</f>
        <v>SOUTH WEST</v>
      </c>
      <c r="C179" s="22" t="n">
        <f aca="false">VLOOKUP(A179,All!A:AM,11,0)</f>
        <v>45062</v>
      </c>
      <c r="D179" s="35"/>
      <c r="E179" s="24" t="n">
        <f aca="false">VLOOKUP(A179,All!A:AM,30,0)</f>
        <v>70.2380952380952</v>
      </c>
      <c r="F179" s="24" t="n">
        <f aca="false">VLOOKUP(A179,All!A:AM,28,0)</f>
        <v>16.0775</v>
      </c>
      <c r="G179" s="24" t="n">
        <f aca="false">VLOOKUP(A179,All!A:AM,31,0)</f>
        <v>39.0243902439024</v>
      </c>
      <c r="H179" s="24" t="n">
        <f aca="false">VLOOKUP(A179,All!A:AM,29,0)</f>
        <v>4.36</v>
      </c>
      <c r="I179" s="25" t="n">
        <f aca="false">VLOOKUP(A179,All!A:AM,33,0)</f>
        <v>75.776227456335</v>
      </c>
      <c r="J179" s="25" t="n">
        <f aca="false">VLOOKUP(A179,All!A:AM,32,0)</f>
        <v>21.3107</v>
      </c>
      <c r="K179" s="26" t="n">
        <f aca="false">VLOOKUP(A179,All!A:AM,39,0)</f>
        <v>80.0752688172043</v>
      </c>
      <c r="L179" s="26" t="n">
        <f aca="false">VLOOKUP(A179,All!A:AM,38,0)</f>
        <v>93.0875</v>
      </c>
      <c r="M179" s="28" t="n">
        <f aca="false">VLOOKUP(A179,'SYS Allocations'!A:G,2,0)</f>
        <v>0</v>
      </c>
      <c r="N179" s="28" t="n">
        <f aca="false">VLOOKUP(A179,'SYS Allocations'!A:G,3,0)</f>
        <v>0</v>
      </c>
      <c r="O179" s="28" t="n">
        <f aca="false">VLOOKUP(A179,'SYS Allocations'!A:G,4,0)</f>
        <v>0</v>
      </c>
      <c r="P179" s="28" t="n">
        <f aca="false">VLOOKUP(A179,'SYS Allocations'!A:G,5,0)</f>
        <v>0</v>
      </c>
      <c r="Q179" s="28" t="n">
        <f aca="false">VLOOKUP(A179,'SYS Allocations'!A:G,6,0)</f>
        <v>0</v>
      </c>
      <c r="R179" s="29" t="n">
        <f aca="false">VLOOKUP(A179,'SYS Allocations'!A:G,7,0)</f>
        <v>1</v>
      </c>
      <c r="S179" s="30"/>
    </row>
    <row r="180" customFormat="false" ht="13.15" hidden="true" customHeight="false" outlineLevel="0" collapsed="false">
      <c r="A180" s="33" t="s">
        <v>196</v>
      </c>
      <c r="B180" s="21" t="str">
        <f aca="false">VLOOKUP(A180,All!A:AM,2,0)</f>
        <v>SOUTH WEST</v>
      </c>
      <c r="C180" s="22" t="n">
        <f aca="false">VLOOKUP(A180,All!A:AM,11,0)</f>
        <v>45062</v>
      </c>
      <c r="D180" s="35"/>
      <c r="E180" s="24" t="n">
        <f aca="false">VLOOKUP(A180,All!A:AM,30,0)</f>
        <v>86.6666666666667</v>
      </c>
      <c r="F180" s="24" t="n">
        <f aca="false">VLOOKUP(A180,All!A:AM,28,0)</f>
        <v>28.34</v>
      </c>
      <c r="G180" s="24" t="n">
        <f aca="false">VLOOKUP(A180,All!A:AM,31,0)</f>
        <v>77.1428571428571</v>
      </c>
      <c r="H180" s="24" t="n">
        <f aca="false">VLOOKUP(A180,All!A:AM,29,0)</f>
        <v>14.715</v>
      </c>
      <c r="I180" s="25" t="n">
        <f aca="false">VLOOKUP(A180,All!A:AM,33,0)</f>
        <v>87.7368255254039</v>
      </c>
      <c r="J180" s="25" t="n">
        <f aca="false">VLOOKUP(A180,All!A:AM,32,0)</f>
        <v>31.1936</v>
      </c>
      <c r="K180" s="26"/>
      <c r="L180" s="26"/>
      <c r="M180" s="28" t="n">
        <f aca="false">VLOOKUP(A180,'SYS Allocations'!A:G,2,0)</f>
        <v>0</v>
      </c>
      <c r="N180" s="28" t="n">
        <f aca="false">VLOOKUP(A180,'SYS Allocations'!A:G,3,0)</f>
        <v>0</v>
      </c>
      <c r="O180" s="28" t="n">
        <f aca="false">VLOOKUP(A180,'SYS Allocations'!A:G,4,0)</f>
        <v>0</v>
      </c>
      <c r="P180" s="28" t="n">
        <f aca="false">VLOOKUP(A180,'SYS Allocations'!A:G,5,0)</f>
        <v>0</v>
      </c>
      <c r="Q180" s="28" t="n">
        <f aca="false">VLOOKUP(A180,'SYS Allocations'!A:G,6,0)</f>
        <v>0</v>
      </c>
      <c r="R180" s="29" t="n">
        <f aca="false">VLOOKUP(A180,'SYS Allocations'!A:G,7,0)</f>
        <v>1</v>
      </c>
      <c r="S180" s="30"/>
    </row>
    <row r="181" customFormat="false" ht="13.15" hidden="true" customHeight="false" outlineLevel="0" collapsed="false">
      <c r="A181" s="32" t="s">
        <v>197</v>
      </c>
      <c r="B181" s="21" t="str">
        <f aca="false">VLOOKUP(A181,All!A:AM,2,0)</f>
        <v>SOUTH WEST</v>
      </c>
      <c r="C181" s="22" t="n">
        <f aca="false">VLOOKUP(A181,All!A:AM,11,0)</f>
        <v>45062</v>
      </c>
      <c r="D181" s="35"/>
      <c r="E181" s="24" t="n">
        <f aca="false">VLOOKUP(A181,All!A:AM,30,0)</f>
        <v>71.4285714285714</v>
      </c>
      <c r="F181" s="24" t="n">
        <f aca="false">VLOOKUP(A181,All!A:AM,28,0)</f>
        <v>16.35</v>
      </c>
      <c r="G181" s="24" t="n">
        <f aca="false">VLOOKUP(A181,All!A:AM,31,0)</f>
        <v>41.4634146341463</v>
      </c>
      <c r="H181" s="24" t="n">
        <f aca="false">VLOOKUP(A181,All!A:AM,29,0)</f>
        <v>4.6325</v>
      </c>
      <c r="I181" s="25" t="n">
        <f aca="false">VLOOKUP(A181,All!A:AM,33,0)</f>
        <v>76.7451783580816</v>
      </c>
      <c r="J181" s="25" t="n">
        <f aca="false">VLOOKUP(A181,All!A:AM,32,0)</f>
        <v>21.5832</v>
      </c>
      <c r="K181" s="26"/>
      <c r="L181" s="26"/>
      <c r="M181" s="28" t="n">
        <f aca="false">VLOOKUP(A181,'SYS Allocations'!A:G,2,0)</f>
        <v>0</v>
      </c>
      <c r="N181" s="28" t="n">
        <f aca="false">VLOOKUP(A181,'SYS Allocations'!A:G,3,0)</f>
        <v>0</v>
      </c>
      <c r="O181" s="28" t="n">
        <f aca="false">VLOOKUP(A181,'SYS Allocations'!A:G,4,0)</f>
        <v>0</v>
      </c>
      <c r="P181" s="28" t="n">
        <f aca="false">VLOOKUP(A181,'SYS Allocations'!A:G,5,0)</f>
        <v>0</v>
      </c>
      <c r="Q181" s="28" t="n">
        <f aca="false">VLOOKUP(A181,'SYS Allocations'!A:G,6,0)</f>
        <v>0</v>
      </c>
      <c r="R181" s="29" t="n">
        <f aca="false">VLOOKUP(A181,'SYS Allocations'!A:G,7,0)</f>
        <v>1</v>
      </c>
      <c r="S181" s="30"/>
    </row>
    <row r="182" customFormat="false" ht="13.15" hidden="true" customHeight="false" outlineLevel="0" collapsed="false">
      <c r="A182" s="32" t="s">
        <v>198</v>
      </c>
      <c r="B182" s="21" t="str">
        <f aca="false">VLOOKUP(A182,All!A:AM,2,0)</f>
        <v>SOUTH WEST</v>
      </c>
      <c r="C182" s="22" t="n">
        <f aca="false">VLOOKUP(A182,All!A:AM,11,0)</f>
        <v>45062</v>
      </c>
      <c r="D182" s="35"/>
      <c r="E182" s="24" t="n">
        <f aca="false">VLOOKUP(A182,All!A:AM,30,0)</f>
        <v>81.4814814814815</v>
      </c>
      <c r="F182" s="24" t="n">
        <f aca="false">VLOOKUP(A182,All!A:AM,28,0)</f>
        <v>23.98</v>
      </c>
      <c r="G182" s="24" t="n">
        <f aca="false">VLOOKUP(A182,All!A:AM,31,0)</f>
        <v>63.6363636363636</v>
      </c>
      <c r="H182" s="24" t="n">
        <f aca="false">VLOOKUP(A182,All!A:AM,29,0)</f>
        <v>9.5375</v>
      </c>
      <c r="I182" s="25" t="n">
        <f aca="false">VLOOKUP(A182,All!A:AM,33,0)</f>
        <v>84.6710319067549</v>
      </c>
      <c r="J182" s="25" t="n">
        <f aca="false">VLOOKUP(A182,All!A:AM,32,0)</f>
        <v>30.1036</v>
      </c>
      <c r="K182" s="26"/>
      <c r="L182" s="26"/>
      <c r="M182" s="28" t="n">
        <f aca="false">VLOOKUP(A182,'SYS Allocations'!A:G,2,0)</f>
        <v>0</v>
      </c>
      <c r="N182" s="28" t="n">
        <f aca="false">VLOOKUP(A182,'SYS Allocations'!A:G,3,0)</f>
        <v>0</v>
      </c>
      <c r="O182" s="28" t="n">
        <f aca="false">VLOOKUP(A182,'SYS Allocations'!A:G,4,0)</f>
        <v>0</v>
      </c>
      <c r="P182" s="28" t="n">
        <f aca="false">VLOOKUP(A182,'SYS Allocations'!A:G,5,0)</f>
        <v>0</v>
      </c>
      <c r="Q182" s="28" t="n">
        <f aca="false">VLOOKUP(A182,'SYS Allocations'!A:G,6,0)</f>
        <v>0</v>
      </c>
      <c r="R182" s="29" t="n">
        <f aca="false">VLOOKUP(A182,'SYS Allocations'!A:G,7,0)</f>
        <v>1</v>
      </c>
      <c r="S182" s="30"/>
    </row>
    <row r="183" customFormat="false" ht="13.15" hidden="true" customHeight="false" outlineLevel="0" collapsed="false">
      <c r="A183" s="33" t="s">
        <v>199</v>
      </c>
      <c r="B183" s="21" t="str">
        <f aca="false">VLOOKUP(A183,All!A:AM,2,0)</f>
        <v>SOUTH WEST</v>
      </c>
      <c r="C183" s="22" t="n">
        <f aca="false">VLOOKUP(A183,All!A:AM,11,0)</f>
        <v>45659</v>
      </c>
      <c r="D183" s="23"/>
      <c r="E183" s="24" t="n">
        <f aca="false">VLOOKUP(A183,All!A:AM,30,0)</f>
        <v>85.9854908611268</v>
      </c>
      <c r="F183" s="24" t="n">
        <f aca="false">VLOOKUP(A183,All!A:AM,28,0)</f>
        <v>39.79154</v>
      </c>
      <c r="G183" s="24" t="n">
        <f aca="false">VLOOKUP(A183,All!A:AM,31,0)</f>
        <v>84.3708957184135</v>
      </c>
      <c r="H183" s="24" t="n">
        <f aca="false">VLOOKUP(A183,All!A:AM,29,0)</f>
        <v>35.0108</v>
      </c>
      <c r="I183" s="25" t="n">
        <f aca="false">VLOOKUP(A183,All!A:AM,33,0)</f>
        <v>75.6681823638874</v>
      </c>
      <c r="J183" s="25" t="n">
        <f aca="false">VLOOKUP(A183,All!A:AM,32,0)</f>
        <v>20.1689</v>
      </c>
      <c r="K183" s="26" t="n">
        <f aca="false">VLOOKUP(A183,All!A:AM,39,0)</f>
        <v>93.5031304783371</v>
      </c>
      <c r="L183" s="26" t="n">
        <f aca="false">VLOOKUP(A183,All!A:AM,38,0)</f>
        <v>93.3395</v>
      </c>
      <c r="M183" s="28" t="n">
        <f aca="false">VLOOKUP(A183,'SYS Allocations'!A:G,2,0)</f>
        <v>0</v>
      </c>
      <c r="N183" s="28" t="str">
        <f aca="false">VLOOKUP(A183,'SYS Allocations'!A:G,3,0)</f>
        <v>RA</v>
      </c>
      <c r="O183" s="28" t="n">
        <f aca="false">VLOOKUP(A183,'SYS Allocations'!A:G,4,0)</f>
        <v>0</v>
      </c>
      <c r="P183" s="28" t="str">
        <f aca="false">VLOOKUP(A183,'SYS Allocations'!A:G,5,0)</f>
        <v>AM</v>
      </c>
      <c r="Q183" s="28" t="n">
        <f aca="false">VLOOKUP(A183,'SYS Allocations'!A:G,6,0)</f>
        <v>0</v>
      </c>
      <c r="R183" s="29" t="n">
        <f aca="false">VLOOKUP(A183,'SYS Allocations'!A:G,7,0)</f>
        <v>10.3</v>
      </c>
      <c r="S183" s="30"/>
    </row>
    <row r="184" customFormat="false" ht="13.15" hidden="true" customHeight="false" outlineLevel="0" collapsed="false">
      <c r="A184" s="33" t="s">
        <v>200</v>
      </c>
      <c r="B184" s="21" t="str">
        <f aca="false">VLOOKUP(A184,All!A:AM,2,0)</f>
        <v>SOUTH WEST</v>
      </c>
      <c r="C184" s="22" t="n">
        <f aca="false">VLOOKUP(A184,All!A:AM,11,0)</f>
        <v>45659</v>
      </c>
      <c r="D184" s="23"/>
      <c r="E184" s="24" t="n">
        <f aca="false">VLOOKUP(A184,All!A:AM,30,0)</f>
        <v>83.6301111739212</v>
      </c>
      <c r="F184" s="24" t="n">
        <f aca="false">VLOOKUP(A184,All!A:AM,28,0)</f>
        <v>38.70154</v>
      </c>
      <c r="G184" s="24" t="n">
        <f aca="false">VLOOKUP(A184,All!A:AM,31,0)</f>
        <v>81.7441555030208</v>
      </c>
      <c r="H184" s="24" t="n">
        <f aca="false">VLOOKUP(A184,All!A:AM,29,0)</f>
        <v>33.9208</v>
      </c>
      <c r="I184" s="25" t="n">
        <f aca="false">VLOOKUP(A184,All!A:AM,33,0)</f>
        <v>71.5788012485744</v>
      </c>
      <c r="J184" s="25" t="n">
        <f aca="false">VLOOKUP(A184,All!A:AM,32,0)</f>
        <v>19.0789</v>
      </c>
      <c r="K184" s="26" t="n">
        <f aca="false">VLOOKUP(A184,All!A:AM,39,0)</f>
        <v>92.4112196343601</v>
      </c>
      <c r="L184" s="26" t="n">
        <f aca="false">VLOOKUP(A184,All!A:AM,38,0)</f>
        <v>92.2495</v>
      </c>
      <c r="M184" s="28" t="n">
        <f aca="false">VLOOKUP(A184,'SYS Allocations'!A:G,2,0)</f>
        <v>0</v>
      </c>
      <c r="N184" s="28" t="n">
        <f aca="false">VLOOKUP(A184,'SYS Allocations'!A:G,3,0)</f>
        <v>0</v>
      </c>
      <c r="O184" s="28" t="n">
        <f aca="false">VLOOKUP(A184,'SYS Allocations'!A:G,4,0)</f>
        <v>0</v>
      </c>
      <c r="P184" s="28" t="n">
        <f aca="false">VLOOKUP(A184,'SYS Allocations'!A:G,5,0)</f>
        <v>0</v>
      </c>
      <c r="Q184" s="28" t="n">
        <f aca="false">VLOOKUP(A184,'SYS Allocations'!A:G,6,0)</f>
        <v>0</v>
      </c>
      <c r="R184" s="29" t="n">
        <f aca="false">VLOOKUP(A184,'SYS Allocations'!A:G,7,0)</f>
        <v>12.5</v>
      </c>
      <c r="S184" s="30"/>
    </row>
    <row r="185" customFormat="false" ht="13.15" hidden="true" customHeight="false" outlineLevel="0" collapsed="false">
      <c r="A185" s="1" t="s">
        <v>201</v>
      </c>
      <c r="B185" s="21" t="str">
        <f aca="false">VLOOKUP(A185,All!A:AM,2,0)</f>
        <v>NORTH WEST</v>
      </c>
      <c r="C185" s="22" t="n">
        <f aca="false">VLOOKUP(A185,All!A:AM,11,0)</f>
        <v>45434</v>
      </c>
      <c r="D185" s="23"/>
      <c r="E185" s="24" t="n">
        <f aca="false">VLOOKUP(A185,All!A:AM,30,0)</f>
        <v>92.125</v>
      </c>
      <c r="F185" s="24" t="n">
        <f aca="false">VLOOKUP(A185,All!A:AM,28,0)</f>
        <v>4.01665</v>
      </c>
      <c r="G185" s="24" t="n">
        <f aca="false">VLOOKUP(A185,All!A:AM,31,0)</f>
        <v>17.1052631578947</v>
      </c>
      <c r="H185" s="24" t="n">
        <f aca="false">VLOOKUP(A185,All!A:AM,29,0)</f>
        <v>0.07085</v>
      </c>
      <c r="I185" s="25" t="n">
        <f aca="false">VLOOKUP(A185,All!A:AM,33,0)</f>
        <v>95.7038288288288</v>
      </c>
      <c r="J185" s="25" t="n">
        <f aca="false">VLOOKUP(A185,All!A:AM,32,0)</f>
        <v>7.64864999999998</v>
      </c>
      <c r="K185" s="26" t="n">
        <f aca="false">VLOOKUP(A185,All!A:AM,39,0)</f>
        <v>96.185</v>
      </c>
      <c r="L185" s="26" t="n">
        <f aca="false">VLOOKUP(A185,All!A:AM,38,0)</f>
        <v>8.65665</v>
      </c>
      <c r="M185" s="28" t="n">
        <f aca="false">VLOOKUP(A185,'SYS Allocations'!A:G,2,0)</f>
        <v>0</v>
      </c>
      <c r="N185" s="28" t="n">
        <f aca="false">VLOOKUP(A185,'SYS Allocations'!A:G,3,0)</f>
        <v>0</v>
      </c>
      <c r="O185" s="28" t="n">
        <f aca="false">VLOOKUP(A185,'SYS Allocations'!A:G,4,0)</f>
        <v>0</v>
      </c>
      <c r="P185" s="28" t="n">
        <f aca="false">VLOOKUP(A185,'SYS Allocations'!A:G,5,0)</f>
        <v>0</v>
      </c>
      <c r="Q185" s="28" t="n">
        <f aca="false">VLOOKUP(A185,'SYS Allocations'!A:G,6,0)</f>
        <v>0</v>
      </c>
      <c r="R185" s="29" t="n">
        <f aca="false">VLOOKUP(A185,'SYS Allocations'!A:G,7,0)</f>
        <v>0</v>
      </c>
      <c r="S185" s="30"/>
    </row>
    <row r="186" customFormat="false" ht="13.15" hidden="true" customHeight="false" outlineLevel="0" collapsed="false">
      <c r="A186" s="33" t="s">
        <v>202</v>
      </c>
      <c r="B186" s="21" t="str">
        <f aca="false">VLOOKUP(A186,All!A:AM,2,0)</f>
        <v>SOUTH WEST</v>
      </c>
      <c r="C186" s="22" t="n">
        <f aca="false">VLOOKUP(A186,All!A:AM,11,0)</f>
        <v>45659</v>
      </c>
      <c r="D186" s="23"/>
      <c r="E186" s="24" t="n">
        <f aca="false">VLOOKUP(A186,All!A:AM,30,0)</f>
        <v>70.0334919795523</v>
      </c>
      <c r="F186" s="24" t="n">
        <f aca="false">VLOOKUP(A186,All!A:AM,28,0)</f>
        <v>34.64456</v>
      </c>
      <c r="G186" s="24" t="n">
        <f aca="false">VLOOKUP(A186,All!A:AM,31,0)</f>
        <v>62.9730465559488</v>
      </c>
      <c r="H186" s="24" t="n">
        <f aca="false">VLOOKUP(A186,All!A:AM,29,0)</f>
        <v>25.2117</v>
      </c>
      <c r="I186" s="25" t="n">
        <f aca="false">VLOOKUP(A186,All!A:AM,33,0)</f>
        <v>58.3052067863733</v>
      </c>
      <c r="J186" s="25" t="n">
        <f aca="false">VLOOKUP(A186,All!A:AM,32,0)</f>
        <v>20.7296</v>
      </c>
      <c r="K186" s="26" t="n">
        <f aca="false">VLOOKUP(A186,All!A:AM,39,0)</f>
        <v>74.2437037037037</v>
      </c>
      <c r="L186" s="26" t="n">
        <f aca="false">VLOOKUP(A186,All!A:AM,38,0)</f>
        <v>50.1145</v>
      </c>
      <c r="M186" s="28" t="n">
        <f aca="false">VLOOKUP(A186,'SYS Allocations'!A:G,2,0)</f>
        <v>0</v>
      </c>
      <c r="N186" s="28" t="str">
        <f aca="false">VLOOKUP(A186,'SYS Allocations'!A:G,3,0)</f>
        <v>RA</v>
      </c>
      <c r="O186" s="28" t="n">
        <f aca="false">VLOOKUP(A186,'SYS Allocations'!A:G,4,0)</f>
        <v>0</v>
      </c>
      <c r="P186" s="28" t="str">
        <f aca="false">VLOOKUP(A186,'SYS Allocations'!A:G,5,0)</f>
        <v>AM</v>
      </c>
      <c r="Q186" s="28" t="n">
        <f aca="false">VLOOKUP(A186,'SYS Allocations'!A:G,6,0)</f>
        <v>0</v>
      </c>
      <c r="R186" s="29" t="n">
        <f aca="false">VLOOKUP(A186,'SYS Allocations'!A:G,7,0)</f>
        <v>7.15</v>
      </c>
      <c r="S186" s="30"/>
    </row>
    <row r="187" customFormat="false" ht="13.15" hidden="true" customHeight="false" outlineLevel="0" collapsed="false">
      <c r="A187" s="33" t="s">
        <v>203</v>
      </c>
      <c r="B187" s="21" t="str">
        <f aca="false">VLOOKUP(A187,All!A:AM,2,0)</f>
        <v>SOUTH WEST</v>
      </c>
      <c r="C187" s="22" t="n">
        <f aca="false">VLOOKUP(A187,All!A:AM,11,0)</f>
        <v>45659</v>
      </c>
      <c r="D187" s="23"/>
      <c r="E187" s="24" t="n">
        <f aca="false">VLOOKUP(A187,All!A:AM,30,0)</f>
        <v>94.8219636876432</v>
      </c>
      <c r="F187" s="24" t="n">
        <f aca="false">VLOOKUP(A187,All!A:AM,28,0)</f>
        <v>46.90706</v>
      </c>
      <c r="G187" s="24" t="n">
        <f aca="false">VLOOKUP(A187,All!A:AM,31,0)</f>
        <v>93.6019602504765</v>
      </c>
      <c r="H187" s="24" t="n">
        <f aca="false">VLOOKUP(A187,All!A:AM,29,0)</f>
        <v>37.4742</v>
      </c>
      <c r="I187" s="25" t="n">
        <f aca="false">VLOOKUP(A187,All!A:AM,33,0)</f>
        <v>92.7953849961748</v>
      </c>
      <c r="J187" s="25" t="n">
        <f aca="false">VLOOKUP(A187,All!A:AM,32,0)</f>
        <v>32.9921</v>
      </c>
      <c r="K187" s="26" t="n">
        <f aca="false">VLOOKUP(A187,All!A:AM,39,0)</f>
        <v>0</v>
      </c>
      <c r="L187" s="26" t="n">
        <f aca="false">VLOOKUP(A187,All!A:AM,38,0)</f>
        <v>0</v>
      </c>
      <c r="M187" s="28" t="n">
        <f aca="false">VLOOKUP(A187,'SYS Allocations'!A:G,2,0)</f>
        <v>0</v>
      </c>
      <c r="N187" s="28" t="n">
        <f aca="false">VLOOKUP(A187,'SYS Allocations'!A:G,3,0)</f>
        <v>0</v>
      </c>
      <c r="O187" s="28" t="n">
        <f aca="false">VLOOKUP(A187,'SYS Allocations'!A:G,4,0)</f>
        <v>0</v>
      </c>
      <c r="P187" s="28" t="n">
        <f aca="false">VLOOKUP(A187,'SYS Allocations'!A:G,5,0)</f>
        <v>0</v>
      </c>
      <c r="Q187" s="28" t="n">
        <f aca="false">VLOOKUP(A187,'SYS Allocations'!A:G,6,0)</f>
        <v>0</v>
      </c>
      <c r="R187" s="29" t="n">
        <f aca="false">VLOOKUP(A187,'SYS Allocations'!A:G,7,0)</f>
        <v>7.15</v>
      </c>
      <c r="S187" s="30"/>
    </row>
    <row r="188" customFormat="false" ht="13.15" hidden="true" customHeight="false" outlineLevel="0" collapsed="false">
      <c r="A188" s="20" t="s">
        <v>204</v>
      </c>
      <c r="B188" s="21" t="str">
        <f aca="false">VLOOKUP(A188,All!A:AM,2,0)</f>
        <v>SCOTLAND</v>
      </c>
      <c r="C188" s="22" t="n">
        <f aca="false">VLOOKUP(A188,All!A:AM,11,0)</f>
        <v>45351</v>
      </c>
      <c r="D188" s="23"/>
      <c r="E188" s="24" t="n">
        <f aca="false">VLOOKUP(A188,All!A:AM,30,0)</f>
        <v>77.7777777777778</v>
      </c>
      <c r="F188" s="24" t="n">
        <f aca="false">VLOOKUP(A188,All!A:AM,28,0)</f>
        <v>3.815</v>
      </c>
      <c r="G188" s="24" t="n">
        <f aca="false">VLOOKUP(A188,All!A:AM,31,0)</f>
        <v>65.0959860383944</v>
      </c>
      <c r="H188" s="24" t="n">
        <f aca="false">VLOOKUP(A188,All!A:AM,29,0)</f>
        <v>2.03285</v>
      </c>
      <c r="I188" s="25" t="n">
        <f aca="false">VLOOKUP(A188,All!A:AM,33,0)</f>
        <v>78.6535689665977</v>
      </c>
      <c r="J188" s="25" t="n">
        <f aca="false">VLOOKUP(A188,All!A:AM,32,0)</f>
        <v>4.01624</v>
      </c>
      <c r="K188" s="26" t="n">
        <f aca="false">VLOOKUP(A188,All!A:AM,39,0)</f>
        <v>78.3084577114428</v>
      </c>
      <c r="L188" s="26" t="n">
        <f aca="false">VLOOKUP(A188,All!A:AM,38,0)</f>
        <v>3.935</v>
      </c>
      <c r="M188" s="28" t="n">
        <f aca="false">VLOOKUP(A188,'SYS Allocations'!A:G,2,0)</f>
        <v>0</v>
      </c>
      <c r="N188" s="28" t="n">
        <f aca="false">VLOOKUP(A188,'SYS Allocations'!A:G,3,0)</f>
        <v>0</v>
      </c>
      <c r="O188" s="28" t="n">
        <f aca="false">VLOOKUP(A188,'SYS Allocations'!A:G,4,0)</f>
        <v>0</v>
      </c>
      <c r="P188" s="28" t="n">
        <f aca="false">VLOOKUP(A188,'SYS Allocations'!A:G,5,0)</f>
        <v>0</v>
      </c>
      <c r="Q188" s="28" t="n">
        <f aca="false">VLOOKUP(A188,'SYS Allocations'!A:G,6,0)</f>
        <v>0</v>
      </c>
      <c r="R188" s="29" t="n">
        <f aca="false">VLOOKUP(A188,'SYS Allocations'!A:G,7,0)</f>
        <v>1</v>
      </c>
      <c r="S188" s="30"/>
    </row>
    <row r="189" customFormat="false" ht="13.15" hidden="true" customHeight="false" outlineLevel="0" collapsed="false">
      <c r="A189" s="20" t="s">
        <v>205</v>
      </c>
      <c r="B189" s="21" t="str">
        <f aca="false">VLOOKUP(A189,All!A:AM,2,0)</f>
        <v>LONDON</v>
      </c>
      <c r="C189" s="22" t="n">
        <f aca="false">VLOOKUP(A189,All!A:AM,11,0)</f>
        <v>45587</v>
      </c>
      <c r="D189" s="23"/>
      <c r="E189" s="24" t="n">
        <f aca="false">VLOOKUP(A189,All!A:AM,30,0)</f>
        <v>58.0405932864949</v>
      </c>
      <c r="F189" s="24" t="n">
        <f aca="false">VLOOKUP(A189,All!A:AM,28,0)</f>
        <v>12.96664</v>
      </c>
      <c r="G189" s="24" t="n">
        <f aca="false">VLOOKUP(A189,All!A:AM,31,0)</f>
        <v>50.48934945308</v>
      </c>
      <c r="H189" s="24" t="n">
        <f aca="false">VLOOKUP(A189,All!A:AM,29,0)</f>
        <v>9.5593</v>
      </c>
      <c r="I189" s="25" t="n">
        <f aca="false">VLOOKUP(A189,All!A:AM,33,0)</f>
        <v>78.1303425981918</v>
      </c>
      <c r="J189" s="25" t="n">
        <f aca="false">VLOOKUP(A189,All!A:AM,32,0)</f>
        <v>33.48904</v>
      </c>
      <c r="K189" s="26" t="n">
        <f aca="false">VLOOKUP(A189,All!A:AM,39,0)</f>
        <v>75.0026666666667</v>
      </c>
      <c r="L189" s="26" t="n">
        <f aca="false">VLOOKUP(A189,All!A:AM,38,0)</f>
        <v>28.126</v>
      </c>
      <c r="M189" s="28" t="n">
        <f aca="false">VLOOKUP(A189,'SYS Allocations'!A:G,2,0)</f>
        <v>0</v>
      </c>
      <c r="N189" s="28" t="n">
        <f aca="false">VLOOKUP(A189,'SYS Allocations'!A:G,3,0)</f>
        <v>0</v>
      </c>
      <c r="O189" s="28" t="n">
        <f aca="false">VLOOKUP(A189,'SYS Allocations'!A:G,4,0)</f>
        <v>0</v>
      </c>
      <c r="P189" s="28" t="n">
        <f aca="false">VLOOKUP(A189,'SYS Allocations'!A:G,5,0)</f>
        <v>0</v>
      </c>
      <c r="Q189" s="28" t="n">
        <f aca="false">VLOOKUP(A189,'SYS Allocations'!A:G,6,0)</f>
        <v>0</v>
      </c>
      <c r="R189" s="29" t="n">
        <f aca="false">VLOOKUP(A189,'SYS Allocations'!A:G,7,0)</f>
        <v>7.6</v>
      </c>
      <c r="S189" s="30"/>
    </row>
    <row r="190" customFormat="false" ht="13.15" hidden="true" customHeight="false" outlineLevel="0" collapsed="false">
      <c r="A190" s="20" t="s">
        <v>206</v>
      </c>
      <c r="B190" s="21" t="str">
        <f aca="false">VLOOKUP(A190,All!A:AM,2,0)</f>
        <v>ANGLIA</v>
      </c>
      <c r="C190" s="22" t="n">
        <f aca="false">VLOOKUP(A190,All!A:AM,11,0)</f>
        <v>45365</v>
      </c>
      <c r="D190" s="23"/>
      <c r="E190" s="24" t="n">
        <f aca="false">VLOOKUP(A190,All!A:AM,30,0)</f>
        <v>62.8415300546448</v>
      </c>
      <c r="F190" s="24" t="n">
        <f aca="false">VLOOKUP(A190,All!A:AM,28,0)</f>
        <v>25.07</v>
      </c>
      <c r="G190" s="24" t="n">
        <f aca="false">VLOOKUP(A190,All!A:AM,31,0)</f>
        <v>55.3366174055829</v>
      </c>
      <c r="H190" s="24" t="n">
        <f aca="false">VLOOKUP(A190,All!A:AM,29,0)</f>
        <v>18.3665</v>
      </c>
      <c r="I190" s="25" t="n">
        <f aca="false">VLOOKUP(A190,All!A:AM,33,0)</f>
        <v>43.2343840945992</v>
      </c>
      <c r="J190" s="25" t="n">
        <f aca="false">VLOOKUP(A190,All!A:AM,32,0)</f>
        <v>11.2904</v>
      </c>
      <c r="K190" s="26" t="n">
        <f aca="false">VLOOKUP(A190,All!A:AM,39,0)</f>
        <v>75.598353909465</v>
      </c>
      <c r="L190" s="26" t="n">
        <f aca="false">VLOOKUP(A190,All!A:AM,38,0)</f>
        <v>45.926</v>
      </c>
      <c r="M190" s="28" t="n">
        <f aca="false">VLOOKUP(A190,'SYS Allocations'!A:G,2,0)</f>
        <v>0</v>
      </c>
      <c r="N190" s="28" t="n">
        <f aca="false">VLOOKUP(A190,'SYS Allocations'!A:G,3,0)</f>
        <v>0</v>
      </c>
      <c r="O190" s="28" t="n">
        <f aca="false">VLOOKUP(A190,'SYS Allocations'!A:G,4,0)</f>
        <v>0</v>
      </c>
      <c r="P190" s="28" t="n">
        <f aca="false">VLOOKUP(A190,'SYS Allocations'!A:G,5,0)</f>
        <v>0</v>
      </c>
      <c r="Q190" s="28" t="n">
        <f aca="false">VLOOKUP(A190,'SYS Allocations'!A:G,6,0)</f>
        <v>0</v>
      </c>
      <c r="R190" s="29" t="n">
        <f aca="false">VLOOKUP(A190,'SYS Allocations'!A:G,7,0)</f>
        <v>3</v>
      </c>
      <c r="S190" s="30"/>
    </row>
    <row r="191" customFormat="false" ht="13.15" hidden="true" customHeight="false" outlineLevel="0" collapsed="false">
      <c r="A191" s="20" t="s">
        <v>207</v>
      </c>
      <c r="B191" s="21" t="str">
        <f aca="false">VLOOKUP(A191,All!A:AM,2,0)</f>
        <v>SCOTLAND</v>
      </c>
      <c r="C191" s="22" t="n">
        <f aca="false">VLOOKUP(A191,All!A:AM,11,0)</f>
        <v>45659</v>
      </c>
      <c r="D191" s="23"/>
      <c r="E191" s="24" t="n">
        <f aca="false">VLOOKUP(A191,All!A:AM,30,0)</f>
        <v>69.758064516129</v>
      </c>
      <c r="F191" s="24" t="n">
        <f aca="false">VLOOKUP(A191,All!A:AM,28,0)</f>
        <v>9.4285</v>
      </c>
      <c r="G191" s="24" t="n">
        <f aca="false">VLOOKUP(A191,All!A:AM,31,0)</f>
        <v>60.5263157894737</v>
      </c>
      <c r="H191" s="24" t="n">
        <f aca="false">VLOOKUP(A191,All!A:AM,29,0)</f>
        <v>6.2675</v>
      </c>
      <c r="I191" s="25" t="n">
        <f aca="false">VLOOKUP(A191,All!A:AM,33,0)</f>
        <v>62.0007809013832</v>
      </c>
      <c r="J191" s="25" t="n">
        <f aca="false">VLOOKUP(A191,All!A:AM,32,0)</f>
        <v>6.66929999999999</v>
      </c>
      <c r="K191" s="26" t="n">
        <f aca="false">VLOOKUP(A191,All!A:AM,39,0)</f>
        <v>63.6666666666667</v>
      </c>
      <c r="L191" s="26" t="n">
        <f aca="false">VLOOKUP(A191,All!A:AM,38,0)</f>
        <v>7.1625</v>
      </c>
      <c r="M191" s="28" t="n">
        <f aca="false">VLOOKUP(A191,'SYS Allocations'!A:G,2,0)</f>
        <v>0</v>
      </c>
      <c r="N191" s="28" t="n">
        <f aca="false">VLOOKUP(A191,'SYS Allocations'!A:G,3,0)</f>
        <v>0</v>
      </c>
      <c r="O191" s="28" t="n">
        <f aca="false">VLOOKUP(A191,'SYS Allocations'!A:G,4,0)</f>
        <v>0</v>
      </c>
      <c r="P191" s="28" t="n">
        <f aca="false">VLOOKUP(A191,'SYS Allocations'!A:G,5,0)</f>
        <v>0</v>
      </c>
      <c r="Q191" s="28" t="n">
        <f aca="false">VLOOKUP(A191,'SYS Allocations'!A:G,6,0)</f>
        <v>0</v>
      </c>
      <c r="R191" s="29" t="n">
        <f aca="false">VLOOKUP(A191,'SYS Allocations'!A:G,7,0)</f>
        <v>4</v>
      </c>
      <c r="S191" s="30"/>
    </row>
    <row r="192" customFormat="false" ht="13.15" hidden="true" customHeight="false" outlineLevel="0" collapsed="false">
      <c r="A192" s="20" t="s">
        <v>208</v>
      </c>
      <c r="B192" s="21" t="str">
        <f aca="false">VLOOKUP(A192,All!A:AM,2,0)</f>
        <v>SOUTH</v>
      </c>
      <c r="C192" s="22" t="n">
        <f aca="false">VLOOKUP(A192,All!A:AM,11,0)</f>
        <v>45341</v>
      </c>
      <c r="D192" s="23"/>
      <c r="E192" s="24" t="n">
        <f aca="false">VLOOKUP(A192,All!A:AM,30,0)</f>
        <v>59.6373571783408</v>
      </c>
      <c r="F192" s="24" t="n">
        <f aca="false">VLOOKUP(A192,All!A:AM,28,0)</f>
        <v>10.46836</v>
      </c>
      <c r="G192" s="24" t="n">
        <f aca="false">VLOOKUP(A192,All!A:AM,31,0)</f>
        <v>37.1980630819853</v>
      </c>
      <c r="H192" s="24" t="n">
        <f aca="false">VLOOKUP(A192,All!A:AM,29,0)</f>
        <v>4.1964991825</v>
      </c>
      <c r="I192" s="25" t="n">
        <f aca="false">VLOOKUP(A192,All!A:AM,33,0)</f>
        <v>60.0961971704064</v>
      </c>
      <c r="J192" s="25" t="n">
        <f aca="false">VLOOKUP(A192,All!A:AM,32,0)</f>
        <v>10.6702</v>
      </c>
      <c r="K192" s="26" t="n">
        <f aca="false">VLOOKUP(A192,All!A:AM,39,0)</f>
        <v>40.9583333333333</v>
      </c>
      <c r="L192" s="26" t="n">
        <f aca="false">VLOOKUP(A192,All!A:AM,38,0)</f>
        <v>4.915</v>
      </c>
      <c r="M192" s="28" t="n">
        <f aca="false">VLOOKUP(A192,'SYS Allocations'!A:G,2,0)</f>
        <v>0</v>
      </c>
      <c r="N192" s="28" t="n">
        <f aca="false">VLOOKUP(A192,'SYS Allocations'!A:G,3,0)</f>
        <v>0</v>
      </c>
      <c r="O192" s="28" t="n">
        <f aca="false">VLOOKUP(A192,'SYS Allocations'!A:G,4,0)</f>
        <v>0</v>
      </c>
      <c r="P192" s="28" t="n">
        <f aca="false">VLOOKUP(A192,'SYS Allocations'!A:G,5,0)</f>
        <v>0</v>
      </c>
      <c r="Q192" s="28" t="n">
        <f aca="false">VLOOKUP(A192,'SYS Allocations'!A:G,6,0)</f>
        <v>0</v>
      </c>
      <c r="R192" s="29" t="n">
        <f aca="false">VLOOKUP(A192,'SYS Allocations'!A:G,7,0)</f>
        <v>0</v>
      </c>
      <c r="S192" s="30"/>
    </row>
    <row r="193" customFormat="false" ht="13.15" hidden="true" customHeight="false" outlineLevel="0" collapsed="false">
      <c r="A193" s="20" t="s">
        <v>209</v>
      </c>
      <c r="B193" s="21" t="str">
        <f aca="false">VLOOKUP(A193,All!A:AM,2,0)</f>
        <v>SOUTH</v>
      </c>
      <c r="C193" s="22" t="n">
        <f aca="false">VLOOKUP(A193,All!A:AM,11,0)</f>
        <v>45659</v>
      </c>
      <c r="D193" s="23"/>
      <c r="E193" s="24" t="n">
        <f aca="false">VLOOKUP(A193,All!A:AM,30,0)</f>
        <v>67.9564448730312</v>
      </c>
      <c r="F193" s="24" t="n">
        <f aca="false">VLOOKUP(A193,All!A:AM,28,0)</f>
        <v>36.87034</v>
      </c>
      <c r="G193" s="24" t="n">
        <f aca="false">VLOOKUP(A193,All!A:AM,31,0)</f>
        <v>50.4965859714463</v>
      </c>
      <c r="H193" s="24" t="n">
        <f aca="false">VLOOKUP(A193,All!A:AM,29,0)</f>
        <v>17.7343</v>
      </c>
      <c r="I193" s="25" t="n">
        <f aca="false">VLOOKUP(A193,All!A:AM,33,0)</f>
        <v>67.4003945216987</v>
      </c>
      <c r="J193" s="25" t="n">
        <f aca="false">VLOOKUP(A193,All!A:AM,32,0)</f>
        <v>35.9449</v>
      </c>
      <c r="K193" s="26" t="n">
        <f aca="false">VLOOKUP(A193,All!A:AM,39,0)</f>
        <v>61.3655555555556</v>
      </c>
      <c r="L193" s="26" t="n">
        <f aca="false">VLOOKUP(A193,All!A:AM,38,0)</f>
        <v>27.6145</v>
      </c>
      <c r="M193" s="28" t="n">
        <f aca="false">VLOOKUP(A193,'SYS Allocations'!A:G,2,0)</f>
        <v>0</v>
      </c>
      <c r="N193" s="28" t="str">
        <f aca="false">VLOOKUP(A193,'SYS Allocations'!A:G,3,0)</f>
        <v>RA</v>
      </c>
      <c r="O193" s="28" t="n">
        <f aca="false">VLOOKUP(A193,'SYS Allocations'!A:G,4,0)</f>
        <v>0</v>
      </c>
      <c r="P193" s="28" t="n">
        <f aca="false">VLOOKUP(A193,'SYS Allocations'!A:G,5,0)</f>
        <v>0</v>
      </c>
      <c r="Q193" s="28" t="n">
        <f aca="false">VLOOKUP(A193,'SYS Allocations'!A:G,6,0)</f>
        <v>0</v>
      </c>
      <c r="R193" s="29" t="n">
        <f aca="false">VLOOKUP(A193,'SYS Allocations'!A:G,7,0)</f>
        <v>6.9</v>
      </c>
      <c r="S193" s="30"/>
    </row>
    <row r="194" customFormat="false" ht="13.15" hidden="true" customHeight="false" outlineLevel="0" collapsed="false">
      <c r="A194" s="33" t="s">
        <v>210</v>
      </c>
      <c r="B194" s="21" t="str">
        <f aca="false">VLOOKUP(A194,All!A:AM,2,0)</f>
        <v>MIDLANDS</v>
      </c>
      <c r="C194" s="22" t="n">
        <f aca="false">VLOOKUP(A194,All!A:AM,11,0)</f>
        <v>45429</v>
      </c>
      <c r="D194" s="35"/>
      <c r="E194" s="24" t="n">
        <f aca="false">VLOOKUP(A194,All!A:AM,30,0)</f>
        <v>83.3333333333333</v>
      </c>
      <c r="F194" s="24" t="n">
        <f aca="false">VLOOKUP(A194,All!A:AM,28,0)</f>
        <v>5.45</v>
      </c>
      <c r="G194" s="24" t="n">
        <f aca="false">VLOOKUP(A194,All!A:AM,31,0)</f>
        <v>81.8181818181818</v>
      </c>
      <c r="H194" s="24" t="n">
        <f aca="false">VLOOKUP(A194,All!A:AM,29,0)</f>
        <v>4.905</v>
      </c>
      <c r="I194" s="25" t="n">
        <f aca="false">VLOOKUP(A194,All!A:AM,33,0)</f>
        <v>69.6006247211067</v>
      </c>
      <c r="J194" s="25" t="n">
        <f aca="false">VLOOKUP(A194,All!A:AM,32,0)</f>
        <v>2.4956</v>
      </c>
      <c r="K194" s="26" t="n">
        <f aca="false">VLOOKUP(A194,All!A:AM,39,0)</f>
        <v>73.84</v>
      </c>
      <c r="L194" s="26" t="n">
        <f aca="false">VLOOKUP(A194,All!A:AM,38,0)</f>
        <v>5.538</v>
      </c>
      <c r="M194" s="28" t="n">
        <f aca="false">VLOOKUP(A194,'SYS Allocations'!A:G,2,0)</f>
        <v>0</v>
      </c>
      <c r="N194" s="28" t="n">
        <f aca="false">VLOOKUP(A194,'SYS Allocations'!A:G,3,0)</f>
        <v>0</v>
      </c>
      <c r="O194" s="28" t="n">
        <f aca="false">VLOOKUP(A194,'SYS Allocations'!A:G,4,0)</f>
        <v>0</v>
      </c>
      <c r="P194" s="28" t="n">
        <f aca="false">VLOOKUP(A194,'SYS Allocations'!A:G,5,0)</f>
        <v>0</v>
      </c>
      <c r="Q194" s="28" t="n">
        <f aca="false">VLOOKUP(A194,'SYS Allocations'!A:G,6,0)</f>
        <v>0</v>
      </c>
      <c r="R194" s="29" t="n">
        <f aca="false">VLOOKUP(A194,'SYS Allocations'!A:G,7,0)</f>
        <v>0</v>
      </c>
      <c r="S194" s="30"/>
    </row>
    <row r="195" customFormat="false" ht="13.15" hidden="true" customHeight="false" outlineLevel="0" collapsed="false">
      <c r="A195" s="33" t="s">
        <v>211</v>
      </c>
      <c r="B195" s="21" t="str">
        <f aca="false">VLOOKUP(A195,All!A:AM,2,0)</f>
        <v>MIDLANDS</v>
      </c>
      <c r="C195" s="22" t="n">
        <f aca="false">VLOOKUP(A195,All!A:AM,11,0)</f>
        <v>45429</v>
      </c>
      <c r="D195" s="35"/>
      <c r="E195" s="24" t="n">
        <f aca="false">VLOOKUP(A195,All!A:AM,30,0)</f>
        <v>86.6666666666667</v>
      </c>
      <c r="F195" s="24" t="n">
        <f aca="false">VLOOKUP(A195,All!A:AM,28,0)</f>
        <v>5.668</v>
      </c>
      <c r="G195" s="24" t="n">
        <f aca="false">VLOOKUP(A195,All!A:AM,31,0)</f>
        <v>86.4406779661017</v>
      </c>
      <c r="H195" s="24" t="n">
        <f aca="false">VLOOKUP(A195,All!A:AM,29,0)</f>
        <v>5.559</v>
      </c>
      <c r="I195" s="25" t="n">
        <f aca="false">VLOOKUP(A195,All!A:AM,33,0)</f>
        <v>77.6712553261226</v>
      </c>
      <c r="J195" s="25" t="n">
        <f aca="false">VLOOKUP(A195,All!A:AM,32,0)</f>
        <v>3.03328</v>
      </c>
      <c r="K195" s="26"/>
      <c r="L195" s="26"/>
      <c r="M195" s="28" t="n">
        <f aca="false">VLOOKUP(A195,'SYS Allocations'!A:G,2,0)</f>
        <v>0</v>
      </c>
      <c r="N195" s="28" t="n">
        <f aca="false">VLOOKUP(A195,'SYS Allocations'!A:G,3,0)</f>
        <v>0</v>
      </c>
      <c r="O195" s="28" t="n">
        <f aca="false">VLOOKUP(A195,'SYS Allocations'!A:G,4,0)</f>
        <v>0</v>
      </c>
      <c r="P195" s="28" t="n">
        <f aca="false">VLOOKUP(A195,'SYS Allocations'!A:G,5,0)</f>
        <v>0</v>
      </c>
      <c r="Q195" s="28" t="n">
        <f aca="false">VLOOKUP(A195,'SYS Allocations'!A:G,6,0)</f>
        <v>0</v>
      </c>
      <c r="R195" s="29" t="n">
        <f aca="false">VLOOKUP(A195,'SYS Allocations'!A:G,7,0)</f>
        <v>0</v>
      </c>
      <c r="S195" s="30"/>
    </row>
    <row r="196" customFormat="false" ht="13.15" hidden="true" customHeight="false" outlineLevel="0" collapsed="false">
      <c r="A196" s="20" t="s">
        <v>212</v>
      </c>
      <c r="B196" s="21" t="str">
        <f aca="false">VLOOKUP(A196,All!A:AM,2,0)</f>
        <v>SOUTH EAST</v>
      </c>
      <c r="C196" s="22" t="n">
        <f aca="false">VLOOKUP(A196,All!A:AM,11,0)</f>
        <v>45518</v>
      </c>
      <c r="D196" s="23"/>
      <c r="E196" s="24" t="n">
        <f aca="false">VLOOKUP(A196,All!A:AM,30,0)</f>
        <v>63.5183805265772</v>
      </c>
      <c r="F196" s="24" t="n">
        <f aca="false">VLOOKUP(A196,All!A:AM,28,0)</f>
        <v>22.29922</v>
      </c>
      <c r="G196" s="24" t="n">
        <f aca="false">VLOOKUP(A196,All!A:AM,31,0)</f>
        <v>42.0039486673248</v>
      </c>
      <c r="H196" s="24" t="n">
        <f aca="false">VLOOKUP(A196,All!A:AM,29,0)</f>
        <v>9.2759</v>
      </c>
      <c r="I196" s="25" t="n">
        <f aca="false">VLOOKUP(A196,All!A:AM,33,0)</f>
        <v>63.9769249808739</v>
      </c>
      <c r="J196" s="25" t="n">
        <f aca="false">VLOOKUP(A196,All!A:AM,32,0)</f>
        <v>22.7461</v>
      </c>
      <c r="K196" s="26" t="n">
        <f aca="false">VLOOKUP(A196,All!A:AM,39,0)</f>
        <v>62.0518518518519</v>
      </c>
      <c r="L196" s="26" t="n">
        <f aca="false">VLOOKUP(A196,All!A:AM,38,0)</f>
        <v>20.9425</v>
      </c>
      <c r="M196" s="28" t="n">
        <f aca="false">VLOOKUP(A196,'SYS Allocations'!A:G,2,0)</f>
        <v>0</v>
      </c>
      <c r="N196" s="28" t="str">
        <f aca="false">VLOOKUP(A196,'SYS Allocations'!A:G,3,0)</f>
        <v>RA</v>
      </c>
      <c r="O196" s="28" t="n">
        <f aca="false">VLOOKUP(A196,'SYS Allocations'!A:G,4,0)</f>
        <v>0</v>
      </c>
      <c r="P196" s="28" t="n">
        <f aca="false">VLOOKUP(A196,'SYS Allocations'!A:G,5,0)</f>
        <v>0</v>
      </c>
      <c r="Q196" s="28" t="n">
        <f aca="false">VLOOKUP(A196,'SYS Allocations'!A:G,6,0)</f>
        <v>0</v>
      </c>
      <c r="R196" s="29" t="n">
        <f aca="false">VLOOKUP(A196,'SYS Allocations'!A:G,7,0)</f>
        <v>2.7</v>
      </c>
      <c r="S196" s="30"/>
    </row>
    <row r="197" customFormat="false" ht="13.15" hidden="true" customHeight="false" outlineLevel="0" collapsed="false">
      <c r="A197" s="20" t="s">
        <v>213</v>
      </c>
      <c r="B197" s="21" t="str">
        <f aca="false">VLOOKUP(A197,All!A:AM,2,0)</f>
        <v>THAMES VALLEY</v>
      </c>
      <c r="C197" s="22" t="n">
        <f aca="false">VLOOKUP(A197,All!A:AM,11,0)</f>
        <v>45555</v>
      </c>
      <c r="D197" s="23"/>
      <c r="E197" s="24" t="n">
        <f aca="false">VLOOKUP(A197,All!A:AM,30,0)</f>
        <v>74.5265151515151</v>
      </c>
      <c r="F197" s="24" t="n">
        <f aca="false">VLOOKUP(A197,All!A:AM,28,0)</f>
        <v>42.8915</v>
      </c>
      <c r="G197" s="24" t="n">
        <f aca="false">VLOOKUP(A197,All!A:AM,31,0)</f>
        <v>62.6388888888889</v>
      </c>
      <c r="H197" s="24" t="n">
        <f aca="false">VLOOKUP(A197,All!A:AM,29,0)</f>
        <v>24.5795</v>
      </c>
      <c r="I197" s="25" t="n">
        <f aca="false">VLOOKUP(A197,All!A:AM,33,0)</f>
        <v>72.5100505527804</v>
      </c>
      <c r="J197" s="25" t="n">
        <f aca="false">VLOOKUP(A197,All!A:AM,32,0)</f>
        <v>38.6699</v>
      </c>
      <c r="K197" s="26" t="n">
        <f aca="false">VLOOKUP(A197,All!A:AM,39,0)</f>
        <v>53.4587301587302</v>
      </c>
      <c r="L197" s="26" t="n">
        <f aca="false">VLOOKUP(A197,All!A:AM,38,0)</f>
        <v>16.8395</v>
      </c>
      <c r="M197" s="28" t="n">
        <f aca="false">VLOOKUP(A197,'SYS Allocations'!A:G,2,0)</f>
        <v>0</v>
      </c>
      <c r="N197" s="28" t="n">
        <f aca="false">VLOOKUP(A197,'SYS Allocations'!A:G,3,0)</f>
        <v>0</v>
      </c>
      <c r="O197" s="28" t="n">
        <f aca="false">VLOOKUP(A197,'SYS Allocations'!A:G,4,0)</f>
        <v>0</v>
      </c>
      <c r="P197" s="28" t="str">
        <f aca="false">VLOOKUP(A197,'SYS Allocations'!A:G,5,0)</f>
        <v>AM</v>
      </c>
      <c r="Q197" s="28" t="n">
        <f aca="false">VLOOKUP(A197,'SYS Allocations'!A:G,6,0)</f>
        <v>0</v>
      </c>
      <c r="R197" s="29" t="n">
        <f aca="false">VLOOKUP(A197,'SYS Allocations'!A:G,7,0)</f>
        <v>16.2</v>
      </c>
      <c r="S197" s="30"/>
    </row>
    <row r="198" customFormat="false" ht="13.15" hidden="true" customHeight="false" outlineLevel="0" collapsed="false">
      <c r="A198" s="20" t="s">
        <v>214</v>
      </c>
      <c r="B198" s="21" t="str">
        <f aca="false">VLOOKUP(A198,All!A:AM,2,0)</f>
        <v>THAMES VALLEY</v>
      </c>
      <c r="C198" s="22" t="n">
        <f aca="false">VLOOKUP(A198,All!A:AM,11,0)</f>
        <v>45525</v>
      </c>
      <c r="D198" s="23"/>
      <c r="E198" s="24" t="n">
        <f aca="false">VLOOKUP(A198,All!A:AM,30,0)</f>
        <v>66.6666666666667</v>
      </c>
      <c r="F198" s="24" t="n">
        <f aca="false">VLOOKUP(A198,All!A:AM,28,0)</f>
        <v>23.98</v>
      </c>
      <c r="G198" s="24" t="n">
        <f aca="false">VLOOKUP(A198,All!A:AM,31,0)</f>
        <v>63.5761589403974</v>
      </c>
      <c r="H198" s="24" t="n">
        <f aca="false">VLOOKUP(A198,All!A:AM,29,0)</f>
        <v>20.928</v>
      </c>
      <c r="I198" s="25" t="n">
        <f aca="false">VLOOKUP(A198,All!A:AM,33,0)</f>
        <v>36.1962537249892</v>
      </c>
      <c r="J198" s="25" t="n">
        <f aca="false">VLOOKUP(A198,All!A:AM,32,0)</f>
        <v>6.80199999999998</v>
      </c>
      <c r="K198" s="26" t="n">
        <f aca="false">VLOOKUP(A198,All!A:AM,39,0)</f>
        <v>66.6944444444444</v>
      </c>
      <c r="L198" s="26" t="n">
        <f aca="false">VLOOKUP(A198,All!A:AM,38,0)</f>
        <v>24.01</v>
      </c>
      <c r="M198" s="28" t="n">
        <f aca="false">VLOOKUP(A198,'SYS Allocations'!A:G,2,0)</f>
        <v>0</v>
      </c>
      <c r="N198" s="28" t="n">
        <f aca="false">VLOOKUP(A198,'SYS Allocations'!A:G,3,0)</f>
        <v>0</v>
      </c>
      <c r="O198" s="28" t="n">
        <f aca="false">VLOOKUP(A198,'SYS Allocations'!A:G,4,0)</f>
        <v>0</v>
      </c>
      <c r="P198" s="28" t="n">
        <f aca="false">VLOOKUP(A198,'SYS Allocations'!A:G,5,0)</f>
        <v>0</v>
      </c>
      <c r="Q198" s="28" t="n">
        <f aca="false">VLOOKUP(A198,'SYS Allocations'!A:G,6,0)</f>
        <v>0</v>
      </c>
      <c r="R198" s="29" t="n">
        <f aca="false">VLOOKUP(A198,'SYS Allocations'!A:G,7,0)</f>
        <v>0</v>
      </c>
      <c r="S198" s="30"/>
    </row>
    <row r="199" customFormat="false" ht="13.15" hidden="true" customHeight="false" outlineLevel="0" collapsed="false">
      <c r="A199" s="20" t="s">
        <v>215</v>
      </c>
      <c r="B199" s="21" t="str">
        <f aca="false">VLOOKUP(A199,All!A:AM,2,0)</f>
        <v>LONDON</v>
      </c>
      <c r="C199" s="22" t="n">
        <f aca="false">VLOOKUP(A199,All!A:AM,11,0)</f>
        <v>45659</v>
      </c>
      <c r="D199" s="23"/>
      <c r="E199" s="24" t="n">
        <f aca="false">VLOOKUP(A199,All!A:AM,30,0)</f>
        <v>83.3504098360656</v>
      </c>
      <c r="F199" s="24" t="n">
        <f aca="false">VLOOKUP(A199,All!A:AM,28,0)</f>
        <v>10.64058</v>
      </c>
      <c r="G199" s="24" t="n">
        <f aca="false">VLOOKUP(A199,All!A:AM,31,0)</f>
        <v>77.560414269275</v>
      </c>
      <c r="H199" s="24" t="n">
        <f aca="false">VLOOKUP(A199,All!A:AM,29,0)</f>
        <v>7.3466</v>
      </c>
      <c r="I199" s="25" t="n">
        <f aca="false">VLOOKUP(A199,All!A:AM,33,0)</f>
        <v>78.9737654320986</v>
      </c>
      <c r="J199" s="25" t="n">
        <f aca="false">VLOOKUP(A199,All!A:AM,32,0)</f>
        <v>7.98329999999998</v>
      </c>
      <c r="K199" s="26" t="n">
        <f aca="false">VLOOKUP(A199,All!A:AM,39,0)</f>
        <v>81.1066666666667</v>
      </c>
      <c r="L199" s="26" t="n">
        <f aca="false">VLOOKUP(A199,All!A:AM,38,0)</f>
        <v>9.1245</v>
      </c>
      <c r="M199" s="28" t="n">
        <f aca="false">VLOOKUP(A199,'SYS Allocations'!A:G,2,0)</f>
        <v>0</v>
      </c>
      <c r="N199" s="28" t="n">
        <f aca="false">VLOOKUP(A199,'SYS Allocations'!A:G,3,0)</f>
        <v>0</v>
      </c>
      <c r="O199" s="28" t="n">
        <f aca="false">VLOOKUP(A199,'SYS Allocations'!A:G,4,0)</f>
        <v>0</v>
      </c>
      <c r="P199" s="28" t="n">
        <f aca="false">VLOOKUP(A199,'SYS Allocations'!A:G,5,0)</f>
        <v>0</v>
      </c>
      <c r="Q199" s="28" t="n">
        <f aca="false">VLOOKUP(A199,'SYS Allocations'!A:G,6,0)</f>
        <v>0</v>
      </c>
      <c r="R199" s="29" t="n">
        <f aca="false">VLOOKUP(A199,'SYS Allocations'!A:G,7,0)</f>
        <v>0</v>
      </c>
      <c r="S199" s="30"/>
    </row>
    <row r="200" customFormat="false" ht="13.15" hidden="true" customHeight="false" outlineLevel="0" collapsed="false">
      <c r="A200" s="20" t="s">
        <v>216</v>
      </c>
      <c r="B200" s="21" t="str">
        <f aca="false">VLOOKUP(A200,All!A:AM,2,0)</f>
        <v>NORTH EAST</v>
      </c>
      <c r="C200" s="22" t="n">
        <f aca="false">VLOOKUP(A200,All!A:AM,11,0)</f>
        <v>45505</v>
      </c>
      <c r="D200" s="23"/>
      <c r="E200" s="24" t="n">
        <f aca="false">VLOOKUP(A200,All!A:AM,30,0)</f>
        <v>64.2857142857143</v>
      </c>
      <c r="F200" s="24" t="n">
        <f aca="false">VLOOKUP(A200,All!A:AM,28,0)</f>
        <v>14.715</v>
      </c>
      <c r="G200" s="24" t="n">
        <f aca="false">VLOOKUP(A200,All!A:AM,31,0)</f>
        <v>63.0541871921182</v>
      </c>
      <c r="H200" s="24" t="n">
        <f aca="false">VLOOKUP(A200,All!A:AM,29,0)</f>
        <v>13.952</v>
      </c>
      <c r="I200" s="25" t="n">
        <f aca="false">VLOOKUP(A200,All!A:AM,33,0)</f>
        <v>19.1298670465335</v>
      </c>
      <c r="J200" s="25" t="n">
        <f aca="false">VLOOKUP(A200,All!A:AM,32,0)</f>
        <v>1.93379999999998</v>
      </c>
      <c r="K200" s="26" t="n">
        <f aca="false">VLOOKUP(A200,All!A:AM,39,0)</f>
        <v>87.8888888888889</v>
      </c>
      <c r="L200" s="26" t="n">
        <f aca="false">VLOOKUP(A200,All!A:AM,38,0)</f>
        <v>59.325</v>
      </c>
      <c r="M200" s="28" t="n">
        <f aca="false">VLOOKUP(A200,'SYS Allocations'!A:G,2,0)</f>
        <v>0</v>
      </c>
      <c r="N200" s="28" t="n">
        <f aca="false">VLOOKUP(A200,'SYS Allocations'!A:G,3,0)</f>
        <v>0</v>
      </c>
      <c r="O200" s="28" t="n">
        <f aca="false">VLOOKUP(A200,'SYS Allocations'!A:G,4,0)</f>
        <v>0</v>
      </c>
      <c r="P200" s="28" t="n">
        <f aca="false">VLOOKUP(A200,'SYS Allocations'!A:G,5,0)</f>
        <v>0</v>
      </c>
      <c r="Q200" s="28" t="n">
        <f aca="false">VLOOKUP(A200,'SYS Allocations'!A:G,6,0)</f>
        <v>0</v>
      </c>
      <c r="R200" s="29" t="n">
        <f aca="false">VLOOKUP(A200,'SYS Allocations'!A:G,7,0)</f>
        <v>2</v>
      </c>
      <c r="S200" s="30"/>
    </row>
    <row r="201" customFormat="false" ht="13.15" hidden="true" customHeight="false" outlineLevel="0" collapsed="false">
      <c r="A201" s="20" t="s">
        <v>217</v>
      </c>
      <c r="B201" s="21" t="str">
        <f aca="false">VLOOKUP(A201,All!A:AM,2,0)</f>
        <v>SOUTH WEST</v>
      </c>
      <c r="C201" s="22" t="n">
        <f aca="false">VLOOKUP(A201,All!A:AM,11,0)</f>
        <v>45617</v>
      </c>
      <c r="D201" s="23"/>
      <c r="E201" s="24" t="n">
        <f aca="false">VLOOKUP(A201,All!A:AM,30,0)</f>
        <v>65.4761904761905</v>
      </c>
      <c r="F201" s="24" t="n">
        <f aca="false">VLOOKUP(A201,All!A:AM,28,0)</f>
        <v>29.975</v>
      </c>
      <c r="G201" s="24" t="n">
        <f aca="false">VLOOKUP(A201,All!A:AM,31,0)</f>
        <v>29.2682926829268</v>
      </c>
      <c r="H201" s="24" t="n">
        <f aca="false">VLOOKUP(A201,All!A:AM,29,0)</f>
        <v>6.54</v>
      </c>
      <c r="I201" s="25" t="n">
        <f aca="false">VLOOKUP(A201,All!A:AM,33,0)</f>
        <v>71.9004238493486</v>
      </c>
      <c r="J201" s="25" t="n">
        <f aca="false">VLOOKUP(A201,All!A:AM,32,0)</f>
        <v>40.4414000000001</v>
      </c>
      <c r="K201" s="26" t="n">
        <f aca="false">VLOOKUP(A201,All!A:AM,39,0)</f>
        <v>74.6104417670683</v>
      </c>
      <c r="L201" s="26" t="n">
        <f aca="false">VLOOKUP(A201,All!A:AM,38,0)</f>
        <v>46.445</v>
      </c>
      <c r="M201" s="28" t="n">
        <f aca="false">VLOOKUP(A201,'SYS Allocations'!A:G,2,0)</f>
        <v>0</v>
      </c>
      <c r="N201" s="28" t="n">
        <f aca="false">VLOOKUP(A201,'SYS Allocations'!A:G,3,0)</f>
        <v>0</v>
      </c>
      <c r="O201" s="28" t="n">
        <f aca="false">VLOOKUP(A201,'SYS Allocations'!A:G,4,0)</f>
        <v>0</v>
      </c>
      <c r="P201" s="28" t="n">
        <f aca="false">VLOOKUP(A201,'SYS Allocations'!A:G,5,0)</f>
        <v>0</v>
      </c>
      <c r="Q201" s="28" t="n">
        <f aca="false">VLOOKUP(A201,'SYS Allocations'!A:G,6,0)</f>
        <v>0</v>
      </c>
      <c r="R201" s="29" t="n">
        <f aca="false">VLOOKUP(A201,'SYS Allocations'!A:G,7,0)</f>
        <v>0</v>
      </c>
      <c r="S201" s="30"/>
    </row>
    <row r="202" customFormat="false" ht="13.15" hidden="true" customHeight="false" outlineLevel="0" collapsed="false">
      <c r="A202" s="34" t="s">
        <v>218</v>
      </c>
      <c r="B202" s="21" t="str">
        <f aca="false">VLOOKUP(A202,All!A:AM,2,0)</f>
        <v>SOUTH WEST</v>
      </c>
      <c r="C202" s="22" t="n">
        <f aca="false">VLOOKUP(A202,All!A:AM,11,0)</f>
        <v>45405</v>
      </c>
      <c r="D202" s="35"/>
      <c r="E202" s="24" t="n">
        <f aca="false">VLOOKUP(A202,All!A:AM,30,0)</f>
        <v>44.933075458955</v>
      </c>
      <c r="F202" s="24" t="n">
        <f aca="false">VLOOKUP(A202,All!A:AM,28,0)</f>
        <v>63.81514</v>
      </c>
      <c r="G202" s="24" t="n">
        <f aca="false">VLOOKUP(A202,All!A:AM,31,0)</f>
        <v>32.8623561336203</v>
      </c>
      <c r="H202" s="24" t="n">
        <f aca="false">VLOOKUP(A202,All!A:AM,29,0)</f>
        <v>38.2808</v>
      </c>
      <c r="I202" s="25" t="n">
        <f aca="false">VLOOKUP(A202,All!A:AM,33,0)</f>
        <v>49.7332001583701</v>
      </c>
      <c r="J202" s="25" t="n">
        <f aca="false">VLOOKUP(A202,All!A:AM,32,0)</f>
        <v>77.3772999999998</v>
      </c>
      <c r="K202" s="26" t="n">
        <f aca="false">VLOOKUP(A202,All!A:AM,39,0)</f>
        <v>71.1985401459854</v>
      </c>
      <c r="L202" s="26" t="n">
        <f aca="false">VLOOKUP(A202,All!A:AM,38,0)</f>
        <v>292.626</v>
      </c>
      <c r="M202" s="28" t="n">
        <f aca="false">VLOOKUP(A202,'SYS Allocations'!A:G,2,0)</f>
        <v>0</v>
      </c>
      <c r="N202" s="28" t="n">
        <f aca="false">VLOOKUP(A202,'SYS Allocations'!A:G,3,0)</f>
        <v>0</v>
      </c>
      <c r="O202" s="28" t="n">
        <f aca="false">VLOOKUP(A202,'SYS Allocations'!A:G,4,0)</f>
        <v>0</v>
      </c>
      <c r="P202" s="28" t="n">
        <f aca="false">VLOOKUP(A202,'SYS Allocations'!A:G,5,0)</f>
        <v>0</v>
      </c>
      <c r="Q202" s="28" t="n">
        <f aca="false">VLOOKUP(A202,'SYS Allocations'!A:G,6,0)</f>
        <v>0</v>
      </c>
      <c r="R202" s="29" t="n">
        <f aca="false">VLOOKUP(A202,'SYS Allocations'!A:G,7,0)</f>
        <v>36.5</v>
      </c>
      <c r="S202" s="30"/>
    </row>
    <row r="203" customFormat="false" ht="13.15" hidden="true" customHeight="false" outlineLevel="0" collapsed="false">
      <c r="A203" s="34" t="s">
        <v>219</v>
      </c>
      <c r="B203" s="21" t="str">
        <f aca="false">VLOOKUP(A203,All!A:AM,2,0)</f>
        <v>SOUTH WEST</v>
      </c>
      <c r="C203" s="22" t="n">
        <f aca="false">VLOOKUP(A203,All!A:AM,11,0)</f>
        <v>45435</v>
      </c>
      <c r="D203" s="35"/>
      <c r="E203" s="24" t="n">
        <f aca="false">VLOOKUP(A203,All!A:AM,30,0)</f>
        <v>59.1463414634146</v>
      </c>
      <c r="F203" s="24" t="n">
        <f aca="false">VLOOKUP(A203,All!A:AM,28,0)</f>
        <v>58.1515</v>
      </c>
      <c r="G203" s="24" t="n">
        <f aca="false">VLOOKUP(A203,All!A:AM,31,0)</f>
        <v>55.4682779456193</v>
      </c>
      <c r="H203" s="24" t="n">
        <f aca="false">VLOOKUP(A203,All!A:AM,29,0)</f>
        <v>50.031</v>
      </c>
      <c r="I203" s="25" t="n">
        <f aca="false">VLOOKUP(A203,All!A:AM,33,0)</f>
        <v>52.8628596911234</v>
      </c>
      <c r="J203" s="25" t="n">
        <f aca="false">VLOOKUP(A203,All!A:AM,32,0)</f>
        <v>45.0455000000002</v>
      </c>
      <c r="K203" s="26"/>
      <c r="L203" s="26"/>
      <c r="M203" s="28" t="str">
        <f aca="false">VLOOKUP(A203,'SYS Allocations'!A:G,2,0)</f>
        <v>P-Core</v>
      </c>
      <c r="N203" s="28" t="str">
        <f aca="false">VLOOKUP(A203,'SYS Allocations'!A:G,3,0)</f>
        <v>RA</v>
      </c>
      <c r="O203" s="28" t="str">
        <f aca="false">VLOOKUP(A203,'SYS Allocations'!A:G,4,0)</f>
        <v>PX</v>
      </c>
      <c r="P203" s="28" t="n">
        <f aca="false">VLOOKUP(A203,'SYS Allocations'!A:G,5,0)</f>
        <v>0</v>
      </c>
      <c r="Q203" s="28" t="str">
        <f aca="false">VLOOKUP(A203,'SYS Allocations'!A:G,6,0)</f>
        <v>OPEX</v>
      </c>
      <c r="R203" s="29" t="n">
        <f aca="false">VLOOKUP(A203,'SYS Allocations'!A:G,7,0)</f>
        <v>11.9</v>
      </c>
      <c r="S203" s="30"/>
    </row>
    <row r="204" customFormat="false" ht="13.15" hidden="true" customHeight="false" outlineLevel="0" collapsed="false">
      <c r="A204" s="20" t="s">
        <v>220</v>
      </c>
      <c r="B204" s="21" t="str">
        <f aca="false">VLOOKUP(A204,All!A:AM,2,0)</f>
        <v>SOUTH WEST</v>
      </c>
      <c r="C204" s="22" t="n">
        <f aca="false">VLOOKUP(A204,All!A:AM,11,0)</f>
        <v>45405</v>
      </c>
      <c r="D204" s="23"/>
      <c r="E204" s="24" t="n">
        <f aca="false">VLOOKUP(A204,All!A:AM,30,0)</f>
        <v>49.5967741935484</v>
      </c>
      <c r="F204" s="24" t="n">
        <f aca="false">VLOOKUP(A204,All!A:AM,28,0)</f>
        <v>2.6814</v>
      </c>
      <c r="G204" s="24" t="n">
        <f aca="false">VLOOKUP(A204,All!A:AM,31,0)</f>
        <v>40.4761904761905</v>
      </c>
      <c r="H204" s="24" t="n">
        <f aca="false">VLOOKUP(A204,All!A:AM,29,0)</f>
        <v>1.853</v>
      </c>
      <c r="I204" s="25" t="n">
        <f aca="false">VLOOKUP(A204,All!A:AM,33,0)</f>
        <v>55.6408553419804</v>
      </c>
      <c r="J204" s="25" t="n">
        <f aca="false">VLOOKUP(A204,All!A:AM,32,0)</f>
        <v>3.41803999999998</v>
      </c>
      <c r="K204" s="26" t="n">
        <f aca="false">VLOOKUP(A204,All!A:AM,39,0)</f>
        <v>99.3369829683698</v>
      </c>
      <c r="L204" s="26" t="n">
        <f aca="false">VLOOKUP(A204,All!A:AM,38,0)</f>
        <v>408.275</v>
      </c>
      <c r="M204" s="28" t="n">
        <f aca="false">VLOOKUP(A204,'SYS Allocations'!A:G,2,0)</f>
        <v>0</v>
      </c>
      <c r="N204" s="28" t="n">
        <f aca="false">VLOOKUP(A204,'SYS Allocations'!A:G,3,0)</f>
        <v>0</v>
      </c>
      <c r="O204" s="28" t="n">
        <f aca="false">VLOOKUP(A204,'SYS Allocations'!A:G,4,0)</f>
        <v>0</v>
      </c>
      <c r="P204" s="28" t="n">
        <f aca="false">VLOOKUP(A204,'SYS Allocations'!A:G,5,0)</f>
        <v>0</v>
      </c>
      <c r="Q204" s="28" t="n">
        <f aca="false">VLOOKUP(A204,'SYS Allocations'!A:G,6,0)</f>
        <v>0</v>
      </c>
      <c r="R204" s="29" t="n">
        <f aca="false">VLOOKUP(A204,'SYS Allocations'!A:G,7,0)</f>
        <v>0</v>
      </c>
      <c r="S204" s="30"/>
    </row>
    <row r="205" customFormat="false" ht="13.15" hidden="true" customHeight="false" outlineLevel="0" collapsed="false">
      <c r="A205" s="20" t="s">
        <v>221</v>
      </c>
      <c r="B205" s="21" t="str">
        <f aca="false">VLOOKUP(A205,All!A:AM,2,0)</f>
        <v>SOUTH WEST</v>
      </c>
      <c r="C205" s="22" t="n">
        <f aca="false">VLOOKUP(A205,All!A:AM,11,0)</f>
        <v>45329</v>
      </c>
      <c r="D205" s="23"/>
      <c r="E205" s="24" t="n">
        <f aca="false">VLOOKUP(A205,All!A:AM,30,0)</f>
        <v>70.4676952748312</v>
      </c>
      <c r="F205" s="24" t="n">
        <f aca="false">VLOOKUP(A205,All!A:AM,28,0)</f>
        <v>19.11642</v>
      </c>
      <c r="G205" s="24" t="n">
        <f aca="false">VLOOKUP(A205,All!A:AM,31,0)</f>
        <v>67.4922600619195</v>
      </c>
      <c r="H205" s="24" t="n">
        <f aca="false">VLOOKUP(A205,All!A:AM,29,0)</f>
        <v>16.6334</v>
      </c>
      <c r="I205" s="25" t="n">
        <f aca="false">VLOOKUP(A205,All!A:AM,33,0)</f>
        <v>65.2061184073379</v>
      </c>
      <c r="J205" s="25" t="n">
        <f aca="false">VLOOKUP(A205,All!A:AM,32,0)</f>
        <v>15.0141</v>
      </c>
      <c r="K205" s="26" t="n">
        <f aca="false">VLOOKUP(A205,All!A:AM,39,0)</f>
        <v>78.636</v>
      </c>
      <c r="L205" s="26" t="n">
        <f aca="false">VLOOKUP(A205,All!A:AM,38,0)</f>
        <v>29.4885</v>
      </c>
      <c r="M205" s="28" t="n">
        <f aca="false">VLOOKUP(A205,'SYS Allocations'!A:G,2,0)</f>
        <v>0</v>
      </c>
      <c r="N205" s="28" t="n">
        <f aca="false">VLOOKUP(A205,'SYS Allocations'!A:G,3,0)</f>
        <v>0</v>
      </c>
      <c r="O205" s="28" t="n">
        <f aca="false">VLOOKUP(A205,'SYS Allocations'!A:G,4,0)</f>
        <v>0</v>
      </c>
      <c r="P205" s="28" t="n">
        <f aca="false">VLOOKUP(A205,'SYS Allocations'!A:G,5,0)</f>
        <v>0</v>
      </c>
      <c r="Q205" s="28" t="n">
        <f aca="false">VLOOKUP(A205,'SYS Allocations'!A:G,6,0)</f>
        <v>0</v>
      </c>
      <c r="R205" s="29" t="n">
        <f aca="false">VLOOKUP(A205,'SYS Allocations'!A:G,7,0)</f>
        <v>10.2</v>
      </c>
      <c r="S205" s="30"/>
    </row>
    <row r="206" customFormat="false" ht="13.15" hidden="true" customHeight="false" outlineLevel="0" collapsed="false">
      <c r="A206" s="20" t="s">
        <v>222</v>
      </c>
      <c r="B206" s="21" t="str">
        <f aca="false">VLOOKUP(A206,All!A:AM,2,0)</f>
        <v>NORTH EAST</v>
      </c>
      <c r="C206" s="22" t="n">
        <f aca="false">VLOOKUP(A206,All!A:AM,11,0)</f>
        <v>45659</v>
      </c>
      <c r="D206" s="23"/>
      <c r="E206" s="24" t="n">
        <f aca="false">VLOOKUP(A206,All!A:AM,30,0)</f>
        <v>58.0742415677407</v>
      </c>
      <c r="F206" s="24" t="n">
        <f aca="false">VLOOKUP(A206,All!A:AM,28,0)</f>
        <v>26.87504</v>
      </c>
      <c r="G206" s="24" t="n">
        <f aca="false">VLOOKUP(A206,All!A:AM,31,0)</f>
        <v>46.1747807680677</v>
      </c>
      <c r="H206" s="24" t="n">
        <f aca="false">VLOOKUP(A206,All!A:AM,29,0)</f>
        <v>16.6443</v>
      </c>
      <c r="I206" s="25" t="n">
        <f aca="false">VLOOKUP(A206,All!A:AM,33,0)</f>
        <v>45.4288735880473</v>
      </c>
      <c r="J206" s="25" t="n">
        <f aca="false">VLOOKUP(A206,All!A:AM,32,0)</f>
        <v>16.1516</v>
      </c>
      <c r="K206" s="26" t="n">
        <f aca="false">VLOOKUP(A206,All!A:AM,39,0)</f>
        <v>69.2031746031746</v>
      </c>
      <c r="L206" s="26" t="n">
        <f aca="false">VLOOKUP(A206,All!A:AM,38,0)</f>
        <v>43.598</v>
      </c>
      <c r="M206" s="28" t="n">
        <f aca="false">VLOOKUP(A206,'SYS Allocations'!A:G,2,0)</f>
        <v>0</v>
      </c>
      <c r="N206" s="28" t="n">
        <f aca="false">VLOOKUP(A206,'SYS Allocations'!A:G,3,0)</f>
        <v>0</v>
      </c>
      <c r="O206" s="28" t="n">
        <f aca="false">VLOOKUP(A206,'SYS Allocations'!A:G,4,0)</f>
        <v>0</v>
      </c>
      <c r="P206" s="28" t="n">
        <f aca="false">VLOOKUP(A206,'SYS Allocations'!A:G,5,0)</f>
        <v>0</v>
      </c>
      <c r="Q206" s="28" t="n">
        <f aca="false">VLOOKUP(A206,'SYS Allocations'!A:G,6,0)</f>
        <v>0</v>
      </c>
      <c r="R206" s="29" t="n">
        <f aca="false">VLOOKUP(A206,'SYS Allocations'!A:G,7,0)</f>
        <v>0.25</v>
      </c>
      <c r="S206" s="30"/>
    </row>
    <row r="207" customFormat="false" ht="13.15" hidden="true" customHeight="false" outlineLevel="0" collapsed="false">
      <c r="A207" s="20" t="s">
        <v>223</v>
      </c>
      <c r="B207" s="21" t="str">
        <f aca="false">VLOOKUP(A207,All!A:AM,2,0)</f>
        <v>NORTH EAST</v>
      </c>
      <c r="C207" s="22" t="n">
        <f aca="false">VLOOKUP(A207,All!A:AM,11,0)</f>
        <v>45659</v>
      </c>
      <c r="D207" s="23"/>
      <c r="E207" s="24" t="n">
        <f aca="false">VLOOKUP(A207,All!A:AM,30,0)</f>
        <v>65.7103825136612</v>
      </c>
      <c r="F207" s="24" t="n">
        <f aca="false">VLOOKUP(A207,All!A:AM,28,0)</f>
        <v>26.2145</v>
      </c>
      <c r="G207" s="24" t="n">
        <f aca="false">VLOOKUP(A207,All!A:AM,31,0)</f>
        <v>51.2621359223301</v>
      </c>
      <c r="H207" s="24" t="n">
        <f aca="false">VLOOKUP(A207,All!A:AM,29,0)</f>
        <v>14.388</v>
      </c>
      <c r="I207" s="25" t="n">
        <f aca="false">VLOOKUP(A207,All!A:AM,33,0)</f>
        <v>61.5242900859547</v>
      </c>
      <c r="J207" s="25" t="n">
        <f aca="false">VLOOKUP(A207,All!A:AM,32,0)</f>
        <v>21.8741</v>
      </c>
      <c r="K207" s="26" t="n">
        <f aca="false">VLOOKUP(A207,All!A:AM,39,0)</f>
        <v>87.8404444444444</v>
      </c>
      <c r="L207" s="26" t="n">
        <f aca="false">VLOOKUP(A207,All!A:AM,38,0)</f>
        <v>98.8205</v>
      </c>
      <c r="M207" s="28" t="n">
        <f aca="false">VLOOKUP(A207,'SYS Allocations'!A:G,2,0)</f>
        <v>0</v>
      </c>
      <c r="N207" s="28" t="str">
        <f aca="false">VLOOKUP(A207,'SYS Allocations'!A:G,3,0)</f>
        <v>RA</v>
      </c>
      <c r="O207" s="28" t="n">
        <f aca="false">VLOOKUP(A207,'SYS Allocations'!A:G,4,0)</f>
        <v>0</v>
      </c>
      <c r="P207" s="28" t="n">
        <f aca="false">VLOOKUP(A207,'SYS Allocations'!A:G,5,0)</f>
        <v>0</v>
      </c>
      <c r="Q207" s="28" t="n">
        <f aca="false">VLOOKUP(A207,'SYS Allocations'!A:G,6,0)</f>
        <v>0</v>
      </c>
      <c r="R207" s="29" t="n">
        <f aca="false">VLOOKUP(A207,'SYS Allocations'!A:G,7,0)</f>
        <v>7.2</v>
      </c>
      <c r="S207" s="30"/>
    </row>
    <row r="208" customFormat="false" ht="13.15" hidden="true" customHeight="false" outlineLevel="0" collapsed="false">
      <c r="A208" s="20" t="s">
        <v>224</v>
      </c>
      <c r="B208" s="21" t="str">
        <f aca="false">VLOOKUP(A208,All!A:AM,2,0)</f>
        <v>SOUTH</v>
      </c>
      <c r="C208" s="22" t="n">
        <f aca="false">VLOOKUP(A208,All!A:AM,11,0)</f>
        <v>45659</v>
      </c>
      <c r="D208" s="23"/>
      <c r="E208" s="24" t="n">
        <f aca="false">VLOOKUP(A208,All!A:AM,30,0)</f>
        <v>57.4036126290225</v>
      </c>
      <c r="F208" s="24" t="n">
        <f aca="false">VLOOKUP(A208,All!A:AM,28,0)</f>
        <v>32.97686</v>
      </c>
      <c r="G208" s="24" t="n">
        <f aca="false">VLOOKUP(A208,All!A:AM,31,0)</f>
        <v>37.4303232998885</v>
      </c>
      <c r="H208" s="24" t="n">
        <f aca="false">VLOOKUP(A208,All!A:AM,29,0)</f>
        <v>14.6387</v>
      </c>
      <c r="I208" s="25" t="n">
        <f aca="false">VLOOKUP(A208,All!A:AM,33,0)</f>
        <v>54.1152888408863</v>
      </c>
      <c r="J208" s="25" t="n">
        <f aca="false">VLOOKUP(A208,All!A:AM,32,0)</f>
        <v>28.8599</v>
      </c>
      <c r="K208" s="26" t="n">
        <f aca="false">VLOOKUP(A208,All!A:AM,39,0)</f>
        <v>70.9979259259259</v>
      </c>
      <c r="L208" s="26" t="n">
        <f aca="false">VLOOKUP(A208,All!A:AM,38,0)</f>
        <v>59.9045</v>
      </c>
      <c r="M208" s="28" t="n">
        <f aca="false">VLOOKUP(A208,'SYS Allocations'!A:G,2,0)</f>
        <v>0</v>
      </c>
      <c r="N208" s="28" t="str">
        <f aca="false">VLOOKUP(A208,'SYS Allocations'!A:G,3,0)</f>
        <v>RA</v>
      </c>
      <c r="O208" s="28" t="n">
        <f aca="false">VLOOKUP(A208,'SYS Allocations'!A:G,4,0)</f>
        <v>0</v>
      </c>
      <c r="P208" s="28" t="n">
        <f aca="false">VLOOKUP(A208,'SYS Allocations'!A:G,5,0)</f>
        <v>0</v>
      </c>
      <c r="Q208" s="28" t="n">
        <f aca="false">VLOOKUP(A208,'SYS Allocations'!A:G,6,0)</f>
        <v>0</v>
      </c>
      <c r="R208" s="29" t="n">
        <f aca="false">VLOOKUP(A208,'SYS Allocations'!A:G,7,0)</f>
        <v>6.9</v>
      </c>
      <c r="S208" s="30"/>
    </row>
    <row r="209" customFormat="false" ht="13.15" hidden="true" customHeight="false" outlineLevel="0" collapsed="false">
      <c r="A209" s="20" t="s">
        <v>225</v>
      </c>
      <c r="B209" s="21" t="str">
        <f aca="false">VLOOKUP(A209,All!A:AM,2,0)</f>
        <v>THAMES VALLEY</v>
      </c>
      <c r="C209" s="22" t="n">
        <f aca="false">VLOOKUP(A209,All!A:AM,11,0)</f>
        <v>45659</v>
      </c>
      <c r="D209" s="23"/>
      <c r="E209" s="24" t="n">
        <f aca="false">VLOOKUP(A209,All!A:AM,30,0)</f>
        <v>58.4332933493269</v>
      </c>
      <c r="F209" s="24" t="n">
        <f aca="false">VLOOKUP(A209,All!A:AM,28,0)</f>
        <v>38.23066</v>
      </c>
      <c r="G209" s="24" t="n">
        <f aca="false">VLOOKUP(A209,All!A:AM,31,0)</f>
        <v>44.5924938929602</v>
      </c>
      <c r="H209" s="24" t="n">
        <f aca="false">VLOOKUP(A209,All!A:AM,29,0)</f>
        <v>21.8872</v>
      </c>
      <c r="I209" s="25" t="n">
        <f aca="false">VLOOKUP(A209,All!A:AM,33,0)</f>
        <v>49.0056328098045</v>
      </c>
      <c r="J209" s="25" t="n">
        <f aca="false">VLOOKUP(A209,All!A:AM,32,0)</f>
        <v>26.1349</v>
      </c>
      <c r="K209" s="26" t="n">
        <f aca="false">VLOOKUP(A209,All!A:AM,39,0)</f>
        <v>56.8325396825397</v>
      </c>
      <c r="L209" s="26" t="n">
        <f aca="false">VLOOKUP(A209,All!A:AM,38,0)</f>
        <v>35.8045</v>
      </c>
      <c r="M209" s="28" t="n">
        <f aca="false">VLOOKUP(A209,'SYS Allocations'!A:G,2,0)</f>
        <v>0</v>
      </c>
      <c r="N209" s="28" t="n">
        <f aca="false">VLOOKUP(A209,'SYS Allocations'!A:G,3,0)</f>
        <v>0</v>
      </c>
      <c r="O209" s="28" t="n">
        <f aca="false">VLOOKUP(A209,'SYS Allocations'!A:G,4,0)</f>
        <v>0</v>
      </c>
      <c r="P209" s="28" t="n">
        <f aca="false">VLOOKUP(A209,'SYS Allocations'!A:G,5,0)</f>
        <v>0</v>
      </c>
      <c r="Q209" s="28" t="n">
        <f aca="false">VLOOKUP(A209,'SYS Allocations'!A:G,6,0)</f>
        <v>0</v>
      </c>
      <c r="R209" s="29" t="n">
        <f aca="false">VLOOKUP(A209,'SYS Allocations'!A:G,7,0)</f>
        <v>8.2</v>
      </c>
      <c r="S209" s="30"/>
    </row>
    <row r="210" customFormat="false" ht="13.15" hidden="true" customHeight="false" outlineLevel="0" collapsed="false">
      <c r="A210" s="20" t="s">
        <v>226</v>
      </c>
      <c r="B210" s="21" t="str">
        <f aca="false">VLOOKUP(A210,All!A:AM,2,0)</f>
        <v>LONDON</v>
      </c>
      <c r="C210" s="22" t="n">
        <f aca="false">VLOOKUP(A210,All!A:AM,11,0)</f>
        <v>45659</v>
      </c>
      <c r="D210" s="23"/>
      <c r="E210" s="24" t="n">
        <f aca="false">VLOOKUP(A210,All!A:AM,30,0)</f>
        <v>58.7254901960784</v>
      </c>
      <c r="F210" s="24" t="n">
        <f aca="false">VLOOKUP(A210,All!A:AM,28,0)</f>
        <v>32.6455</v>
      </c>
      <c r="G210" s="24" t="n">
        <f aca="false">VLOOKUP(A210,All!A:AM,31,0)</f>
        <v>52.4293785310734</v>
      </c>
      <c r="H210" s="24" t="n">
        <f aca="false">VLOOKUP(A210,All!A:AM,29,0)</f>
        <v>25.288</v>
      </c>
      <c r="I210" s="25" t="n">
        <f aca="false">VLOOKUP(A210,All!A:AM,33,0)</f>
        <v>33.0658241732596</v>
      </c>
      <c r="J210" s="25" t="n">
        <f aca="false">VLOOKUP(A210,All!A:AM,32,0)</f>
        <v>11.3347</v>
      </c>
      <c r="K210" s="26" t="n">
        <f aca="false">VLOOKUP(A210,All!A:AM,39,0)</f>
        <v>78.1480952380952</v>
      </c>
      <c r="L210" s="26" t="n">
        <f aca="false">VLOOKUP(A210,All!A:AM,38,0)</f>
        <v>82.0555</v>
      </c>
      <c r="M210" s="28" t="n">
        <f aca="false">VLOOKUP(A210,'SYS Allocations'!A:G,2,0)</f>
        <v>0</v>
      </c>
      <c r="N210" s="28" t="n">
        <f aca="false">VLOOKUP(A210,'SYS Allocations'!A:G,3,0)</f>
        <v>0</v>
      </c>
      <c r="O210" s="28" t="n">
        <f aca="false">VLOOKUP(A210,'SYS Allocations'!A:G,4,0)</f>
        <v>0</v>
      </c>
      <c r="P210" s="28" t="n">
        <f aca="false">VLOOKUP(A210,'SYS Allocations'!A:G,5,0)</f>
        <v>0</v>
      </c>
      <c r="Q210" s="28" t="n">
        <f aca="false">VLOOKUP(A210,'SYS Allocations'!A:G,6,0)</f>
        <v>0</v>
      </c>
      <c r="R210" s="29" t="n">
        <f aca="false">VLOOKUP(A210,'SYS Allocations'!A:G,7,0)</f>
        <v>0</v>
      </c>
      <c r="S210" s="30"/>
    </row>
    <row r="211" customFormat="false" ht="13.15" hidden="true" customHeight="false" outlineLevel="0" collapsed="false">
      <c r="A211" s="20" t="s">
        <v>227</v>
      </c>
      <c r="B211" s="21" t="str">
        <f aca="false">VLOOKUP(A211,All!A:AM,2,0)</f>
        <v>NORTH EAST</v>
      </c>
      <c r="C211" s="22" t="n">
        <f aca="false">VLOOKUP(A211,All!A:AM,11,0)</f>
        <v>45659</v>
      </c>
      <c r="D211" s="23"/>
      <c r="E211" s="24" t="n">
        <f aca="false">VLOOKUP(A211,All!A:AM,30,0)</f>
        <v>63.1622516556292</v>
      </c>
      <c r="F211" s="24" t="n">
        <f aca="false">VLOOKUP(A211,All!A:AM,28,0)</f>
        <v>8.3167</v>
      </c>
      <c r="G211" s="24" t="n">
        <f aca="false">VLOOKUP(A211,All!A:AM,31,0)</f>
        <v>63.2231404958678</v>
      </c>
      <c r="H211" s="24" t="n">
        <f aca="false">VLOOKUP(A211,All!A:AM,29,0)</f>
        <v>8.3385</v>
      </c>
      <c r="I211" s="25" t="n">
        <f aca="false">VLOOKUP(A211,All!A:AM,33,0)</f>
        <v>7.20653504744414</v>
      </c>
      <c r="J211" s="25" t="n">
        <f aca="false">VLOOKUP(A211,All!A:AM,32,0)</f>
        <v>0.3767</v>
      </c>
      <c r="K211" s="26" t="n">
        <f aca="false">VLOOKUP(A211,All!A:AM,39,0)</f>
        <v>89.2211111111111</v>
      </c>
      <c r="L211" s="26" t="n">
        <f aca="false">VLOOKUP(A211,All!A:AM,38,0)</f>
        <v>40.1495</v>
      </c>
      <c r="M211" s="28" t="n">
        <f aca="false">VLOOKUP(A211,'SYS Allocations'!A:G,2,0)</f>
        <v>0</v>
      </c>
      <c r="N211" s="28" t="n">
        <f aca="false">VLOOKUP(A211,'SYS Allocations'!A:G,3,0)</f>
        <v>0</v>
      </c>
      <c r="O211" s="28" t="n">
        <f aca="false">VLOOKUP(A211,'SYS Allocations'!A:G,4,0)</f>
        <v>0</v>
      </c>
      <c r="P211" s="28" t="n">
        <f aca="false">VLOOKUP(A211,'SYS Allocations'!A:G,5,0)</f>
        <v>0</v>
      </c>
      <c r="Q211" s="28" t="n">
        <f aca="false">VLOOKUP(A211,'SYS Allocations'!A:G,6,0)</f>
        <v>0</v>
      </c>
      <c r="R211" s="29" t="n">
        <f aca="false">VLOOKUP(A211,'SYS Allocations'!A:G,7,0)</f>
        <v>0</v>
      </c>
      <c r="S211" s="30"/>
    </row>
    <row r="212" customFormat="false" ht="13.15" hidden="true" customHeight="false" outlineLevel="0" collapsed="false">
      <c r="A212" s="20" t="s">
        <v>228</v>
      </c>
      <c r="B212" s="21" t="str">
        <f aca="false">VLOOKUP(A212,All!A:AM,2,0)</f>
        <v>MIDLANDS</v>
      </c>
      <c r="C212" s="22" t="n">
        <f aca="false">VLOOKUP(A212,All!A:AM,11,0)</f>
        <v>45630</v>
      </c>
      <c r="D212" s="23"/>
      <c r="E212" s="24" t="n">
        <f aca="false">VLOOKUP(A212,All!A:AM,30,0)</f>
        <v>67.5324675324675</v>
      </c>
      <c r="F212" s="24" t="n">
        <f aca="false">VLOOKUP(A212,All!A:AM,28,0)</f>
        <v>22.672</v>
      </c>
      <c r="G212" s="24" t="n">
        <f aca="false">VLOOKUP(A212,All!A:AM,31,0)</f>
        <v>45.945945945946</v>
      </c>
      <c r="H212" s="24" t="n">
        <f aca="false">VLOOKUP(A212,All!A:AM,29,0)</f>
        <v>9.265</v>
      </c>
      <c r="I212" s="25" t="n">
        <f aca="false">VLOOKUP(A212,All!A:AM,33,0)</f>
        <v>69.3420638135097</v>
      </c>
      <c r="J212" s="25" t="n">
        <f aca="false">VLOOKUP(A212,All!A:AM,32,0)</f>
        <v>24.6536</v>
      </c>
      <c r="K212" s="26" t="n">
        <f aca="false">VLOOKUP(A212,All!A:AM,39,0)</f>
        <v>75.7777777777778</v>
      </c>
      <c r="L212" s="26" t="n">
        <f aca="false">VLOOKUP(A212,All!A:AM,38,0)</f>
        <v>34.1</v>
      </c>
      <c r="M212" s="28" t="n">
        <f aca="false">VLOOKUP(A212,'SYS Allocations'!A:G,2,0)</f>
        <v>0</v>
      </c>
      <c r="N212" s="28" t="n">
        <f aca="false">VLOOKUP(A212,'SYS Allocations'!A:G,3,0)</f>
        <v>0</v>
      </c>
      <c r="O212" s="28" t="n">
        <f aca="false">VLOOKUP(A212,'SYS Allocations'!A:G,4,0)</f>
        <v>0</v>
      </c>
      <c r="P212" s="28" t="n">
        <f aca="false">VLOOKUP(A212,'SYS Allocations'!A:G,5,0)</f>
        <v>0</v>
      </c>
      <c r="Q212" s="28" t="n">
        <f aca="false">VLOOKUP(A212,'SYS Allocations'!A:G,6,0)</f>
        <v>0</v>
      </c>
      <c r="R212" s="29" t="n">
        <f aca="false">VLOOKUP(A212,'SYS Allocations'!A:G,7,0)</f>
        <v>2</v>
      </c>
      <c r="S212" s="30"/>
    </row>
    <row r="213" customFormat="false" ht="13.15" hidden="true" customHeight="false" outlineLevel="0" collapsed="false">
      <c r="A213" s="20" t="s">
        <v>229</v>
      </c>
      <c r="B213" s="21" t="str">
        <f aca="false">VLOOKUP(A213,All!A:AM,2,0)</f>
        <v>ANGLIA</v>
      </c>
      <c r="C213" s="22" t="n">
        <f aca="false">VLOOKUP(A213,All!A:AM,11,0)</f>
        <v>45267</v>
      </c>
      <c r="D213" s="23"/>
      <c r="E213" s="24" t="n">
        <f aca="false">VLOOKUP(A213,All!A:AM,30,0)</f>
        <v>59.7753491196114</v>
      </c>
      <c r="F213" s="24" t="n">
        <f aca="false">VLOOKUP(A213,All!A:AM,28,0)</f>
        <v>8.58484</v>
      </c>
      <c r="G213" s="24" t="n">
        <f aca="false">VLOOKUP(A213,All!A:AM,31,0)</f>
        <v>33.5006273525721</v>
      </c>
      <c r="H213" s="24" t="n">
        <f aca="false">VLOOKUP(A213,All!A:AM,29,0)</f>
        <v>2.9103</v>
      </c>
      <c r="I213" s="25" t="n">
        <f aca="false">VLOOKUP(A213,All!A:AM,33,0)</f>
        <v>59.9620204036372</v>
      </c>
      <c r="J213" s="25" t="n">
        <f aca="false">VLOOKUP(A213,All!A:AM,32,0)</f>
        <v>8.6518</v>
      </c>
      <c r="K213" s="26" t="n">
        <f aca="false">VLOOKUP(A213,All!A:AM,39,0)</f>
        <v>70.374358974359</v>
      </c>
      <c r="L213" s="26" t="n">
        <f aca="false">VLOOKUP(A213,All!A:AM,38,0)</f>
        <v>13.723</v>
      </c>
      <c r="M213" s="28" t="n">
        <f aca="false">VLOOKUP(A213,'SYS Allocations'!A:G,2,0)</f>
        <v>0</v>
      </c>
      <c r="N213" s="28" t="n">
        <f aca="false">VLOOKUP(A213,'SYS Allocations'!A:G,3,0)</f>
        <v>0</v>
      </c>
      <c r="O213" s="28" t="n">
        <f aca="false">VLOOKUP(A213,'SYS Allocations'!A:G,4,0)</f>
        <v>0</v>
      </c>
      <c r="P213" s="28" t="n">
        <f aca="false">VLOOKUP(A213,'SYS Allocations'!A:G,5,0)</f>
        <v>0</v>
      </c>
      <c r="Q213" s="28" t="n">
        <f aca="false">VLOOKUP(A213,'SYS Allocations'!A:G,6,0)</f>
        <v>0</v>
      </c>
      <c r="R213" s="29" t="n">
        <f aca="false">VLOOKUP(A213,'SYS Allocations'!A:G,7,0)</f>
        <v>1</v>
      </c>
      <c r="S213" s="30"/>
    </row>
    <row r="214" customFormat="false" ht="13.15" hidden="true" customHeight="false" outlineLevel="0" collapsed="false">
      <c r="A214" s="20" t="s">
        <v>230</v>
      </c>
      <c r="B214" s="21" t="str">
        <f aca="false">VLOOKUP(A214,All!A:AM,2,0)</f>
        <v>MIDLANDS</v>
      </c>
      <c r="C214" s="22" t="n">
        <f aca="false">VLOOKUP(A214,All!A:AM,11,0)</f>
        <v>45659</v>
      </c>
      <c r="D214" s="23"/>
      <c r="E214" s="24" t="n">
        <f aca="false">VLOOKUP(A214,All!A:AM,30,0)</f>
        <v>55.8450429352069</v>
      </c>
      <c r="F214" s="24" t="n">
        <f aca="false">VLOOKUP(A214,All!A:AM,28,0)</f>
        <v>12.47614</v>
      </c>
      <c r="G214" s="24" t="n">
        <f aca="false">VLOOKUP(A214,All!A:AM,31,0)</f>
        <v>33.5535976505139</v>
      </c>
      <c r="H214" s="24" t="n">
        <f aca="false">VLOOKUP(A214,All!A:AM,29,0)</f>
        <v>4.9813</v>
      </c>
      <c r="I214" s="25" t="n">
        <f aca="false">VLOOKUP(A214,All!A:AM,33,0)</f>
        <v>53.3036999166856</v>
      </c>
      <c r="J214" s="25" t="n">
        <f aca="false">VLOOKUP(A214,All!A:AM,32,0)</f>
        <v>11.2603</v>
      </c>
      <c r="K214" s="26" t="n">
        <f aca="false">VLOOKUP(A214,All!A:AM,39,0)</f>
        <v>45.1972222222222</v>
      </c>
      <c r="L214" s="26" t="n">
        <f aca="false">VLOOKUP(A214,All!A:AM,38,0)</f>
        <v>8.1355</v>
      </c>
      <c r="M214" s="28" t="n">
        <f aca="false">VLOOKUP(A214,'SYS Allocations'!A:G,2,0)</f>
        <v>0</v>
      </c>
      <c r="N214" s="28" t="n">
        <f aca="false">VLOOKUP(A214,'SYS Allocations'!A:G,3,0)</f>
        <v>0</v>
      </c>
      <c r="O214" s="28" t="n">
        <f aca="false">VLOOKUP(A214,'SYS Allocations'!A:G,4,0)</f>
        <v>0</v>
      </c>
      <c r="P214" s="28" t="n">
        <f aca="false">VLOOKUP(A214,'SYS Allocations'!A:G,5,0)</f>
        <v>0</v>
      </c>
      <c r="Q214" s="28" t="n">
        <f aca="false">VLOOKUP(A214,'SYS Allocations'!A:G,6,0)</f>
        <v>0</v>
      </c>
      <c r="R214" s="29" t="n">
        <f aca="false">VLOOKUP(A214,'SYS Allocations'!A:G,7,0)</f>
        <v>1</v>
      </c>
      <c r="S214" s="30"/>
    </row>
    <row r="215" customFormat="false" ht="13.15" hidden="true" customHeight="false" outlineLevel="0" collapsed="false">
      <c r="A215" s="34" t="s">
        <v>231</v>
      </c>
      <c r="B215" s="21" t="str">
        <f aca="false">VLOOKUP(A215,All!A:AM,2,0)</f>
        <v>LONDON</v>
      </c>
      <c r="C215" s="22" t="n">
        <f aca="false">VLOOKUP(A215,All!A:AM,11,0)</f>
        <v>45659</v>
      </c>
      <c r="D215" s="23"/>
      <c r="E215" s="24" t="n">
        <f aca="false">VLOOKUP(A215,All!A:AM,30,0)</f>
        <v>83.0454722872756</v>
      </c>
      <c r="F215" s="24" t="n">
        <f aca="false">VLOOKUP(A215,All!A:AM,28,0)</f>
        <v>37.10578</v>
      </c>
      <c r="G215" s="24" t="n">
        <f aca="false">VLOOKUP(A215,All!A:AM,31,0)</f>
        <v>75.8176757132916</v>
      </c>
      <c r="H215" s="24" t="n">
        <f aca="false">VLOOKUP(A215,All!A:AM,29,0)</f>
        <v>23.7511</v>
      </c>
      <c r="I215" s="25" t="n">
        <f aca="false">VLOOKUP(A215,All!A:AM,33,0)</f>
        <v>81.0525341657162</v>
      </c>
      <c r="J215" s="25" t="n">
        <f aca="false">VLOOKUP(A215,All!A:AM,32,0)</f>
        <v>32.4061</v>
      </c>
      <c r="K215" s="26" t="n">
        <f aca="false">VLOOKUP(A215,All!A:AM,39,0)</f>
        <v>53.1154666666667</v>
      </c>
      <c r="L215" s="26" t="n">
        <f aca="false">VLOOKUP(A215,All!A:AM,38,0)</f>
        <v>99.5915</v>
      </c>
      <c r="M215" s="28" t="n">
        <f aca="false">VLOOKUP(A215,'SYS Allocations'!A:G,2,0)</f>
        <v>0</v>
      </c>
      <c r="N215" s="28" t="n">
        <f aca="false">VLOOKUP(A215,'SYS Allocations'!A:G,3,0)</f>
        <v>0</v>
      </c>
      <c r="O215" s="28" t="n">
        <f aca="false">VLOOKUP(A215,'SYS Allocations'!A:G,4,0)</f>
        <v>0</v>
      </c>
      <c r="P215" s="28" t="n">
        <f aca="false">VLOOKUP(A215,'SYS Allocations'!A:G,5,0)</f>
        <v>0</v>
      </c>
      <c r="Q215" s="28" t="n">
        <f aca="false">VLOOKUP(A215,'SYS Allocations'!A:G,6,0)</f>
        <v>0</v>
      </c>
      <c r="R215" s="29" t="n">
        <f aca="false">VLOOKUP(A215,'SYS Allocations'!A:G,7,0)</f>
        <v>4</v>
      </c>
      <c r="S215" s="30"/>
    </row>
    <row r="216" customFormat="false" ht="13.15" hidden="true" customHeight="false" outlineLevel="0" collapsed="false">
      <c r="A216" s="34" t="s">
        <v>232</v>
      </c>
      <c r="B216" s="21" t="str">
        <f aca="false">VLOOKUP(A216,All!A:AM,2,0)</f>
        <v>LONDON</v>
      </c>
      <c r="C216" s="22" t="n">
        <f aca="false">VLOOKUP(A216,All!A:AM,11,0)</f>
        <v>45659</v>
      </c>
      <c r="D216" s="23"/>
      <c r="E216" s="24" t="n">
        <f aca="false">VLOOKUP(A216,All!A:AM,30,0)</f>
        <v>42.948956780924</v>
      </c>
      <c r="F216" s="24" t="n">
        <f aca="false">VLOOKUP(A216,All!A:AM,28,0)</f>
        <v>30.15594</v>
      </c>
      <c r="G216" s="24" t="n">
        <f aca="false">VLOOKUP(A216,All!A:AM,31,0)</f>
        <v>24.2580379225062</v>
      </c>
      <c r="H216" s="24" t="n">
        <f aca="false">VLOOKUP(A216,All!A:AM,29,0)</f>
        <v>12.8293</v>
      </c>
      <c r="I216" s="25" t="n">
        <f aca="false">VLOOKUP(A216,All!A:AM,33,0)</f>
        <v>28.782108721625</v>
      </c>
      <c r="J216" s="25" t="n">
        <f aca="false">VLOOKUP(A216,All!A:AM,32,0)</f>
        <v>16.1889000000001</v>
      </c>
      <c r="K216" s="26"/>
      <c r="L216" s="26"/>
      <c r="M216" s="28" t="n">
        <f aca="false">VLOOKUP(A216,'SYS Allocations'!A:G,2,0)</f>
        <v>0</v>
      </c>
      <c r="N216" s="28" t="n">
        <f aca="false">VLOOKUP(A216,'SYS Allocations'!A:G,3,0)</f>
        <v>0</v>
      </c>
      <c r="O216" s="28" t="n">
        <f aca="false">VLOOKUP(A216,'SYS Allocations'!A:G,4,0)</f>
        <v>0</v>
      </c>
      <c r="P216" s="28" t="n">
        <f aca="false">VLOOKUP(A216,'SYS Allocations'!A:G,5,0)</f>
        <v>0</v>
      </c>
      <c r="Q216" s="28" t="n">
        <f aca="false">VLOOKUP(A216,'SYS Allocations'!A:G,6,0)</f>
        <v>0</v>
      </c>
      <c r="R216" s="29" t="n">
        <f aca="false">VLOOKUP(A216,'SYS Allocations'!A:G,7,0)</f>
        <v>0</v>
      </c>
      <c r="S216" s="30"/>
    </row>
    <row r="217" customFormat="false" ht="13.15" hidden="true" customHeight="false" outlineLevel="0" collapsed="false">
      <c r="A217" s="34" t="s">
        <v>233</v>
      </c>
      <c r="B217" s="21" t="str">
        <f aca="false">VLOOKUP(A217,All!A:AM,2,0)</f>
        <v>LONDON</v>
      </c>
      <c r="C217" s="22" t="n">
        <f aca="false">VLOOKUP(A217,All!A:AM,11,0)</f>
        <v>45659</v>
      </c>
      <c r="D217" s="23"/>
      <c r="E217" s="24" t="n">
        <f aca="false">VLOOKUP(A217,All!A:AM,30,0)</f>
        <v>59.2918209060462</v>
      </c>
      <c r="F217" s="24" t="n">
        <f aca="false">VLOOKUP(A217,All!A:AM,28,0)</f>
        <v>58.66162</v>
      </c>
      <c r="G217" s="24" t="n">
        <f aca="false">VLOOKUP(A217,All!A:AM,31,0)</f>
        <v>55.7272945123412</v>
      </c>
      <c r="H217" s="24" t="n">
        <f aca="false">VLOOKUP(A217,All!A:AM,29,0)</f>
        <v>50.6959</v>
      </c>
      <c r="I217" s="25" t="n">
        <f aca="false">VLOOKUP(A217,All!A:AM,33,0)</f>
        <v>24.4792838606123</v>
      </c>
      <c r="J217" s="25" t="n">
        <f aca="false">VLOOKUP(A217,All!A:AM,32,0)</f>
        <v>13.0549</v>
      </c>
      <c r="K217" s="26"/>
      <c r="L217" s="26"/>
      <c r="M217" s="28" t="n">
        <f aca="false">VLOOKUP(A217,'SYS Allocations'!A:G,2,0)</f>
        <v>0</v>
      </c>
      <c r="N217" s="28" t="n">
        <f aca="false">VLOOKUP(A217,'SYS Allocations'!A:G,3,0)</f>
        <v>0</v>
      </c>
      <c r="O217" s="28" t="n">
        <f aca="false">VLOOKUP(A217,'SYS Allocations'!A:G,4,0)</f>
        <v>0</v>
      </c>
      <c r="P217" s="28" t="n">
        <f aca="false">VLOOKUP(A217,'SYS Allocations'!A:G,5,0)</f>
        <v>0</v>
      </c>
      <c r="Q217" s="28" t="n">
        <f aca="false">VLOOKUP(A217,'SYS Allocations'!A:G,6,0)</f>
        <v>0</v>
      </c>
      <c r="R217" s="29" t="n">
        <f aca="false">VLOOKUP(A217,'SYS Allocations'!A:G,7,0)</f>
        <v>0</v>
      </c>
      <c r="S217" s="30"/>
    </row>
    <row r="218" customFormat="false" ht="13.15" hidden="true" customHeight="false" outlineLevel="0" collapsed="false">
      <c r="A218" s="33" t="s">
        <v>234</v>
      </c>
      <c r="B218" s="21" t="str">
        <f aca="false">VLOOKUP(A218,All!A:AM,2,0)</f>
        <v>LONDON</v>
      </c>
      <c r="C218" s="22" t="n">
        <f aca="false">VLOOKUP(A218,All!A:AM,11,0)</f>
        <v>45659</v>
      </c>
      <c r="D218" s="35"/>
      <c r="E218" s="24" t="n">
        <f aca="false">VLOOKUP(A218,All!A:AM,30,0)</f>
        <v>53.6180151595276</v>
      </c>
      <c r="F218" s="24" t="n">
        <f aca="false">VLOOKUP(A218,All!A:AM,28,0)</f>
        <v>53.04812</v>
      </c>
      <c r="G218" s="24" t="n">
        <f aca="false">VLOOKUP(A218,All!A:AM,31,0)</f>
        <v>42.1981190361777</v>
      </c>
      <c r="H218" s="24" t="n">
        <f aca="false">VLOOKUP(A218,All!A:AM,29,0)</f>
        <v>33.50115</v>
      </c>
      <c r="I218" s="25" t="n">
        <f aca="false">VLOOKUP(A218,All!A:AM,33,0)</f>
        <v>36.3924927921934</v>
      </c>
      <c r="J218" s="25" t="n">
        <f aca="false">VLOOKUP(A218,All!A:AM,32,0)</f>
        <v>26.255</v>
      </c>
      <c r="K218" s="26" t="n">
        <f aca="false">VLOOKUP(A218,All!A:AM,39,0)</f>
        <v>51.511780455154</v>
      </c>
      <c r="L218" s="26" t="n">
        <f aca="false">VLOOKUP(A218,All!A:AM,38,0)</f>
        <v>192.3965</v>
      </c>
      <c r="M218" s="28" t="str">
        <f aca="false">VLOOKUP(A218,'SYS Allocations'!A:G,2,0)</f>
        <v>P-Core</v>
      </c>
      <c r="N218" s="28" t="n">
        <f aca="false">VLOOKUP(A218,'SYS Allocations'!A:G,3,0)</f>
        <v>0</v>
      </c>
      <c r="O218" s="28" t="n">
        <f aca="false">VLOOKUP(A218,'SYS Allocations'!A:G,4,0)</f>
        <v>0</v>
      </c>
      <c r="P218" s="28" t="n">
        <f aca="false">VLOOKUP(A218,'SYS Allocations'!A:G,5,0)</f>
        <v>0</v>
      </c>
      <c r="Q218" s="28" t="n">
        <f aca="false">VLOOKUP(A218,'SYS Allocations'!A:G,6,0)</f>
        <v>0</v>
      </c>
      <c r="R218" s="29" t="n">
        <f aca="false">VLOOKUP(A218,'SYS Allocations'!A:G,7,0)</f>
        <v>15.5</v>
      </c>
      <c r="S218" s="30"/>
    </row>
    <row r="219" customFormat="false" ht="13.15" hidden="true" customHeight="false" outlineLevel="0" collapsed="false">
      <c r="A219" s="33" t="s">
        <v>235</v>
      </c>
      <c r="B219" s="21" t="str">
        <f aca="false">VLOOKUP(A219,All!A:AM,2,0)</f>
        <v>LONDON</v>
      </c>
      <c r="C219" s="22" t="n">
        <f aca="false">VLOOKUP(A219,All!A:AM,11,0)</f>
        <v>45659</v>
      </c>
      <c r="D219" s="35"/>
      <c r="E219" s="24" t="n">
        <f aca="false">VLOOKUP(A219,All!A:AM,30,0)</f>
        <v>60.3174603174603</v>
      </c>
      <c r="F219" s="24" t="n">
        <f aca="false">VLOOKUP(A219,All!A:AM,28,0)</f>
        <v>60.63888</v>
      </c>
      <c r="G219" s="24" t="n">
        <f aca="false">VLOOKUP(A219,All!A:AM,31,0)</f>
        <v>43.942410782662</v>
      </c>
      <c r="H219" s="24" t="n">
        <f aca="false">VLOOKUP(A219,All!A:AM,29,0)</f>
        <v>31.2721</v>
      </c>
      <c r="I219" s="25" t="n">
        <f aca="false">VLOOKUP(A219,All!A:AM,33,0)</f>
        <v>55.1167814229784</v>
      </c>
      <c r="J219" s="25" t="n">
        <f aca="false">VLOOKUP(A219,All!A:AM,32,0)</f>
        <v>48.9900000000002</v>
      </c>
      <c r="K219" s="26"/>
      <c r="L219" s="26"/>
      <c r="M219" s="28" t="str">
        <f aca="false">VLOOKUP(A219,'SYS Allocations'!A:G,2,0)</f>
        <v>P-Core</v>
      </c>
      <c r="N219" s="28" t="str">
        <f aca="false">VLOOKUP(A219,'SYS Allocations'!A:G,3,0)</f>
        <v>RA</v>
      </c>
      <c r="O219" s="28" t="str">
        <f aca="false">VLOOKUP(A219,'SYS Allocations'!A:G,4,0)</f>
        <v>PX</v>
      </c>
      <c r="P219" s="28" t="n">
        <f aca="false">VLOOKUP(A219,'SYS Allocations'!A:G,5,0)</f>
        <v>0</v>
      </c>
      <c r="Q219" s="28" t="str">
        <f aca="false">VLOOKUP(A219,'SYS Allocations'!A:G,6,0)</f>
        <v>OPEX</v>
      </c>
      <c r="R219" s="29" t="n">
        <f aca="false">VLOOKUP(A219,'SYS Allocations'!A:G,7,0)</f>
        <v>15.5</v>
      </c>
      <c r="S219" s="30"/>
    </row>
    <row r="220" customFormat="false" ht="13.15" hidden="true" customHeight="false" outlineLevel="0" collapsed="false">
      <c r="A220" s="32" t="s">
        <v>236</v>
      </c>
      <c r="B220" s="21" t="str">
        <f aca="false">VLOOKUP(A220,All!A:AM,2,0)</f>
        <v>LONDON</v>
      </c>
      <c r="C220" s="22" t="n">
        <f aca="false">VLOOKUP(A220,All!A:AM,11,0)</f>
        <v>45659</v>
      </c>
      <c r="D220" s="35"/>
      <c r="E220" s="24" t="n">
        <f aca="false">VLOOKUP(A220,All!A:AM,30,0)</f>
        <v>58.0062341260679</v>
      </c>
      <c r="F220" s="24" t="n">
        <f aca="false">VLOOKUP(A220,All!A:AM,28,0)</f>
        <v>65.72046</v>
      </c>
      <c r="G220" s="24" t="n">
        <f aca="false">VLOOKUP(A220,All!A:AM,31,0)</f>
        <v>37.5804375804376</v>
      </c>
      <c r="H220" s="24" t="n">
        <f aca="false">VLOOKUP(A220,All!A:AM,29,0)</f>
        <v>28.6452</v>
      </c>
      <c r="I220" s="25" t="n">
        <f aca="false">VLOOKUP(A220,All!A:AM,33,0)</f>
        <v>55.3927028486568</v>
      </c>
      <c r="J220" s="25" t="n">
        <f aca="false">VLOOKUP(A220,All!A:AM,32,0)</f>
        <v>59.0823000000001</v>
      </c>
      <c r="K220" s="26"/>
      <c r="L220" s="26"/>
      <c r="M220" s="28" t="str">
        <f aca="false">VLOOKUP(A220,'SYS Allocations'!A:G,2,0)</f>
        <v>P-Core</v>
      </c>
      <c r="N220" s="28" t="n">
        <f aca="false">VLOOKUP(A220,'SYS Allocations'!A:G,3,0)</f>
        <v>0</v>
      </c>
      <c r="O220" s="28" t="n">
        <f aca="false">VLOOKUP(A220,'SYS Allocations'!A:G,4,0)</f>
        <v>0</v>
      </c>
      <c r="P220" s="28" t="n">
        <f aca="false">VLOOKUP(A220,'SYS Allocations'!A:G,5,0)</f>
        <v>0</v>
      </c>
      <c r="Q220" s="28" t="n">
        <f aca="false">VLOOKUP(A220,'SYS Allocations'!A:G,6,0)</f>
        <v>0</v>
      </c>
      <c r="R220" s="29" t="n">
        <f aca="false">VLOOKUP(A220,'SYS Allocations'!A:G,7,0)</f>
        <v>6.55</v>
      </c>
      <c r="S220" s="30"/>
    </row>
    <row r="221" customFormat="false" ht="13.15" hidden="true" customHeight="false" outlineLevel="0" collapsed="false">
      <c r="A221" s="32" t="s">
        <v>237</v>
      </c>
      <c r="B221" s="21" t="str">
        <f aca="false">VLOOKUP(A221,All!A:AM,2,0)</f>
        <v>LONDON</v>
      </c>
      <c r="C221" s="22" t="n">
        <f aca="false">VLOOKUP(A221,All!A:AM,11,0)</f>
        <v>45659</v>
      </c>
      <c r="D221" s="35"/>
      <c r="E221" s="24" t="n">
        <f aca="false">VLOOKUP(A221,All!A:AM,30,0)</f>
        <v>57.8619256522743</v>
      </c>
      <c r="F221" s="24" t="n">
        <f aca="false">VLOOKUP(A221,All!A:AM,28,0)</f>
        <v>65.55696</v>
      </c>
      <c r="G221" s="24" t="n">
        <f aca="false">VLOOKUP(A221,All!A:AM,31,0)</f>
        <v>37.3659373659374</v>
      </c>
      <c r="H221" s="24" t="n">
        <f aca="false">VLOOKUP(A221,All!A:AM,29,0)</f>
        <v>28.4817</v>
      </c>
      <c r="I221" s="25" t="n">
        <f aca="false">VLOOKUP(A221,All!A:AM,33,0)</f>
        <v>55.2394131677243</v>
      </c>
      <c r="J221" s="25" t="n">
        <f aca="false">VLOOKUP(A221,All!A:AM,32,0)</f>
        <v>58.9188000000001</v>
      </c>
      <c r="K221" s="26"/>
      <c r="L221" s="26"/>
      <c r="M221" s="28" t="str">
        <f aca="false">VLOOKUP(A221,'SYS Allocations'!A:G,2,0)</f>
        <v>P-Core</v>
      </c>
      <c r="N221" s="28" t="n">
        <f aca="false">VLOOKUP(A221,'SYS Allocations'!A:G,3,0)</f>
        <v>0</v>
      </c>
      <c r="O221" s="28" t="n">
        <f aca="false">VLOOKUP(A221,'SYS Allocations'!A:G,4,0)</f>
        <v>0</v>
      </c>
      <c r="P221" s="28" t="n">
        <f aca="false">VLOOKUP(A221,'SYS Allocations'!A:G,5,0)</f>
        <v>0</v>
      </c>
      <c r="Q221" s="28" t="n">
        <f aca="false">VLOOKUP(A221,'SYS Allocations'!A:G,6,0)</f>
        <v>0</v>
      </c>
      <c r="R221" s="29" t="n">
        <f aca="false">VLOOKUP(A221,'SYS Allocations'!A:G,7,0)</f>
        <v>6.55</v>
      </c>
      <c r="S221" s="30"/>
    </row>
    <row r="222" customFormat="false" ht="13.15" hidden="true" customHeight="false" outlineLevel="0" collapsed="false">
      <c r="A222" s="20" t="s">
        <v>238</v>
      </c>
      <c r="B222" s="21" t="str">
        <f aca="false">VLOOKUP(A222,All!A:AM,2,0)</f>
        <v>NORTHERN HOME COUNTIES</v>
      </c>
      <c r="C222" s="22" t="n">
        <f aca="false">VLOOKUP(A222,All!A:AM,11,0)</f>
        <v>45659</v>
      </c>
      <c r="D222" s="35"/>
      <c r="E222" s="24" t="n">
        <f aca="false">VLOOKUP(A222,All!A:AM,30,0)</f>
        <v>69.2622950819672</v>
      </c>
      <c r="F222" s="24" t="n">
        <f aca="false">VLOOKUP(A222,All!A:AM,28,0)</f>
        <v>12.15786</v>
      </c>
      <c r="G222" s="24" t="n">
        <f aca="false">VLOOKUP(A222,All!A:AM,31,0)</f>
        <v>74.4976816074189</v>
      </c>
      <c r="H222" s="24" t="n">
        <f aca="false">VLOOKUP(A222,All!A:AM,29,0)</f>
        <v>15.7614</v>
      </c>
      <c r="I222" s="25" t="n">
        <f aca="false">VLOOKUP(A222,All!A:AM,33,0)</f>
        <v>58.2637148426624</v>
      </c>
      <c r="J222" s="25" t="n">
        <f aca="false">VLOOKUP(A222,All!A:AM,32,0)</f>
        <v>7.53210000000002</v>
      </c>
      <c r="K222" s="26" t="n">
        <f aca="false">VLOOKUP(A222,All!A:AM,39,0)</f>
        <v>52.04</v>
      </c>
      <c r="L222" s="26" t="n">
        <f aca="false">VLOOKUP(A222,All!A:AM,38,0)</f>
        <v>5.8545</v>
      </c>
      <c r="M222" s="28" t="n">
        <f aca="false">VLOOKUP(A222,'SYS Allocations'!A:G,2,0)</f>
        <v>0</v>
      </c>
      <c r="N222" s="28" t="n">
        <f aca="false">VLOOKUP(A222,'SYS Allocations'!A:G,3,0)</f>
        <v>0</v>
      </c>
      <c r="O222" s="28" t="n">
        <f aca="false">VLOOKUP(A222,'SYS Allocations'!A:G,4,0)</f>
        <v>0</v>
      </c>
      <c r="P222" s="28" t="n">
        <f aca="false">VLOOKUP(A222,'SYS Allocations'!A:G,5,0)</f>
        <v>0</v>
      </c>
      <c r="Q222" s="28" t="n">
        <f aca="false">VLOOKUP(A222,'SYS Allocations'!A:G,6,0)</f>
        <v>0</v>
      </c>
      <c r="R222" s="29" t="n">
        <f aca="false">VLOOKUP(A222,'SYS Allocations'!A:G,7,0)</f>
        <v>0</v>
      </c>
      <c r="S222" s="30"/>
    </row>
    <row r="223" customFormat="false" ht="13.15" hidden="true" customHeight="false" outlineLevel="0" collapsed="false">
      <c r="A223" s="20" t="s">
        <v>239</v>
      </c>
      <c r="B223" s="21" t="str">
        <f aca="false">VLOOKUP(A223,All!A:AM,2,0)</f>
        <v>SCOTLAND</v>
      </c>
      <c r="C223" s="22" t="n">
        <f aca="false">VLOOKUP(A223,All!A:AM,11,0)</f>
        <v>45615</v>
      </c>
      <c r="D223" s="35"/>
      <c r="E223" s="24" t="n">
        <f aca="false">VLOOKUP(A223,All!A:AM,30,0)</f>
        <v>66.6666666666667</v>
      </c>
      <c r="F223" s="24" t="n">
        <f aca="false">VLOOKUP(A223,All!A:AM,28,0)</f>
        <v>10.9</v>
      </c>
      <c r="G223" s="24" t="n">
        <f aca="false">VLOOKUP(A223,All!A:AM,31,0)</f>
        <v>60.9375</v>
      </c>
      <c r="H223" s="24" t="n">
        <f aca="false">VLOOKUP(A223,All!A:AM,29,0)</f>
        <v>8.502</v>
      </c>
      <c r="I223" s="25" t="n">
        <f aca="false">VLOOKUP(A223,All!A:AM,33,0)</f>
        <v>46.0865780310223</v>
      </c>
      <c r="J223" s="25" t="n">
        <f aca="false">VLOOKUP(A223,All!A:AM,32,0)</f>
        <v>4.65879999999998</v>
      </c>
      <c r="K223" s="26" t="n">
        <f aca="false">VLOOKUP(A223,All!A:AM,39,0)</f>
        <v>63.6666666666667</v>
      </c>
      <c r="L223" s="26" t="n">
        <f aca="false">VLOOKUP(A223,All!A:AM,38,0)</f>
        <v>9.55</v>
      </c>
      <c r="M223" s="28" t="n">
        <f aca="false">VLOOKUP(A223,'SYS Allocations'!A:G,2,0)</f>
        <v>0</v>
      </c>
      <c r="N223" s="28" t="n">
        <f aca="false">VLOOKUP(A223,'SYS Allocations'!A:G,3,0)</f>
        <v>0</v>
      </c>
      <c r="O223" s="28" t="n">
        <f aca="false">VLOOKUP(A223,'SYS Allocations'!A:G,4,0)</f>
        <v>0</v>
      </c>
      <c r="P223" s="28" t="n">
        <f aca="false">VLOOKUP(A223,'SYS Allocations'!A:G,5,0)</f>
        <v>0</v>
      </c>
      <c r="Q223" s="28" t="n">
        <f aca="false">VLOOKUP(A223,'SYS Allocations'!A:G,6,0)</f>
        <v>0</v>
      </c>
      <c r="R223" s="29" t="n">
        <f aca="false">VLOOKUP(A223,'SYS Allocations'!A:G,7,0)</f>
        <v>0</v>
      </c>
      <c r="S223" s="30"/>
    </row>
    <row r="224" customFormat="false" ht="13.15" hidden="true" customHeight="false" outlineLevel="0" collapsed="false">
      <c r="A224" s="20" t="s">
        <v>240</v>
      </c>
      <c r="B224" s="21" t="str">
        <f aca="false">VLOOKUP(A224,All!A:AM,2,0)</f>
        <v>WALES</v>
      </c>
      <c r="C224" s="22" t="n">
        <f aca="false">VLOOKUP(A224,All!A:AM,11,0)</f>
        <v>45659</v>
      </c>
      <c r="D224" s="35"/>
      <c r="E224" s="24" t="n">
        <f aca="false">VLOOKUP(A224,All!A:AM,30,0)</f>
        <v>54.3813427010148</v>
      </c>
      <c r="F224" s="24" t="n">
        <f aca="false">VLOOKUP(A224,All!A:AM,28,0)</f>
        <v>12.14914</v>
      </c>
      <c r="G224" s="24" t="n">
        <f aca="false">VLOOKUP(A224,All!A:AM,31,0)</f>
        <v>39.3644617380026</v>
      </c>
      <c r="H224" s="24" t="n">
        <f aca="false">VLOOKUP(A224,All!A:AM,29,0)</f>
        <v>6.6163</v>
      </c>
      <c r="I224" s="25" t="n">
        <f aca="false">VLOOKUP(A224,All!A:AM,33,0)</f>
        <v>41.4604585975553</v>
      </c>
      <c r="J224" s="25" t="n">
        <f aca="false">VLOOKUP(A224,All!A:AM,32,0)</f>
        <v>7.21809999999998</v>
      </c>
      <c r="K224" s="26" t="n">
        <f aca="false">VLOOKUP(A224,All!A:AM,39,0)</f>
        <v>66.0283333333333</v>
      </c>
      <c r="L224" s="26" t="n">
        <f aca="false">VLOOKUP(A224,All!A:AM,38,0)</f>
        <v>19.8085</v>
      </c>
      <c r="M224" s="28" t="n">
        <f aca="false">VLOOKUP(A224,'SYS Allocations'!A:G,2,0)</f>
        <v>0</v>
      </c>
      <c r="N224" s="28" t="str">
        <f aca="false">VLOOKUP(A224,'SYS Allocations'!A:G,3,0)</f>
        <v>RA</v>
      </c>
      <c r="O224" s="28" t="n">
        <f aca="false">VLOOKUP(A224,'SYS Allocations'!A:G,4,0)</f>
        <v>0</v>
      </c>
      <c r="P224" s="28" t="n">
        <f aca="false">VLOOKUP(A224,'SYS Allocations'!A:G,5,0)</f>
        <v>0</v>
      </c>
      <c r="Q224" s="28" t="n">
        <f aca="false">VLOOKUP(A224,'SYS Allocations'!A:G,6,0)</f>
        <v>0</v>
      </c>
      <c r="R224" s="29" t="n">
        <f aca="false">VLOOKUP(A224,'SYS Allocations'!A:G,7,0)</f>
        <v>3.4</v>
      </c>
      <c r="S224" s="30"/>
    </row>
    <row r="225" customFormat="false" ht="13.15" hidden="true" customHeight="false" outlineLevel="0" collapsed="false">
      <c r="A225" s="20" t="s">
        <v>241</v>
      </c>
      <c r="B225" s="21" t="str">
        <f aca="false">VLOOKUP(A225,All!A:AM,2,0)</f>
        <v>MIDLANDS</v>
      </c>
      <c r="C225" s="22" t="n">
        <f aca="false">VLOOKUP(A225,All!A:AM,11,0)</f>
        <v>45604</v>
      </c>
      <c r="D225" s="23"/>
      <c r="E225" s="24" t="n">
        <f aca="false">VLOOKUP(A225,All!A:AM,30,0)</f>
        <v>63.9344262295082</v>
      </c>
      <c r="F225" s="24" t="n">
        <f aca="false">VLOOKUP(A225,All!A:AM,28,0)</f>
        <v>25.506</v>
      </c>
      <c r="G225" s="24" t="n">
        <f aca="false">VLOOKUP(A225,All!A:AM,31,0)</f>
        <v>57.2400388726919</v>
      </c>
      <c r="H225" s="24" t="n">
        <f aca="false">VLOOKUP(A225,All!A:AM,29,0)</f>
        <v>19.2603</v>
      </c>
      <c r="I225" s="25" t="n">
        <f aca="false">VLOOKUP(A225,All!A:AM,33,0)</f>
        <v>56.9138996693977</v>
      </c>
      <c r="J225" s="25" t="n">
        <f aca="false">VLOOKUP(A225,All!A:AM,32,0)</f>
        <v>19.0056</v>
      </c>
      <c r="K225" s="26" t="n">
        <f aca="false">VLOOKUP(A225,All!A:AM,39,0)</f>
        <v>68.4213991769547</v>
      </c>
      <c r="L225" s="26" t="n">
        <f aca="false">VLOOKUP(A225,All!A:AM,38,0)</f>
        <v>31.1745</v>
      </c>
      <c r="M225" s="28" t="n">
        <f aca="false">VLOOKUP(A225,'SYS Allocations'!A:G,2,0)</f>
        <v>0</v>
      </c>
      <c r="N225" s="28" t="n">
        <f aca="false">VLOOKUP(A225,'SYS Allocations'!A:G,3,0)</f>
        <v>0</v>
      </c>
      <c r="O225" s="28" t="n">
        <f aca="false">VLOOKUP(A225,'SYS Allocations'!A:G,4,0)</f>
        <v>0</v>
      </c>
      <c r="P225" s="28" t="n">
        <f aca="false">VLOOKUP(A225,'SYS Allocations'!A:G,5,0)</f>
        <v>0</v>
      </c>
      <c r="Q225" s="28" t="n">
        <f aca="false">VLOOKUP(A225,'SYS Allocations'!A:G,6,0)</f>
        <v>0</v>
      </c>
      <c r="R225" s="29" t="n">
        <f aca="false">VLOOKUP(A225,'SYS Allocations'!A:G,7,0)</f>
        <v>3</v>
      </c>
      <c r="S225" s="30"/>
    </row>
    <row r="226" customFormat="false" ht="13.15" hidden="true" customHeight="false" outlineLevel="0" collapsed="false">
      <c r="A226" s="34" t="s">
        <v>242</v>
      </c>
      <c r="B226" s="21" t="str">
        <f aca="false">VLOOKUP(A226,All!A:AM,2,0)</f>
        <v>LONDON</v>
      </c>
      <c r="C226" s="22" t="n">
        <f aca="false">VLOOKUP(A226,All!A:AM,11,0)</f>
        <v>45335</v>
      </c>
      <c r="D226" s="23"/>
      <c r="E226" s="24" t="n">
        <f aca="false">VLOOKUP(A226,All!A:AM,30,0)</f>
        <v>48.5</v>
      </c>
      <c r="F226" s="24" t="n">
        <f aca="false">VLOOKUP(A226,All!A:AM,28,0)</f>
        <v>5.2865</v>
      </c>
      <c r="G226" s="24" t="n">
        <f aca="false">VLOOKUP(A226,All!A:AM,31,0)</f>
        <v>14.8760260228121</v>
      </c>
      <c r="H226" s="24" t="n">
        <f aca="false">VLOOKUP(A226,All!A:AM,29,0)</f>
        <v>0.980999455</v>
      </c>
      <c r="I226" s="25" t="n">
        <f aca="false">VLOOKUP(A226,All!A:AM,33,0)</f>
        <v>60.0178062678064</v>
      </c>
      <c r="J226" s="25" t="n">
        <f aca="false">VLOOKUP(A226,All!A:AM,32,0)</f>
        <v>8.42650000000002</v>
      </c>
      <c r="K226" s="26" t="n">
        <f aca="false">VLOOKUP(A226,All!A:AM,39,0)</f>
        <v>44.8588235294118</v>
      </c>
      <c r="L226" s="26" t="n">
        <f aca="false">VLOOKUP(A226,All!A:AM,38,0)</f>
        <v>11.439</v>
      </c>
      <c r="M226" s="28" t="n">
        <f aca="false">VLOOKUP(A226,'SYS Allocations'!A:G,2,0)</f>
        <v>0</v>
      </c>
      <c r="N226" s="28" t="n">
        <f aca="false">VLOOKUP(A226,'SYS Allocations'!A:G,3,0)</f>
        <v>0</v>
      </c>
      <c r="O226" s="28" t="n">
        <f aca="false">VLOOKUP(A226,'SYS Allocations'!A:G,4,0)</f>
        <v>0</v>
      </c>
      <c r="P226" s="28" t="n">
        <f aca="false">VLOOKUP(A226,'SYS Allocations'!A:G,5,0)</f>
        <v>0</v>
      </c>
      <c r="Q226" s="28" t="n">
        <f aca="false">VLOOKUP(A226,'SYS Allocations'!A:G,6,0)</f>
        <v>0</v>
      </c>
      <c r="R226" s="29" t="n">
        <f aca="false">VLOOKUP(A226,'SYS Allocations'!A:G,7,0)</f>
        <v>1.1</v>
      </c>
      <c r="S226" s="30"/>
    </row>
    <row r="227" customFormat="false" ht="13.15" hidden="true" customHeight="false" outlineLevel="0" collapsed="false">
      <c r="A227" s="34" t="s">
        <v>243</v>
      </c>
      <c r="B227" s="21" t="str">
        <f aca="false">VLOOKUP(A227,All!A:AM,2,0)</f>
        <v>LONDON</v>
      </c>
      <c r="C227" s="22" t="n">
        <f aca="false">VLOOKUP(A227,All!A:AM,11,0)</f>
        <v>45582</v>
      </c>
      <c r="D227" s="23"/>
      <c r="E227" s="24" t="n">
        <f aca="false">VLOOKUP(A227,All!A:AM,30,0)</f>
        <v>33</v>
      </c>
      <c r="F227" s="24" t="n">
        <f aca="false">VLOOKUP(A227,All!A:AM,28,0)</f>
        <v>3.597</v>
      </c>
      <c r="G227" s="24" t="n">
        <f aca="false">VLOOKUP(A227,All!A:AM,31,0)</f>
        <v>-10.7438108052736</v>
      </c>
      <c r="H227" s="24" t="n">
        <f aca="false">VLOOKUP(A227,All!A:AM,29,0)</f>
        <v>-0.708500545</v>
      </c>
      <c r="I227" s="25" t="n">
        <f aca="false">VLOOKUP(A227,All!A:AM,33,0)</f>
        <v>47.9843304843306</v>
      </c>
      <c r="J227" s="25" t="n">
        <f aca="false">VLOOKUP(A227,All!A:AM,32,0)</f>
        <v>6.73700000000002</v>
      </c>
      <c r="K227" s="26"/>
      <c r="L227" s="26"/>
      <c r="M227" s="28" t="n">
        <f aca="false">VLOOKUP(A227,'SYS Allocations'!A:G,2,0)</f>
        <v>0</v>
      </c>
      <c r="N227" s="28" t="n">
        <f aca="false">VLOOKUP(A227,'SYS Allocations'!A:G,3,0)</f>
        <v>0</v>
      </c>
      <c r="O227" s="28" t="n">
        <f aca="false">VLOOKUP(A227,'SYS Allocations'!A:G,4,0)</f>
        <v>0</v>
      </c>
      <c r="P227" s="28" t="n">
        <f aca="false">VLOOKUP(A227,'SYS Allocations'!A:G,5,0)</f>
        <v>0</v>
      </c>
      <c r="Q227" s="28" t="n">
        <f aca="false">VLOOKUP(A227,'SYS Allocations'!A:G,6,0)</f>
        <v>0</v>
      </c>
      <c r="R227" s="29" t="n">
        <f aca="false">VLOOKUP(A227,'SYS Allocations'!A:G,7,0)</f>
        <v>0</v>
      </c>
      <c r="S227" s="30"/>
    </row>
    <row r="228" customFormat="false" ht="13.15" hidden="true" customHeight="false" outlineLevel="0" collapsed="false">
      <c r="A228" s="34" t="s">
        <v>244</v>
      </c>
      <c r="B228" s="21" t="str">
        <f aca="false">VLOOKUP(A228,All!A:AM,2,0)</f>
        <v>LONDON</v>
      </c>
      <c r="C228" s="22" t="n">
        <f aca="false">VLOOKUP(A228,All!A:AM,11,0)</f>
        <v>45324</v>
      </c>
      <c r="D228" s="23"/>
      <c r="E228" s="24" t="n">
        <f aca="false">VLOOKUP(A228,All!A:AM,30,0)</f>
        <v>90</v>
      </c>
      <c r="F228" s="24" t="n">
        <f aca="false">VLOOKUP(A228,All!A:AM,28,0)</f>
        <v>9.81</v>
      </c>
      <c r="G228" s="24" t="n">
        <f aca="false">VLOOKUP(A228,All!A:AM,31,0)</f>
        <v>78.9915939905371</v>
      </c>
      <c r="H228" s="24" t="n">
        <f aca="false">VLOOKUP(A228,All!A:AM,29,0)</f>
        <v>4.098399346</v>
      </c>
      <c r="I228" s="25" t="n">
        <f aca="false">VLOOKUP(A228,All!A:AM,33,0)</f>
        <v>93.5303893637227</v>
      </c>
      <c r="J228" s="25" t="n">
        <f aca="false">VLOOKUP(A228,All!A:AM,32,0)</f>
        <v>15.758</v>
      </c>
      <c r="K228" s="26"/>
      <c r="L228" s="26"/>
      <c r="M228" s="28" t="n">
        <f aca="false">VLOOKUP(A228,'SYS Allocations'!A:G,2,0)</f>
        <v>0</v>
      </c>
      <c r="N228" s="28" t="n">
        <f aca="false">VLOOKUP(A228,'SYS Allocations'!A:G,3,0)</f>
        <v>0</v>
      </c>
      <c r="O228" s="28" t="n">
        <f aca="false">VLOOKUP(A228,'SYS Allocations'!A:G,4,0)</f>
        <v>0</v>
      </c>
      <c r="P228" s="28" t="n">
        <f aca="false">VLOOKUP(A228,'SYS Allocations'!A:G,5,0)</f>
        <v>0</v>
      </c>
      <c r="Q228" s="28" t="n">
        <f aca="false">VLOOKUP(A228,'SYS Allocations'!A:G,6,0)</f>
        <v>0</v>
      </c>
      <c r="R228" s="29" t="n">
        <f aca="false">VLOOKUP(A228,'SYS Allocations'!A:G,7,0)</f>
        <v>0</v>
      </c>
      <c r="S228" s="30"/>
    </row>
    <row r="229" customFormat="false" ht="13.15" hidden="true" customHeight="false" outlineLevel="0" collapsed="false">
      <c r="A229" s="34" t="s">
        <v>245</v>
      </c>
      <c r="B229" s="21" t="str">
        <f aca="false">VLOOKUP(A229,All!A:AM,2,0)</f>
        <v>LONDON</v>
      </c>
      <c r="C229" s="22" t="n">
        <f aca="false">VLOOKUP(A229,All!A:AM,11,0)</f>
        <v>45343</v>
      </c>
      <c r="D229" s="35"/>
      <c r="E229" s="24" t="n">
        <f aca="false">VLOOKUP(A229,All!A:AM,30,0)</f>
        <v>99.1666666666667</v>
      </c>
      <c r="F229" s="24" t="n">
        <f aca="false">VLOOKUP(A229,All!A:AM,28,0)</f>
        <v>6.4855</v>
      </c>
      <c r="G229" s="24" t="n">
        <f aca="false">VLOOKUP(A229,All!A:AM,31,0)</f>
        <v>97.863247497991</v>
      </c>
      <c r="H229" s="24" t="n">
        <f aca="false">VLOOKUP(A229,All!A:AM,29,0)</f>
        <v>2.496099564</v>
      </c>
      <c r="I229" s="25" t="n">
        <f aca="false">VLOOKUP(A229,All!A:AM,33,0)</f>
        <v>99.5147792022792</v>
      </c>
      <c r="J229" s="25" t="n">
        <f aca="false">VLOOKUP(A229,All!A:AM,32,0)</f>
        <v>11.1775</v>
      </c>
      <c r="K229" s="26"/>
      <c r="L229" s="26"/>
      <c r="M229" s="28" t="n">
        <f aca="false">VLOOKUP(A229,'SYS Allocations'!A:G,2,0)</f>
        <v>0</v>
      </c>
      <c r="N229" s="28" t="n">
        <f aca="false">VLOOKUP(A229,'SYS Allocations'!A:G,3,0)</f>
        <v>0</v>
      </c>
      <c r="O229" s="28" t="n">
        <f aca="false">VLOOKUP(A229,'SYS Allocations'!A:G,4,0)</f>
        <v>0</v>
      </c>
      <c r="P229" s="28" t="n">
        <f aca="false">VLOOKUP(A229,'SYS Allocations'!A:G,5,0)</f>
        <v>0</v>
      </c>
      <c r="Q229" s="28" t="n">
        <f aca="false">VLOOKUP(A229,'SYS Allocations'!A:G,6,0)</f>
        <v>0</v>
      </c>
      <c r="R229" s="29" t="n">
        <f aca="false">VLOOKUP(A229,'SYS Allocations'!A:G,7,0)</f>
        <v>0</v>
      </c>
      <c r="S229" s="30"/>
    </row>
    <row r="230" customFormat="false" ht="13.15" hidden="true" customHeight="false" outlineLevel="0" collapsed="false">
      <c r="A230" s="20" t="s">
        <v>246</v>
      </c>
      <c r="B230" s="21" t="str">
        <f aca="false">VLOOKUP(A230,All!A:AM,2,0)</f>
        <v>LONDON</v>
      </c>
      <c r="C230" s="22" t="n">
        <f aca="false">VLOOKUP(A230,All!A:AM,11,0)</f>
        <v>45600</v>
      </c>
      <c r="D230" s="35"/>
      <c r="E230" s="24" t="n">
        <f aca="false">VLOOKUP(A230,All!A:AM,30,0)</f>
        <v>40.7407407407407</v>
      </c>
      <c r="F230" s="24" t="n">
        <f aca="false">VLOOKUP(A230,All!A:AM,28,0)</f>
        <v>5.995</v>
      </c>
      <c r="G230" s="24" t="n">
        <f aca="false">VLOOKUP(A230,All!A:AM,31,0)</f>
        <v>23.6276849642005</v>
      </c>
      <c r="H230" s="24" t="n">
        <f aca="false">VLOOKUP(A230,All!A:AM,29,0)</f>
        <v>2.69775</v>
      </c>
      <c r="I230" s="25" t="n">
        <f aca="false">VLOOKUP(A230,All!A:AM,33,0)</f>
        <v>8.08203467584164</v>
      </c>
      <c r="J230" s="25" t="n">
        <f aca="false">VLOOKUP(A230,All!A:AM,32,0)</f>
        <v>0.766720000000005</v>
      </c>
      <c r="K230" s="26" t="n">
        <f aca="false">VLOOKUP(A230,All!A:AM,39,0)</f>
        <v>35.4074074074074</v>
      </c>
      <c r="L230" s="26" t="n">
        <f aca="false">VLOOKUP(A230,All!A:AM,38,0)</f>
        <v>4.78</v>
      </c>
      <c r="M230" s="28" t="n">
        <f aca="false">VLOOKUP(A230,'SYS Allocations'!A:G,2,0)</f>
        <v>0</v>
      </c>
      <c r="N230" s="28" t="n">
        <f aca="false">VLOOKUP(A230,'SYS Allocations'!A:G,3,0)</f>
        <v>0</v>
      </c>
      <c r="O230" s="28" t="n">
        <f aca="false">VLOOKUP(A230,'SYS Allocations'!A:G,4,0)</f>
        <v>0</v>
      </c>
      <c r="P230" s="28" t="n">
        <f aca="false">VLOOKUP(A230,'SYS Allocations'!A:G,5,0)</f>
        <v>0</v>
      </c>
      <c r="Q230" s="28" t="n">
        <f aca="false">VLOOKUP(A230,'SYS Allocations'!A:G,6,0)</f>
        <v>0</v>
      </c>
      <c r="R230" s="29" t="n">
        <f aca="false">VLOOKUP(A230,'SYS Allocations'!A:G,7,0)</f>
        <v>0</v>
      </c>
      <c r="S230" s="30"/>
    </row>
    <row r="231" customFormat="false" ht="13.15" hidden="true" customHeight="false" outlineLevel="0" collapsed="false">
      <c r="A231" s="33" t="s">
        <v>247</v>
      </c>
      <c r="B231" s="21" t="str">
        <f aca="false">VLOOKUP(A231,All!A:AM,2,0)</f>
        <v>NORTH EAST</v>
      </c>
      <c r="C231" s="22" t="n">
        <f aca="false">VLOOKUP(A231,All!A:AM,11,0)</f>
        <v>45659</v>
      </c>
      <c r="D231" s="35"/>
      <c r="E231" s="24" t="n">
        <f aca="false">VLOOKUP(A231,All!A:AM,30,0)</f>
        <v>60.1775956284153</v>
      </c>
      <c r="F231" s="24" t="n">
        <f aca="false">VLOOKUP(A231,All!A:AM,28,0)</f>
        <v>48.0145</v>
      </c>
      <c r="G231" s="24" t="n">
        <f aca="false">VLOOKUP(A231,All!A:AM,31,0)</f>
        <v>52.6016260162602</v>
      </c>
      <c r="H231" s="24" t="n">
        <f aca="false">VLOOKUP(A231,All!A:AM,29,0)</f>
        <v>35.2615</v>
      </c>
      <c r="I231" s="25" t="n">
        <f aca="false">VLOOKUP(A231,All!A:AM,33,0)</f>
        <v>40.4214106775873</v>
      </c>
      <c r="J231" s="25" t="n">
        <f aca="false">VLOOKUP(A231,All!A:AM,32,0)</f>
        <v>21.5569</v>
      </c>
      <c r="K231" s="26" t="n">
        <f aca="false">VLOOKUP(A231,All!A:AM,39,0)</f>
        <v>29.3021346469622</v>
      </c>
      <c r="L231" s="26" t="n">
        <f aca="false">VLOOKUP(A231,All!A:AM,38,0)</f>
        <v>26.7675</v>
      </c>
      <c r="M231" s="28" t="str">
        <f aca="false">VLOOKUP(A231,'SYS Allocations'!A:G,2,0)</f>
        <v>P-Core</v>
      </c>
      <c r="N231" s="28" t="n">
        <f aca="false">VLOOKUP(A231,'SYS Allocations'!A:G,3,0)</f>
        <v>0</v>
      </c>
      <c r="O231" s="28" t="str">
        <f aca="false">VLOOKUP(A231,'SYS Allocations'!A:G,4,0)</f>
        <v>PX</v>
      </c>
      <c r="P231" s="28" t="n">
        <f aca="false">VLOOKUP(A231,'SYS Allocations'!A:G,5,0)</f>
        <v>0</v>
      </c>
      <c r="Q231" s="28" t="str">
        <f aca="false">VLOOKUP(A231,'SYS Allocations'!A:G,6,0)</f>
        <v>OPEX</v>
      </c>
      <c r="R231" s="29" t="n">
        <f aca="false">VLOOKUP(A231,'SYS Allocations'!A:G,7,0)</f>
        <v>9.805</v>
      </c>
      <c r="S231" s="30"/>
    </row>
    <row r="232" customFormat="false" ht="13.15" hidden="true" customHeight="false" outlineLevel="0" collapsed="false">
      <c r="A232" s="33" t="s">
        <v>248</v>
      </c>
      <c r="B232" s="21" t="str">
        <f aca="false">VLOOKUP(A232,All!A:AM,2,0)</f>
        <v>NORTH EAST</v>
      </c>
      <c r="C232" s="22" t="n">
        <f aca="false">VLOOKUP(A232,All!A:AM,11,0)</f>
        <v>45659</v>
      </c>
      <c r="D232" s="35"/>
      <c r="E232" s="24" t="n">
        <f aca="false">VLOOKUP(A232,All!A:AM,30,0)</f>
        <v>58.879781420765</v>
      </c>
      <c r="F232" s="24" t="n">
        <f aca="false">VLOOKUP(A232,All!A:AM,28,0)</f>
        <v>46.979</v>
      </c>
      <c r="G232" s="24" t="n">
        <f aca="false">VLOOKUP(A232,All!A:AM,31,0)</f>
        <v>51.0569105691057</v>
      </c>
      <c r="H232" s="24" t="n">
        <f aca="false">VLOOKUP(A232,All!A:AM,29,0)</f>
        <v>34.226</v>
      </c>
      <c r="I232" s="25" t="n">
        <f aca="false">VLOOKUP(A232,All!A:AM,33,0)</f>
        <v>38.4797413857762</v>
      </c>
      <c r="J232" s="25" t="n">
        <f aca="false">VLOOKUP(A232,All!A:AM,32,0)</f>
        <v>20.5214</v>
      </c>
      <c r="K232" s="26"/>
      <c r="L232" s="26"/>
      <c r="M232" s="28" t="n">
        <f aca="false">VLOOKUP(A232,'SYS Allocations'!A:G,2,0)</f>
        <v>0</v>
      </c>
      <c r="N232" s="28" t="n">
        <f aca="false">VLOOKUP(A232,'SYS Allocations'!A:G,3,0)</f>
        <v>0</v>
      </c>
      <c r="O232" s="28" t="n">
        <f aca="false">VLOOKUP(A232,'SYS Allocations'!A:G,4,0)</f>
        <v>0</v>
      </c>
      <c r="P232" s="28" t="n">
        <f aca="false">VLOOKUP(A232,'SYS Allocations'!A:G,5,0)</f>
        <v>0</v>
      </c>
      <c r="Q232" s="28" t="n">
        <f aca="false">VLOOKUP(A232,'SYS Allocations'!A:G,6,0)</f>
        <v>0</v>
      </c>
      <c r="R232" s="29" t="n">
        <f aca="false">VLOOKUP(A232,'SYS Allocations'!A:G,7,0)</f>
        <v>8.205</v>
      </c>
      <c r="S232" s="30"/>
    </row>
    <row r="233" customFormat="false" ht="13.15" hidden="true" customHeight="false" outlineLevel="0" collapsed="false">
      <c r="A233" s="20" t="s">
        <v>249</v>
      </c>
      <c r="B233" s="21" t="str">
        <f aca="false">VLOOKUP(A233,All!A:AM,2,0)</f>
        <v>SCOTTISH HIGHLANDS &amp; ISLANDS </v>
      </c>
      <c r="C233" s="22" t="n">
        <f aca="false">VLOOKUP(A233,All!A:AM,11,0)</f>
        <v>45596</v>
      </c>
      <c r="D233" s="35"/>
      <c r="E233" s="24" t="n">
        <f aca="false">VLOOKUP(A233,All!A:AM,30,0)</f>
        <v>65</v>
      </c>
      <c r="F233" s="24" t="n">
        <f aca="false">VLOOKUP(A233,All!A:AM,28,0)</f>
        <v>2.1255</v>
      </c>
      <c r="G233" s="24" t="n">
        <f aca="false">VLOOKUP(A233,All!A:AM,31,0)</f>
        <v>58.8235294117647</v>
      </c>
      <c r="H233" s="24" t="n">
        <f aca="false">VLOOKUP(A233,All!A:AM,29,0)</f>
        <v>1.635</v>
      </c>
      <c r="I233" s="25" t="n">
        <f aca="false">VLOOKUP(A233,All!A:AM,33,0)</f>
        <v>60.9246968207145</v>
      </c>
      <c r="J233" s="25" t="n">
        <f aca="false">VLOOKUP(A233,All!A:AM,32,0)</f>
        <v>1.78446</v>
      </c>
      <c r="K233" s="26" t="n">
        <f aca="false">VLOOKUP(A233,All!A:AM,39,0)</f>
        <v>69.48</v>
      </c>
      <c r="L233" s="26" t="n">
        <f aca="false">VLOOKUP(A233,All!A:AM,38,0)</f>
        <v>2.6055</v>
      </c>
      <c r="M233" s="28" t="n">
        <f aca="false">VLOOKUP(A233,'SYS Allocations'!A:G,2,0)</f>
        <v>0</v>
      </c>
      <c r="N233" s="28" t="n">
        <f aca="false">VLOOKUP(A233,'SYS Allocations'!A:G,3,0)</f>
        <v>0</v>
      </c>
      <c r="O233" s="28" t="n">
        <f aca="false">VLOOKUP(A233,'SYS Allocations'!A:G,4,0)</f>
        <v>0</v>
      </c>
      <c r="P233" s="28" t="n">
        <f aca="false">VLOOKUP(A233,'SYS Allocations'!A:G,5,0)</f>
        <v>0</v>
      </c>
      <c r="Q233" s="28" t="n">
        <f aca="false">VLOOKUP(A233,'SYS Allocations'!A:G,6,0)</f>
        <v>0</v>
      </c>
      <c r="R233" s="29" t="n">
        <f aca="false">VLOOKUP(A233,'SYS Allocations'!A:G,7,0)</f>
        <v>0</v>
      </c>
      <c r="S233" s="30"/>
    </row>
    <row r="234" customFormat="false" ht="13.15" hidden="true" customHeight="false" outlineLevel="0" collapsed="false">
      <c r="A234" s="42" t="s">
        <v>250</v>
      </c>
      <c r="B234" s="21" t="str">
        <f aca="false">VLOOKUP(A234,All!A:AM,2,0)</f>
        <v>SOUTH WEST</v>
      </c>
      <c r="C234" s="22" t="n">
        <f aca="false">VLOOKUP(A234,All!A:AM,11,0)</f>
        <v>45659</v>
      </c>
      <c r="D234" s="23"/>
      <c r="E234" s="24" t="n">
        <f aca="false">VLOOKUP(A234,All!A:AM,30,0)</f>
        <v>84.5498308613063</v>
      </c>
      <c r="F234" s="24" t="n">
        <f aca="false">VLOOKUP(A234,All!A:AM,28,0)</f>
        <v>28.33346</v>
      </c>
      <c r="G234" s="24" t="n">
        <f aca="false">VLOOKUP(A234,All!A:AM,31,0)</f>
        <v>80.8699154248893</v>
      </c>
      <c r="H234" s="24" t="n">
        <f aca="false">VLOOKUP(A234,All!A:AM,29,0)</f>
        <v>21.8872</v>
      </c>
      <c r="I234" s="25" t="n">
        <f aca="false">VLOOKUP(A234,All!A:AM,33,0)</f>
        <v>77.4718915343915</v>
      </c>
      <c r="J234" s="25" t="n">
        <f aca="false">VLOOKUP(A234,All!A:AM,32,0)</f>
        <v>17.8049</v>
      </c>
      <c r="K234" s="26" t="n">
        <f aca="false">VLOOKUP(A234,All!A:AM,39,0)</f>
        <v>84.6592592592593</v>
      </c>
      <c r="L234" s="26" t="n">
        <f aca="false">VLOOKUP(A234,All!A:AM,38,0)</f>
        <v>28.5725</v>
      </c>
      <c r="M234" s="28" t="n">
        <f aca="false">VLOOKUP(A234,'SYS Allocations'!A:G,2,0)</f>
        <v>0</v>
      </c>
      <c r="N234" s="28" t="n">
        <f aca="false">VLOOKUP(A234,'SYS Allocations'!A:G,3,0)</f>
        <v>0</v>
      </c>
      <c r="O234" s="28" t="n">
        <f aca="false">VLOOKUP(A234,'SYS Allocations'!A:G,4,0)</f>
        <v>0</v>
      </c>
      <c r="P234" s="28" t="n">
        <f aca="false">VLOOKUP(A234,'SYS Allocations'!A:G,5,0)</f>
        <v>0</v>
      </c>
      <c r="Q234" s="28" t="n">
        <f aca="false">VLOOKUP(A234,'SYS Allocations'!A:G,6,0)</f>
        <v>0</v>
      </c>
      <c r="R234" s="29" t="n">
        <f aca="false">VLOOKUP(A234,'SYS Allocations'!A:G,7,0)</f>
        <v>7.5</v>
      </c>
      <c r="S234" s="30"/>
    </row>
    <row r="235" customFormat="false" ht="13.15" hidden="true" customHeight="false" outlineLevel="0" collapsed="false">
      <c r="A235" s="42" t="s">
        <v>251</v>
      </c>
      <c r="B235" s="21" t="str">
        <f aca="false">VLOOKUP(A235,All!A:AM,2,0)</f>
        <v>SOUTH WEST</v>
      </c>
      <c r="C235" s="22" t="n">
        <f aca="false">VLOOKUP(A235,All!A:AM,11,0)</f>
        <v>45659</v>
      </c>
      <c r="D235" s="23"/>
      <c r="E235" s="24" t="n">
        <f aca="false">VLOOKUP(A235,All!A:AM,30,0)</f>
        <v>85.0377309393703</v>
      </c>
      <c r="F235" s="24" t="n">
        <f aca="false">VLOOKUP(A235,All!A:AM,28,0)</f>
        <v>28.49696</v>
      </c>
      <c r="G235" s="24" t="n">
        <f aca="false">VLOOKUP(A235,All!A:AM,31,0)</f>
        <v>81.4740233588401</v>
      </c>
      <c r="H235" s="24" t="n">
        <f aca="false">VLOOKUP(A235,All!A:AM,29,0)</f>
        <v>22.0507</v>
      </c>
      <c r="I235" s="25" t="n">
        <f aca="false">VLOOKUP(A235,All!A:AM,33,0)</f>
        <v>78.1833054859371</v>
      </c>
      <c r="J235" s="25" t="n">
        <f aca="false">VLOOKUP(A235,All!A:AM,32,0)</f>
        <v>17.9684</v>
      </c>
      <c r="K235" s="26" t="n">
        <f aca="false">VLOOKUP(A235,All!A:AM,39,0)</f>
        <v>85.1437037037037</v>
      </c>
      <c r="L235" s="26" t="n">
        <f aca="false">VLOOKUP(A235,All!A:AM,38,0)</f>
        <v>28.736</v>
      </c>
      <c r="M235" s="28" t="n">
        <f aca="false">VLOOKUP(A235,'SYS Allocations'!A:G,2,0)</f>
        <v>0</v>
      </c>
      <c r="N235" s="28" t="n">
        <f aca="false">VLOOKUP(A235,'SYS Allocations'!A:G,3,0)</f>
        <v>0</v>
      </c>
      <c r="O235" s="28" t="n">
        <f aca="false">VLOOKUP(A235,'SYS Allocations'!A:G,4,0)</f>
        <v>0</v>
      </c>
      <c r="P235" s="28" t="n">
        <f aca="false">VLOOKUP(A235,'SYS Allocations'!A:G,5,0)</f>
        <v>0</v>
      </c>
      <c r="Q235" s="28" t="n">
        <f aca="false">VLOOKUP(A235,'SYS Allocations'!A:G,6,0)</f>
        <v>0</v>
      </c>
      <c r="R235" s="29" t="n">
        <f aca="false">VLOOKUP(A235,'SYS Allocations'!A:G,7,0)</f>
        <v>7.5</v>
      </c>
      <c r="S235" s="30"/>
    </row>
    <row r="236" customFormat="false" ht="13.15" hidden="true" customHeight="false" outlineLevel="0" collapsed="false">
      <c r="A236" s="20" t="s">
        <v>252</v>
      </c>
      <c r="B236" s="21" t="str">
        <f aca="false">VLOOKUP(A236,All!A:AM,2,0)</f>
        <v>SOUTH WEST</v>
      </c>
      <c r="C236" s="22" t="n">
        <f aca="false">VLOOKUP(A236,All!A:AM,11,0)</f>
        <v>45659</v>
      </c>
      <c r="D236" s="23"/>
      <c r="E236" s="24" t="n">
        <f aca="false">VLOOKUP(A236,All!A:AM,30,0)</f>
        <v>68.5792349726776</v>
      </c>
      <c r="F236" s="24" t="n">
        <f aca="false">VLOOKUP(A236,All!A:AM,28,0)</f>
        <v>5.4718</v>
      </c>
      <c r="G236" s="24" t="n">
        <f aca="false">VLOOKUP(A236,All!A:AM,31,0)</f>
        <v>63.4920634920635</v>
      </c>
      <c r="H236" s="24" t="n">
        <f aca="false">VLOOKUP(A236,All!A:AM,29,0)</f>
        <v>4.36</v>
      </c>
      <c r="I236" s="25" t="n">
        <f aca="false">VLOOKUP(A236,All!A:AM,33,0)</f>
        <v>55.1700213152512</v>
      </c>
      <c r="J236" s="25" t="n">
        <f aca="false">VLOOKUP(A236,All!A:AM,32,0)</f>
        <v>3.08524000000001</v>
      </c>
      <c r="K236" s="26" t="n">
        <f aca="false">VLOOKUP(A236,All!A:AM,39,0)</f>
        <v>86.0722222222222</v>
      </c>
      <c r="L236" s="26" t="n">
        <f aca="false">VLOOKUP(A236,All!A:AM,38,0)</f>
        <v>15.493</v>
      </c>
      <c r="M236" s="28" t="n">
        <f aca="false">VLOOKUP(A236,'SYS Allocations'!A:G,2,0)</f>
        <v>0</v>
      </c>
      <c r="N236" s="28" t="n">
        <f aca="false">VLOOKUP(A236,'SYS Allocations'!A:G,3,0)</f>
        <v>0</v>
      </c>
      <c r="O236" s="28" t="n">
        <f aca="false">VLOOKUP(A236,'SYS Allocations'!A:G,4,0)</f>
        <v>0</v>
      </c>
      <c r="P236" s="28" t="n">
        <f aca="false">VLOOKUP(A236,'SYS Allocations'!A:G,5,0)</f>
        <v>0</v>
      </c>
      <c r="Q236" s="28" t="n">
        <f aca="false">VLOOKUP(A236,'SYS Allocations'!A:G,6,0)</f>
        <v>0</v>
      </c>
      <c r="R236" s="29" t="n">
        <f aca="false">VLOOKUP(A236,'SYS Allocations'!A:G,7,0)</f>
        <v>0</v>
      </c>
      <c r="S236" s="30"/>
    </row>
    <row r="237" customFormat="false" ht="13.15" hidden="true" customHeight="false" outlineLevel="0" collapsed="false">
      <c r="A237" s="20" t="s">
        <v>253</v>
      </c>
      <c r="B237" s="21" t="str">
        <f aca="false">VLOOKUP(A237,All!A:AM,2,0)</f>
        <v>LONDON</v>
      </c>
      <c r="C237" s="22" t="n">
        <f aca="false">VLOOKUP(A237,All!A:AM,11,0)</f>
        <v>45448</v>
      </c>
      <c r="D237" s="23"/>
      <c r="E237" s="24" t="n">
        <f aca="false">VLOOKUP(A237,All!A:AM,30,0)</f>
        <v>50.7513661202186</v>
      </c>
      <c r="F237" s="24" t="n">
        <f aca="false">VLOOKUP(A237,All!A:AM,28,0)</f>
        <v>40.4935</v>
      </c>
      <c r="G237" s="24" t="n">
        <f aca="false">VLOOKUP(A237,All!A:AM,31,0)</f>
        <v>30</v>
      </c>
      <c r="H237" s="24" t="n">
        <f aca="false">VLOOKUP(A237,All!A:AM,29,0)</f>
        <v>16.8405</v>
      </c>
      <c r="I237" s="25" t="n">
        <f aca="false">VLOOKUP(A237,All!A:AM,33,0)</f>
        <v>44.7390700238515</v>
      </c>
      <c r="J237" s="25" t="n">
        <f aca="false">VLOOKUP(A237,All!A:AM,32,0)</f>
        <v>31.8127000000002</v>
      </c>
      <c r="K237" s="26" t="n">
        <f aca="false">VLOOKUP(A237,All!A:AM,39,0)</f>
        <v>41.7859259259259</v>
      </c>
      <c r="L237" s="26" t="n">
        <f aca="false">VLOOKUP(A237,All!A:AM,38,0)</f>
        <v>28.2055</v>
      </c>
      <c r="M237" s="28" t="n">
        <f aca="false">VLOOKUP(A237,'SYS Allocations'!A:G,2,0)</f>
        <v>0</v>
      </c>
      <c r="N237" s="28" t="str">
        <f aca="false">VLOOKUP(A237,'SYS Allocations'!A:G,3,0)</f>
        <v>RA</v>
      </c>
      <c r="O237" s="28" t="n">
        <f aca="false">VLOOKUP(A237,'SYS Allocations'!A:G,4,0)</f>
        <v>0</v>
      </c>
      <c r="P237" s="28" t="n">
        <f aca="false">VLOOKUP(A237,'SYS Allocations'!A:G,5,0)</f>
        <v>0</v>
      </c>
      <c r="Q237" s="28" t="n">
        <f aca="false">VLOOKUP(A237,'SYS Allocations'!A:G,6,0)</f>
        <v>0</v>
      </c>
      <c r="R237" s="29" t="n">
        <f aca="false">VLOOKUP(A237,'SYS Allocations'!A:G,7,0)</f>
        <v>7.4</v>
      </c>
      <c r="S237" s="30"/>
    </row>
    <row r="238" customFormat="false" ht="13.15" hidden="true" customHeight="false" outlineLevel="0" collapsed="false">
      <c r="A238" s="20" t="s">
        <v>254</v>
      </c>
      <c r="B238" s="21" t="str">
        <f aca="false">VLOOKUP(A238,All!A:AM,2,0)</f>
        <v>LONDON</v>
      </c>
      <c r="C238" s="22" t="n">
        <f aca="false">VLOOKUP(A238,All!A:AM,11,0)</f>
        <v>45498</v>
      </c>
      <c r="D238" s="23"/>
      <c r="E238" s="24" t="n">
        <f aca="false">VLOOKUP(A238,All!A:AM,30,0)</f>
        <v>91.6752049180328</v>
      </c>
      <c r="F238" s="24" t="n">
        <f aca="false">VLOOKUP(A238,All!A:AM,28,0)</f>
        <v>117.0333</v>
      </c>
      <c r="G238" s="24" t="n">
        <f aca="false">VLOOKUP(A238,All!A:AM,31,0)</f>
        <v>92.6911544227886</v>
      </c>
      <c r="H238" s="24" t="n">
        <f aca="false">VLOOKUP(A238,All!A:AM,29,0)</f>
        <v>134.7785</v>
      </c>
      <c r="I238" s="25" t="n">
        <f aca="false">VLOOKUP(A238,All!A:AM,33,0)</f>
        <v>53.4958517118253</v>
      </c>
      <c r="J238" s="25" t="n">
        <f aca="false">VLOOKUP(A238,All!A:AM,32,0)</f>
        <v>12.2253</v>
      </c>
      <c r="K238" s="26" t="n">
        <f aca="false">VLOOKUP(A238,All!A:AM,39,0)</f>
        <v>88.1916666666667</v>
      </c>
      <c r="L238" s="26" t="n">
        <f aca="false">VLOOKUP(A238,All!A:AM,38,0)</f>
        <v>79.3725</v>
      </c>
      <c r="M238" s="28" t="n">
        <f aca="false">VLOOKUP(A238,'SYS Allocations'!A:G,2,0)</f>
        <v>0</v>
      </c>
      <c r="N238" s="28" t="n">
        <f aca="false">VLOOKUP(A238,'SYS Allocations'!A:G,3,0)</f>
        <v>0</v>
      </c>
      <c r="O238" s="28" t="n">
        <f aca="false">VLOOKUP(A238,'SYS Allocations'!A:G,4,0)</f>
        <v>0</v>
      </c>
      <c r="P238" s="28" t="n">
        <f aca="false">VLOOKUP(A238,'SYS Allocations'!A:G,5,0)</f>
        <v>0</v>
      </c>
      <c r="Q238" s="28" t="n">
        <f aca="false">VLOOKUP(A238,'SYS Allocations'!A:G,6,0)</f>
        <v>0</v>
      </c>
      <c r="R238" s="29" t="n">
        <f aca="false">VLOOKUP(A238,'SYS Allocations'!A:G,7,0)</f>
        <v>0</v>
      </c>
      <c r="S238" s="30"/>
    </row>
    <row r="239" customFormat="false" ht="13.15" hidden="true" customHeight="false" outlineLevel="0" collapsed="false">
      <c r="A239" s="33" t="s">
        <v>255</v>
      </c>
      <c r="B239" s="21" t="str">
        <f aca="false">VLOOKUP(A239,All!A:AM,2,0)</f>
        <v>LONDON</v>
      </c>
      <c r="C239" s="22" t="n">
        <f aca="false">VLOOKUP(A239,All!A:AM,11,0)</f>
        <v>45659</v>
      </c>
      <c r="D239" s="23"/>
      <c r="E239" s="24" t="n">
        <f aca="false">VLOOKUP(A239,All!A:AM,30,0)</f>
        <v>48.7704918032787</v>
      </c>
      <c r="F239" s="24" t="n">
        <f aca="false">VLOOKUP(A239,All!A:AM,28,0)</f>
        <v>51.36516</v>
      </c>
      <c r="G239" s="24" t="n">
        <f aca="false">VLOOKUP(A239,All!A:AM,31,0)</f>
        <v>30.0649901102006</v>
      </c>
      <c r="H239" s="24" t="n">
        <f aca="false">VLOOKUP(A239,All!A:AM,29,0)</f>
        <v>23.1952</v>
      </c>
      <c r="I239" s="25" t="n">
        <f aca="false">VLOOKUP(A239,All!A:AM,33,0)</f>
        <v>39.2972863507494</v>
      </c>
      <c r="J239" s="25" t="n">
        <f aca="false">VLOOKUP(A239,All!A:AM,32,0)</f>
        <v>34.9290000000002</v>
      </c>
      <c r="K239" s="26" t="n">
        <f aca="false">VLOOKUP(A239,All!A:AM,39,0)</f>
        <v>11.2497777777778</v>
      </c>
      <c r="L239" s="26" t="n">
        <f aca="false">VLOOKUP(A239,All!A:AM,38,0)</f>
        <v>12.656</v>
      </c>
      <c r="M239" s="28" t="str">
        <f aca="false">VLOOKUP(A239,'SYS Allocations'!A:G,2,0)</f>
        <v>P-Core</v>
      </c>
      <c r="N239" s="28" t="str">
        <f aca="false">VLOOKUP(A239,'SYS Allocations'!A:G,3,0)</f>
        <v>RA</v>
      </c>
      <c r="O239" s="28" t="str">
        <f aca="false">VLOOKUP(A239,'SYS Allocations'!A:G,4,0)</f>
        <v>PX</v>
      </c>
      <c r="P239" s="28" t="n">
        <f aca="false">VLOOKUP(A239,'SYS Allocations'!A:G,5,0)</f>
        <v>0</v>
      </c>
      <c r="Q239" s="28" t="str">
        <f aca="false">VLOOKUP(A239,'SYS Allocations'!A:G,6,0)</f>
        <v>OPEX</v>
      </c>
      <c r="R239" s="29" t="n">
        <f aca="false">VLOOKUP(A239,'SYS Allocations'!A:G,7,0)</f>
        <v>10.675</v>
      </c>
      <c r="S239" s="30"/>
    </row>
    <row r="240" customFormat="false" ht="13.15" hidden="true" customHeight="false" outlineLevel="0" collapsed="false">
      <c r="A240" s="33" t="s">
        <v>256</v>
      </c>
      <c r="B240" s="21" t="str">
        <f aca="false">VLOOKUP(A240,All!A:AM,2,0)</f>
        <v>LONDON</v>
      </c>
      <c r="C240" s="22" t="n">
        <f aca="false">VLOOKUP(A240,All!A:AM,11,0)</f>
        <v>45659</v>
      </c>
      <c r="D240" s="23"/>
      <c r="E240" s="24" t="n">
        <f aca="false">VLOOKUP(A240,All!A:AM,30,0)</f>
        <v>56.4290445437987</v>
      </c>
      <c r="F240" s="24" t="n">
        <f aca="false">VLOOKUP(A240,All!A:AM,28,0)</f>
        <v>59.43116</v>
      </c>
      <c r="G240" s="24" t="n">
        <f aca="false">VLOOKUP(A240,All!A:AM,31,0)</f>
        <v>40.519920881605</v>
      </c>
      <c r="H240" s="24" t="n">
        <f aca="false">VLOOKUP(A240,All!A:AM,29,0)</f>
        <v>31.2612</v>
      </c>
      <c r="I240" s="25" t="n">
        <f aca="false">VLOOKUP(A240,All!A:AM,33,0)</f>
        <v>48.3720354619505</v>
      </c>
      <c r="J240" s="25" t="n">
        <f aca="false">VLOOKUP(A240,All!A:AM,32,0)</f>
        <v>42.9950000000002</v>
      </c>
      <c r="K240" s="26"/>
      <c r="L240" s="26"/>
      <c r="M240" s="28" t="n">
        <f aca="false">VLOOKUP(A240,'SYS Allocations'!A:G,2,0)</f>
        <v>0</v>
      </c>
      <c r="N240" s="28" t="n">
        <f aca="false">VLOOKUP(A240,'SYS Allocations'!A:G,3,0)</f>
        <v>0</v>
      </c>
      <c r="O240" s="28" t="n">
        <f aca="false">VLOOKUP(A240,'SYS Allocations'!A:G,4,0)</f>
        <v>0</v>
      </c>
      <c r="P240" s="28" t="n">
        <f aca="false">VLOOKUP(A240,'SYS Allocations'!A:G,5,0)</f>
        <v>0</v>
      </c>
      <c r="Q240" s="28" t="n">
        <f aca="false">VLOOKUP(A240,'SYS Allocations'!A:G,6,0)</f>
        <v>0</v>
      </c>
      <c r="R240" s="29" t="n">
        <f aca="false">VLOOKUP(A240,'SYS Allocations'!A:G,7,0)</f>
        <v>10.675</v>
      </c>
      <c r="S240" s="30"/>
    </row>
    <row r="241" customFormat="false" ht="13.15" hidden="true" customHeight="false" outlineLevel="0" collapsed="false">
      <c r="A241" s="32" t="s">
        <v>257</v>
      </c>
      <c r="B241" s="21" t="str">
        <f aca="false">VLOOKUP(A241,All!A:AM,2,0)</f>
        <v>LONDON</v>
      </c>
      <c r="C241" s="22" t="n">
        <f aca="false">VLOOKUP(A241,All!A:AM,11,0)</f>
        <v>45659</v>
      </c>
      <c r="D241" s="23"/>
      <c r="E241" s="24" t="n">
        <f aca="false">VLOOKUP(A241,All!A:AM,30,0)</f>
        <v>79.4503102713717</v>
      </c>
      <c r="F241" s="24" t="n">
        <f aca="false">VLOOKUP(A241,All!A:AM,28,0)</f>
        <v>74.80234</v>
      </c>
      <c r="G241" s="24" t="n">
        <f aca="false">VLOOKUP(A241,All!A:AM,31,0)</f>
        <v>78.3457362449677</v>
      </c>
      <c r="H241" s="24" t="n">
        <f aca="false">VLOOKUP(A241,All!A:AM,29,0)</f>
        <v>69.9998</v>
      </c>
      <c r="I241" s="25" t="n">
        <f aca="false">VLOOKUP(A241,All!A:AM,33,0)</f>
        <v>57.6693009171743</v>
      </c>
      <c r="J241" s="25" t="n">
        <f aca="false">VLOOKUP(A241,All!A:AM,32,0)</f>
        <v>26.3581</v>
      </c>
      <c r="K241" s="26" t="n">
        <f aca="false">VLOOKUP(A241,All!A:AM,39,0)</f>
        <v>57.9138888888889</v>
      </c>
      <c r="L241" s="26" t="n">
        <f aca="false">VLOOKUP(A241,All!A:AM,38,0)</f>
        <v>52.1225</v>
      </c>
      <c r="M241" s="28" t="n">
        <f aca="false">VLOOKUP(A241,'SYS Allocations'!A:G,2,0)</f>
        <v>0</v>
      </c>
      <c r="N241" s="28" t="n">
        <f aca="false">VLOOKUP(A241,'SYS Allocations'!A:G,3,0)</f>
        <v>0</v>
      </c>
      <c r="O241" s="28" t="n">
        <f aca="false">VLOOKUP(A241,'SYS Allocations'!A:G,4,0)</f>
        <v>0</v>
      </c>
      <c r="P241" s="28" t="n">
        <f aca="false">VLOOKUP(A241,'SYS Allocations'!A:G,5,0)</f>
        <v>0</v>
      </c>
      <c r="Q241" s="28" t="n">
        <f aca="false">VLOOKUP(A241,'SYS Allocations'!A:G,6,0)</f>
        <v>0</v>
      </c>
      <c r="R241" s="29" t="n">
        <f aca="false">VLOOKUP(A241,'SYS Allocations'!A:G,7,0)</f>
        <v>11.83</v>
      </c>
      <c r="S241" s="30"/>
    </row>
    <row r="242" customFormat="false" ht="13.15" hidden="true" customHeight="false" outlineLevel="0" collapsed="false">
      <c r="A242" s="32" t="s">
        <v>258</v>
      </c>
      <c r="B242" s="21" t="str">
        <f aca="false">VLOOKUP(A242,All!A:AM,2,0)</f>
        <v>LONDON</v>
      </c>
      <c r="C242" s="22" t="n">
        <f aca="false">VLOOKUP(A242,All!A:AM,11,0)</f>
        <v>45659</v>
      </c>
      <c r="D242" s="23"/>
      <c r="E242" s="24" t="n">
        <f aca="false">VLOOKUP(A242,All!A:AM,30,0)</f>
        <v>80.3186070204687</v>
      </c>
      <c r="F242" s="24" t="n">
        <f aca="false">VLOOKUP(A242,All!A:AM,28,0)</f>
        <v>75.61984</v>
      </c>
      <c r="G242" s="24" t="n">
        <f aca="false">VLOOKUP(A242,All!A:AM,31,0)</f>
        <v>79.2607051360254</v>
      </c>
      <c r="H242" s="24" t="n">
        <f aca="false">VLOOKUP(A242,All!A:AM,29,0)</f>
        <v>70.8173</v>
      </c>
      <c r="I242" s="25" t="n">
        <f aca="false">VLOOKUP(A242,All!A:AM,33,0)</f>
        <v>59.457922005181</v>
      </c>
      <c r="J242" s="25" t="n">
        <f aca="false">VLOOKUP(A242,All!A:AM,32,0)</f>
        <v>27.1756</v>
      </c>
      <c r="K242" s="26"/>
      <c r="L242" s="26"/>
      <c r="M242" s="28" t="n">
        <f aca="false">VLOOKUP(A242,'SYS Allocations'!A:G,2,0)</f>
        <v>0</v>
      </c>
      <c r="N242" s="28" t="n">
        <f aca="false">VLOOKUP(A242,'SYS Allocations'!A:G,3,0)</f>
        <v>0</v>
      </c>
      <c r="O242" s="28" t="n">
        <f aca="false">VLOOKUP(A242,'SYS Allocations'!A:G,4,0)</f>
        <v>0</v>
      </c>
      <c r="P242" s="28" t="n">
        <f aca="false">VLOOKUP(A242,'SYS Allocations'!A:G,5,0)</f>
        <v>0</v>
      </c>
      <c r="Q242" s="28" t="n">
        <f aca="false">VLOOKUP(A242,'SYS Allocations'!A:G,6,0)</f>
        <v>0</v>
      </c>
      <c r="R242" s="29" t="n">
        <f aca="false">VLOOKUP(A242,'SYS Allocations'!A:G,7,0)</f>
        <v>11.83</v>
      </c>
      <c r="S242" s="30"/>
    </row>
    <row r="243" customFormat="false" ht="13.15" hidden="true" customHeight="false" outlineLevel="0" collapsed="false">
      <c r="A243" s="20" t="s">
        <v>259</v>
      </c>
      <c r="B243" s="21" t="str">
        <f aca="false">VLOOKUP(A243,All!A:AM,2,0)</f>
        <v>LONDON</v>
      </c>
      <c r="C243" s="22" t="n">
        <f aca="false">VLOOKUP(A243,All!A:AM,11,0)</f>
        <v>44673.6041666667</v>
      </c>
      <c r="D243" s="23"/>
      <c r="E243" s="24" t="n">
        <f aca="false">VLOOKUP(A243,All!A:AM,30,0)</f>
        <v>80.1948051948052</v>
      </c>
      <c r="F243" s="24" t="n">
        <f aca="false">VLOOKUP(A243,All!A:AM,28,0)</f>
        <v>13.4615</v>
      </c>
      <c r="G243" s="24" t="n">
        <f aca="false">VLOOKUP(A243,All!A:AM,31,0)</f>
        <v>83.2876712328767</v>
      </c>
      <c r="H243" s="24" t="n">
        <f aca="false">VLOOKUP(A243,All!A:AM,29,0)</f>
        <v>16.568</v>
      </c>
      <c r="I243" s="25" t="n">
        <f aca="false">VLOOKUP(A243,All!A:AM,33,0)</f>
        <v>-47.7082889031066</v>
      </c>
      <c r="J243" s="25" t="n">
        <f aca="false">VLOOKUP(A243,All!A:AM,32,0)</f>
        <v>-1.07378</v>
      </c>
      <c r="K243" s="26" t="n">
        <f aca="false">VLOOKUP(A243,All!A:AM,39,0)</f>
        <v>97.0448888888889</v>
      </c>
      <c r="L243" s="26" t="n">
        <f aca="false">VLOOKUP(A243,All!A:AM,38,0)</f>
        <v>109.1755</v>
      </c>
      <c r="M243" s="28" t="n">
        <f aca="false">VLOOKUP(A243,'SYS Allocations'!A:G,2,0)</f>
        <v>0</v>
      </c>
      <c r="N243" s="28" t="n">
        <f aca="false">VLOOKUP(A243,'SYS Allocations'!A:G,3,0)</f>
        <v>0</v>
      </c>
      <c r="O243" s="28" t="n">
        <f aca="false">VLOOKUP(A243,'SYS Allocations'!A:G,4,0)</f>
        <v>0</v>
      </c>
      <c r="P243" s="28" t="n">
        <f aca="false">VLOOKUP(A243,'SYS Allocations'!A:G,5,0)</f>
        <v>0</v>
      </c>
      <c r="Q243" s="28" t="n">
        <f aca="false">VLOOKUP(A243,'SYS Allocations'!A:G,6,0)</f>
        <v>0</v>
      </c>
      <c r="R243" s="29" t="n">
        <f aca="false">VLOOKUP(A243,'SYS Allocations'!A:G,7,0)</f>
        <v>0</v>
      </c>
      <c r="S243" s="30"/>
    </row>
    <row r="244" customFormat="false" ht="13.15" hidden="true" customHeight="false" outlineLevel="0" collapsed="false">
      <c r="A244" s="20" t="s">
        <v>260</v>
      </c>
      <c r="B244" s="21" t="str">
        <f aca="false">VLOOKUP(A244,All!A:AM,2,0)</f>
        <v>SCOTTISH HIGHLANDS &amp; ISLANDS </v>
      </c>
      <c r="C244" s="22" t="n">
        <f aca="false">VLOOKUP(A244,All!A:AM,11,0)</f>
        <v>45659</v>
      </c>
      <c r="D244" s="23"/>
      <c r="E244" s="24" t="n">
        <f aca="false">VLOOKUP(A244,All!A:AM,30,0)</f>
        <v>61.2932604735884</v>
      </c>
      <c r="F244" s="24" t="n">
        <f aca="false">VLOOKUP(A244,All!A:AM,28,0)</f>
        <v>2.93428</v>
      </c>
      <c r="G244" s="24" t="n">
        <f aca="false">VLOOKUP(A244,All!A:AM,31,0)</f>
        <v>52.1800261116748</v>
      </c>
      <c r="H244" s="24" t="n">
        <f aca="false">VLOOKUP(A244,All!A:AM,29,0)</f>
        <v>2.0219498365</v>
      </c>
      <c r="I244" s="25" t="n">
        <f aca="false">VLOOKUP(A244,All!A:AM,33,0)</f>
        <v>56.0066476733143</v>
      </c>
      <c r="J244" s="25" t="n">
        <f aca="false">VLOOKUP(A244,All!A:AM,32,0)</f>
        <v>2.359</v>
      </c>
      <c r="K244" s="26" t="n">
        <f aca="false">VLOOKUP(A244,All!A:AM,39,0)</f>
        <v>63.1243781094527</v>
      </c>
      <c r="L244" s="26" t="n">
        <f aca="false">VLOOKUP(A244,All!A:AM,38,0)</f>
        <v>3.172</v>
      </c>
      <c r="M244" s="28" t="n">
        <f aca="false">VLOOKUP(A244,'SYS Allocations'!A:G,2,0)</f>
        <v>0</v>
      </c>
      <c r="N244" s="28" t="n">
        <f aca="false">VLOOKUP(A244,'SYS Allocations'!A:G,3,0)</f>
        <v>0</v>
      </c>
      <c r="O244" s="28" t="n">
        <f aca="false">VLOOKUP(A244,'SYS Allocations'!A:G,4,0)</f>
        <v>0</v>
      </c>
      <c r="P244" s="28" t="n">
        <f aca="false">VLOOKUP(A244,'SYS Allocations'!A:G,5,0)</f>
        <v>0</v>
      </c>
      <c r="Q244" s="28" t="n">
        <f aca="false">VLOOKUP(A244,'SYS Allocations'!A:G,6,0)</f>
        <v>0</v>
      </c>
      <c r="R244" s="29" t="n">
        <f aca="false">VLOOKUP(A244,'SYS Allocations'!A:G,7,0)</f>
        <v>1.5</v>
      </c>
      <c r="S244" s="30"/>
    </row>
    <row r="245" customFormat="false" ht="13.15" hidden="true" customHeight="false" outlineLevel="0" collapsed="false">
      <c r="A245" s="20" t="s">
        <v>261</v>
      </c>
      <c r="B245" s="21" t="str">
        <f aca="false">VLOOKUP(A245,All!A:AM,2,0)</f>
        <v>NORTHERN IRELAND</v>
      </c>
      <c r="C245" s="22" t="n">
        <f aca="false">VLOOKUP(A245,All!A:AM,11,0)</f>
        <v>45475</v>
      </c>
      <c r="D245" s="23"/>
      <c r="E245" s="24" t="n">
        <f aca="false">VLOOKUP(A245,All!A:AM,30,0)</f>
        <v>75</v>
      </c>
      <c r="F245" s="24" t="n">
        <f aca="false">VLOOKUP(A245,All!A:AM,28,0)</f>
        <v>1.308</v>
      </c>
      <c r="G245" s="24" t="n">
        <f aca="false">VLOOKUP(A245,All!A:AM,31,0)</f>
        <v>20</v>
      </c>
      <c r="H245" s="24" t="n">
        <f aca="false">VLOOKUP(A245,All!A:AM,29,0)</f>
        <v>0.109</v>
      </c>
      <c r="I245" s="25" t="n">
        <f aca="false">VLOOKUP(A245,All!A:AM,33,0)</f>
        <v>84.5679012345679</v>
      </c>
      <c r="J245" s="25" t="n">
        <f aca="false">VLOOKUP(A245,All!A:AM,32,0)</f>
        <v>2.38928</v>
      </c>
      <c r="K245" s="26" t="n">
        <f aca="false">VLOOKUP(A245,All!A:AM,39,0)</f>
        <v>92.7333333333333</v>
      </c>
      <c r="L245" s="26" t="n">
        <f aca="false">VLOOKUP(A245,All!A:AM,38,0)</f>
        <v>5.564</v>
      </c>
      <c r="M245" s="28" t="n">
        <f aca="false">VLOOKUP(A245,'SYS Allocations'!A:G,2,0)</f>
        <v>0</v>
      </c>
      <c r="N245" s="28" t="n">
        <f aca="false">VLOOKUP(A245,'SYS Allocations'!A:G,3,0)</f>
        <v>0</v>
      </c>
      <c r="O245" s="28" t="n">
        <f aca="false">VLOOKUP(A245,'SYS Allocations'!A:G,4,0)</f>
        <v>0</v>
      </c>
      <c r="P245" s="28" t="n">
        <f aca="false">VLOOKUP(A245,'SYS Allocations'!A:G,5,0)</f>
        <v>0</v>
      </c>
      <c r="Q245" s="28" t="n">
        <f aca="false">VLOOKUP(A245,'SYS Allocations'!A:G,6,0)</f>
        <v>0</v>
      </c>
      <c r="R245" s="29" t="n">
        <f aca="false">VLOOKUP(A245,'SYS Allocations'!A:G,7,0)</f>
        <v>0</v>
      </c>
      <c r="S245" s="30"/>
    </row>
    <row r="246" customFormat="false" ht="13.15" hidden="true" customHeight="false" outlineLevel="0" collapsed="false">
      <c r="A246" s="20" t="s">
        <v>262</v>
      </c>
      <c r="B246" s="21" t="str">
        <f aca="false">VLOOKUP(A246,All!A:AM,2,0)</f>
        <v>THAMES VALLEY</v>
      </c>
      <c r="C246" s="22" t="n">
        <f aca="false">VLOOKUP(A246,All!A:AM,11,0)</f>
        <v>44840</v>
      </c>
      <c r="D246" s="23"/>
      <c r="E246" s="24" t="n">
        <f aca="false">VLOOKUP(A246,All!A:AM,30,0)</f>
        <v>23.2117812061711</v>
      </c>
      <c r="F246" s="24" t="n">
        <f aca="false">VLOOKUP(A246,All!A:AM,28,0)</f>
        <v>7.2158</v>
      </c>
      <c r="G246" s="24" t="n">
        <f aca="false">VLOOKUP(A246,All!A:AM,31,0)</f>
        <v>-29.2035398230088</v>
      </c>
      <c r="H246" s="24" t="n">
        <f aca="false">VLOOKUP(A246,All!A:AM,29,0)</f>
        <v>-5.3955</v>
      </c>
      <c r="I246" s="25" t="n">
        <f aca="false">VLOOKUP(A246,All!A:AM,33,0)</f>
        <v>27.2934941520468</v>
      </c>
      <c r="J246" s="25" t="n">
        <f aca="false">VLOOKUP(A246,All!A:AM,32,0)</f>
        <v>8.96100000000002</v>
      </c>
      <c r="K246" s="26" t="n">
        <f aca="false">VLOOKUP(A246,All!A:AM,39,0)</f>
        <v>86.7383333333333</v>
      </c>
      <c r="L246" s="26" t="n">
        <f aca="false">VLOOKUP(A246,All!A:AM,38,0)</f>
        <v>156.129</v>
      </c>
      <c r="M246" s="28" t="n">
        <f aca="false">VLOOKUP(A246,'SYS Allocations'!A:G,2,0)</f>
        <v>0</v>
      </c>
      <c r="N246" s="28" t="n">
        <f aca="false">VLOOKUP(A246,'SYS Allocations'!A:G,3,0)</f>
        <v>0</v>
      </c>
      <c r="O246" s="28" t="n">
        <f aca="false">VLOOKUP(A246,'SYS Allocations'!A:G,4,0)</f>
        <v>0</v>
      </c>
      <c r="P246" s="28" t="n">
        <f aca="false">VLOOKUP(A246,'SYS Allocations'!A:G,5,0)</f>
        <v>0</v>
      </c>
      <c r="Q246" s="28" t="n">
        <f aca="false">VLOOKUP(A246,'SYS Allocations'!A:G,6,0)</f>
        <v>0</v>
      </c>
      <c r="R246" s="29" t="n">
        <f aca="false">VLOOKUP(A246,'SYS Allocations'!A:G,7,0)</f>
        <v>1</v>
      </c>
      <c r="S246" s="30"/>
    </row>
    <row r="247" customFormat="false" ht="13.15" hidden="true" customHeight="false" outlineLevel="0" collapsed="false">
      <c r="A247" s="20" t="s">
        <v>263</v>
      </c>
      <c r="B247" s="21" t="str">
        <f aca="false">VLOOKUP(A247,All!A:AM,2,0)</f>
        <v>SOUTH</v>
      </c>
      <c r="C247" s="22" t="n">
        <f aca="false">VLOOKUP(A247,All!A:AM,11,0)</f>
        <v>45215</v>
      </c>
      <c r="D247" s="23"/>
      <c r="E247" s="24" t="n">
        <f aca="false">VLOOKUP(A247,All!A:AM,30,0)</f>
        <v>87.1423979427837</v>
      </c>
      <c r="F247" s="24" t="n">
        <f aca="false">VLOOKUP(A247,All!A:AM,28,0)</f>
        <v>47.27984</v>
      </c>
      <c r="G247" s="24" t="n">
        <f aca="false">VLOOKUP(A247,All!A:AM,31,0)</f>
        <v>84.8413074372335</v>
      </c>
      <c r="H247" s="24" t="n">
        <f aca="false">VLOOKUP(A247,All!A:AM,29,0)</f>
        <v>39.0438</v>
      </c>
      <c r="I247" s="25" t="n">
        <f aca="false">VLOOKUP(A247,All!A:AM,33,0)</f>
        <v>80.3789208406462</v>
      </c>
      <c r="J247" s="25" t="n">
        <f aca="false">VLOOKUP(A247,All!A:AM,32,0)</f>
        <v>28.5776</v>
      </c>
      <c r="K247" s="26" t="n">
        <f aca="false">VLOOKUP(A247,All!A:AM,39,0)</f>
        <v>89.430303030303</v>
      </c>
      <c r="L247" s="26" t="n">
        <f aca="false">VLOOKUP(A247,All!A:AM,38,0)</f>
        <v>59.024</v>
      </c>
      <c r="M247" s="28" t="n">
        <f aca="false">VLOOKUP(A247,'SYS Allocations'!A:G,2,0)</f>
        <v>0</v>
      </c>
      <c r="N247" s="28" t="str">
        <f aca="false">VLOOKUP(A247,'SYS Allocations'!A:G,3,0)</f>
        <v>RA</v>
      </c>
      <c r="O247" s="28" t="n">
        <f aca="false">VLOOKUP(A247,'SYS Allocations'!A:G,4,0)</f>
        <v>0</v>
      </c>
      <c r="P247" s="28" t="n">
        <f aca="false">VLOOKUP(A247,'SYS Allocations'!A:G,5,0)</f>
        <v>0</v>
      </c>
      <c r="Q247" s="28" t="n">
        <f aca="false">VLOOKUP(A247,'SYS Allocations'!A:G,6,0)</f>
        <v>0</v>
      </c>
      <c r="R247" s="29" t="n">
        <f aca="false">VLOOKUP(A247,'SYS Allocations'!A:G,7,0)</f>
        <v>2.4</v>
      </c>
      <c r="S247" s="30"/>
    </row>
    <row r="248" customFormat="false" ht="13.15" hidden="true" customHeight="false" outlineLevel="0" collapsed="false">
      <c r="A248" s="20" t="s">
        <v>264</v>
      </c>
      <c r="B248" s="21" t="str">
        <f aca="false">VLOOKUP(A248,All!A:AM,2,0)</f>
        <v>NORTH WEST</v>
      </c>
      <c r="C248" s="22" t="n">
        <f aca="false">VLOOKUP(A248,All!A:AM,11,0)</f>
        <v>45393</v>
      </c>
      <c r="D248" s="23"/>
      <c r="E248" s="24" t="n">
        <f aca="false">VLOOKUP(A248,All!A:AM,30,0)</f>
        <v>62.9032258064516</v>
      </c>
      <c r="F248" s="24" t="n">
        <f aca="false">VLOOKUP(A248,All!A:AM,28,0)</f>
        <v>4.251</v>
      </c>
      <c r="G248" s="24" t="n">
        <f aca="false">VLOOKUP(A248,All!A:AM,31,0)</f>
        <v>58.1818181818182</v>
      </c>
      <c r="H248" s="24" t="n">
        <f aca="false">VLOOKUP(A248,All!A:AM,29,0)</f>
        <v>3.488</v>
      </c>
      <c r="I248" s="25" t="n">
        <f aca="false">VLOOKUP(A248,All!A:AM,33,0)</f>
        <v>78.5541731679941</v>
      </c>
      <c r="J248" s="25" t="n">
        <f aca="false">VLOOKUP(A248,All!A:AM,32,0)</f>
        <v>9.18291999999997</v>
      </c>
      <c r="K248" s="26" t="n">
        <f aca="false">VLOOKUP(A248,All!A:AM,39,0)</f>
        <v>58.2166666666667</v>
      </c>
      <c r="L248" s="26" t="n">
        <f aca="false">VLOOKUP(A248,All!A:AM,38,0)</f>
        <v>3.493</v>
      </c>
      <c r="M248" s="28" t="n">
        <f aca="false">VLOOKUP(A248,'SYS Allocations'!A:G,2,0)</f>
        <v>0</v>
      </c>
      <c r="N248" s="28" t="n">
        <f aca="false">VLOOKUP(A248,'SYS Allocations'!A:G,3,0)</f>
        <v>0</v>
      </c>
      <c r="O248" s="28" t="n">
        <f aca="false">VLOOKUP(A248,'SYS Allocations'!A:G,4,0)</f>
        <v>0</v>
      </c>
      <c r="P248" s="28" t="n">
        <f aca="false">VLOOKUP(A248,'SYS Allocations'!A:G,5,0)</f>
        <v>0</v>
      </c>
      <c r="Q248" s="28" t="n">
        <f aca="false">VLOOKUP(A248,'SYS Allocations'!A:G,6,0)</f>
        <v>0</v>
      </c>
      <c r="R248" s="29" t="n">
        <f aca="false">VLOOKUP(A248,'SYS Allocations'!A:G,7,0)</f>
        <v>0.9</v>
      </c>
      <c r="S248" s="30"/>
    </row>
    <row r="249" customFormat="false" ht="13.15" hidden="true" customHeight="false" outlineLevel="0" collapsed="false">
      <c r="A249" s="20" t="s">
        <v>265</v>
      </c>
      <c r="B249" s="21" t="str">
        <f aca="false">VLOOKUP(A249,All!A:AM,2,0)</f>
        <v>NORTH WEST</v>
      </c>
      <c r="C249" s="22" t="n">
        <f aca="false">VLOOKUP(A249,All!A:AM,11,0)</f>
        <v>45537</v>
      </c>
      <c r="D249" s="23"/>
      <c r="E249" s="24" t="n">
        <f aca="false">VLOOKUP(A249,All!A:AM,30,0)</f>
        <v>66.7272727272727</v>
      </c>
      <c r="F249" s="24" t="n">
        <f aca="false">VLOOKUP(A249,All!A:AM,28,0)</f>
        <v>40.003</v>
      </c>
      <c r="G249" s="24" t="n">
        <f aca="false">VLOOKUP(A249,All!A:AM,31,0)</f>
        <v>52.7741935483871</v>
      </c>
      <c r="H249" s="24" t="n">
        <f aca="false">VLOOKUP(A249,All!A:AM,29,0)</f>
        <v>22.2905</v>
      </c>
      <c r="I249" s="25" t="n">
        <f aca="false">VLOOKUP(A249,All!A:AM,33,0)</f>
        <v>62.5973178524819</v>
      </c>
      <c r="J249" s="25" t="n">
        <f aca="false">VLOOKUP(A249,All!A:AM,32,0)</f>
        <v>33.3834</v>
      </c>
      <c r="K249" s="26" t="n">
        <f aca="false">VLOOKUP(A249,All!A:AM,39,0)</f>
        <v>71.7063829787234</v>
      </c>
      <c r="L249" s="26" t="n">
        <f aca="false">VLOOKUP(A249,All!A:AM,38,0)</f>
        <v>50.553</v>
      </c>
      <c r="M249" s="28" t="n">
        <f aca="false">VLOOKUP(A249,'SYS Allocations'!A:G,2,0)</f>
        <v>0</v>
      </c>
      <c r="N249" s="28" t="str">
        <f aca="false">VLOOKUP(A249,'SYS Allocations'!A:G,3,0)</f>
        <v>RA</v>
      </c>
      <c r="O249" s="28" t="n">
        <f aca="false">VLOOKUP(A249,'SYS Allocations'!A:G,4,0)</f>
        <v>0</v>
      </c>
      <c r="P249" s="28" t="n">
        <f aca="false">VLOOKUP(A249,'SYS Allocations'!A:G,5,0)</f>
        <v>0</v>
      </c>
      <c r="Q249" s="28" t="n">
        <f aca="false">VLOOKUP(A249,'SYS Allocations'!A:G,6,0)</f>
        <v>0</v>
      </c>
      <c r="R249" s="29" t="n">
        <f aca="false">VLOOKUP(A249,'SYS Allocations'!A:G,7,0)</f>
        <v>6.9</v>
      </c>
      <c r="S249" s="30"/>
    </row>
    <row r="250" customFormat="false" ht="13.15" hidden="true" customHeight="false" outlineLevel="0" collapsed="false">
      <c r="A250" s="20" t="s">
        <v>266</v>
      </c>
      <c r="B250" s="21" t="str">
        <f aca="false">VLOOKUP(A250,All!A:AM,2,0)</f>
        <v>ANGLIA</v>
      </c>
      <c r="C250" s="22" t="n">
        <f aca="false">VLOOKUP(A250,All!A:AM,11,0)</f>
        <v>45373</v>
      </c>
      <c r="D250" s="23"/>
      <c r="E250" s="24" t="n">
        <f aca="false">VLOOKUP(A250,All!A:AM,30,0)</f>
        <v>78.5323965651835</v>
      </c>
      <c r="F250" s="24" t="n">
        <f aca="false">VLOOKUP(A250,All!A:AM,28,0)</f>
        <v>17.54464</v>
      </c>
      <c r="G250" s="24" t="n">
        <f aca="false">VLOOKUP(A250,All!A:AM,31,0)</f>
        <v>67.6945668135095</v>
      </c>
      <c r="H250" s="24" t="n">
        <f aca="false">VLOOKUP(A250,All!A:AM,29,0)</f>
        <v>10.0498</v>
      </c>
      <c r="I250" s="25" t="n">
        <f aca="false">VLOOKUP(A250,All!A:AM,33,0)</f>
        <v>77.2968264788306</v>
      </c>
      <c r="J250" s="25" t="n">
        <f aca="false">VLOOKUP(A250,All!A:AM,32,0)</f>
        <v>16.3288</v>
      </c>
      <c r="K250" s="26" t="n">
        <f aca="false">VLOOKUP(A250,All!A:AM,39,0)</f>
        <v>83.0828924162257</v>
      </c>
      <c r="L250" s="26" t="n">
        <f aca="false">VLOOKUP(A250,All!A:AM,38,0)</f>
        <v>23.554</v>
      </c>
      <c r="M250" s="28" t="n">
        <f aca="false">VLOOKUP(A250,'SYS Allocations'!A:G,2,0)</f>
        <v>0</v>
      </c>
      <c r="N250" s="28" t="n">
        <f aca="false">VLOOKUP(A250,'SYS Allocations'!A:G,3,0)</f>
        <v>0</v>
      </c>
      <c r="O250" s="28" t="n">
        <f aca="false">VLOOKUP(A250,'SYS Allocations'!A:G,4,0)</f>
        <v>0</v>
      </c>
      <c r="P250" s="28" t="n">
        <f aca="false">VLOOKUP(A250,'SYS Allocations'!A:G,5,0)</f>
        <v>0</v>
      </c>
      <c r="Q250" s="28" t="n">
        <f aca="false">VLOOKUP(A250,'SYS Allocations'!A:G,6,0)</f>
        <v>0</v>
      </c>
      <c r="R250" s="29" t="n">
        <f aca="false">VLOOKUP(A250,'SYS Allocations'!A:G,7,0)</f>
        <v>1</v>
      </c>
      <c r="S250" s="30"/>
    </row>
    <row r="251" customFormat="false" ht="13.15" hidden="true" customHeight="false" outlineLevel="0" collapsed="false">
      <c r="A251" s="20" t="s">
        <v>267</v>
      </c>
      <c r="B251" s="21" t="str">
        <f aca="false">VLOOKUP(A251,All!A:AM,2,0)</f>
        <v>MIDLANDS</v>
      </c>
      <c r="C251" s="22" t="n">
        <f aca="false">VLOOKUP(A251,All!A:AM,11,0)</f>
        <v>45425</v>
      </c>
      <c r="D251" s="23"/>
      <c r="E251" s="24" t="n">
        <f aca="false">VLOOKUP(A251,All!A:AM,30,0)</f>
        <v>60.020893603343</v>
      </c>
      <c r="F251" s="24" t="n">
        <f aca="false">VLOOKUP(A251,All!A:AM,28,0)</f>
        <v>16.28242</v>
      </c>
      <c r="G251" s="24" t="n">
        <f aca="false">VLOOKUP(A251,All!A:AM,31,0)</f>
        <v>37.0651486401012</v>
      </c>
      <c r="H251" s="24" t="n">
        <f aca="false">VLOOKUP(A251,All!A:AM,29,0)</f>
        <v>6.3874</v>
      </c>
      <c r="I251" s="25" t="n">
        <f aca="false">VLOOKUP(A251,All!A:AM,33,0)</f>
        <v>58.4692736574457</v>
      </c>
      <c r="J251" s="25" t="n">
        <f aca="false">VLOOKUP(A251,All!A:AM,32,0)</f>
        <v>15.2689</v>
      </c>
      <c r="K251" s="26" t="n">
        <f aca="false">VLOOKUP(A251,All!A:AM,39,0)</f>
        <v>2.29279279279279</v>
      </c>
      <c r="L251" s="26" t="n">
        <f aca="false">VLOOKUP(A251,All!A:AM,38,0)</f>
        <v>0.2545</v>
      </c>
      <c r="M251" s="28" t="n">
        <f aca="false">VLOOKUP(A251,'SYS Allocations'!A:G,2,0)</f>
        <v>0</v>
      </c>
      <c r="N251" s="28" t="str">
        <f aca="false">VLOOKUP(A251,'SYS Allocations'!A:G,3,0)</f>
        <v>RA</v>
      </c>
      <c r="O251" s="28" t="n">
        <f aca="false">VLOOKUP(A251,'SYS Allocations'!A:G,4,0)</f>
        <v>0</v>
      </c>
      <c r="P251" s="28" t="n">
        <f aca="false">VLOOKUP(A251,'SYS Allocations'!A:G,5,0)</f>
        <v>0</v>
      </c>
      <c r="Q251" s="28" t="n">
        <f aca="false">VLOOKUP(A251,'SYS Allocations'!A:G,6,0)</f>
        <v>0</v>
      </c>
      <c r="R251" s="29" t="n">
        <f aca="false">VLOOKUP(A251,'SYS Allocations'!A:G,7,0)</f>
        <v>2.4</v>
      </c>
      <c r="S251" s="30"/>
    </row>
    <row r="252" customFormat="false" ht="13.15" hidden="true" customHeight="false" outlineLevel="0" collapsed="false">
      <c r="A252" s="20" t="s">
        <v>268</v>
      </c>
      <c r="B252" s="21" t="str">
        <f aca="false">VLOOKUP(A252,All!A:AM,2,0)</f>
        <v>NORTH EAST</v>
      </c>
      <c r="C252" s="22" t="n">
        <f aca="false">VLOOKUP(A252,All!A:AM,11,0)</f>
        <v>45503</v>
      </c>
      <c r="D252" s="23"/>
      <c r="E252" s="24" t="n">
        <f aca="false">VLOOKUP(A252,All!A:AM,30,0)</f>
        <v>58.3333333333333</v>
      </c>
      <c r="F252" s="24" t="n">
        <f aca="false">VLOOKUP(A252,All!A:AM,28,0)</f>
        <v>15.26</v>
      </c>
      <c r="G252" s="24" t="n">
        <f aca="false">VLOOKUP(A252,All!A:AM,31,0)</f>
        <v>44.4444444444444</v>
      </c>
      <c r="H252" s="24" t="n">
        <f aca="false">VLOOKUP(A252,All!A:AM,29,0)</f>
        <v>8.72</v>
      </c>
      <c r="I252" s="25" t="n">
        <f aca="false">VLOOKUP(A252,All!A:AM,33,0)</f>
        <v>48.4018783609786</v>
      </c>
      <c r="J252" s="25" t="n">
        <f aca="false">VLOOKUP(A252,All!A:AM,32,0)</f>
        <v>10.2248</v>
      </c>
      <c r="K252" s="26" t="n">
        <f aca="false">VLOOKUP(A252,All!A:AM,39,0)</f>
        <v>66.969696969697</v>
      </c>
      <c r="L252" s="26" t="n">
        <f aca="false">VLOOKUP(A252,All!A:AM,38,0)</f>
        <v>22.1</v>
      </c>
      <c r="M252" s="28" t="n">
        <f aca="false">VLOOKUP(A252,'SYS Allocations'!A:G,2,0)</f>
        <v>0</v>
      </c>
      <c r="N252" s="28" t="n">
        <f aca="false">VLOOKUP(A252,'SYS Allocations'!A:G,3,0)</f>
        <v>0</v>
      </c>
      <c r="O252" s="28" t="n">
        <f aca="false">VLOOKUP(A252,'SYS Allocations'!A:G,4,0)</f>
        <v>0</v>
      </c>
      <c r="P252" s="28" t="n">
        <f aca="false">VLOOKUP(A252,'SYS Allocations'!A:G,5,0)</f>
        <v>0</v>
      </c>
      <c r="Q252" s="28" t="n">
        <f aca="false">VLOOKUP(A252,'SYS Allocations'!A:G,6,0)</f>
        <v>0</v>
      </c>
      <c r="R252" s="29" t="n">
        <f aca="false">VLOOKUP(A252,'SYS Allocations'!A:G,7,0)</f>
        <v>1</v>
      </c>
      <c r="S252" s="30"/>
    </row>
    <row r="253" customFormat="false" ht="13.15" hidden="true" customHeight="false" outlineLevel="0" collapsed="false">
      <c r="A253" s="20" t="s">
        <v>269</v>
      </c>
      <c r="B253" s="21" t="str">
        <f aca="false">VLOOKUP(A253,All!A:AM,2,0)</f>
        <v>NORTH EAST</v>
      </c>
      <c r="C253" s="22" t="n">
        <f aca="false">VLOOKUP(A253,All!A:AM,11,0)</f>
        <v>45468</v>
      </c>
      <c r="D253" s="23"/>
      <c r="E253" s="24" t="n">
        <f aca="false">VLOOKUP(A253,All!A:AM,30,0)</f>
        <v>50.625</v>
      </c>
      <c r="F253" s="24" t="n">
        <f aca="false">VLOOKUP(A253,All!A:AM,28,0)</f>
        <v>4.4145</v>
      </c>
      <c r="G253" s="24" t="n">
        <f aca="false">VLOOKUP(A253,All!A:AM,31,0)</f>
        <v>2.46913580246914</v>
      </c>
      <c r="H253" s="24" t="n">
        <f aca="false">VLOOKUP(A253,All!A:AM,29,0)</f>
        <v>0.109</v>
      </c>
      <c r="I253" s="25" t="n">
        <f aca="false">VLOOKUP(A253,All!A:AM,33,0)</f>
        <v>57.4083966445076</v>
      </c>
      <c r="J253" s="25" t="n">
        <f aca="false">VLOOKUP(A253,All!A:AM,32,0)</f>
        <v>5.80329999999998</v>
      </c>
      <c r="K253" s="26" t="n">
        <f aca="false">VLOOKUP(A253,All!A:AM,39,0)</f>
        <v>80.8644444444444</v>
      </c>
      <c r="L253" s="26" t="n">
        <f aca="false">VLOOKUP(A253,All!A:AM,38,0)</f>
        <v>18.1945</v>
      </c>
      <c r="M253" s="28" t="n">
        <f aca="false">VLOOKUP(A253,'SYS Allocations'!A:G,2,0)</f>
        <v>0</v>
      </c>
      <c r="N253" s="28" t="n">
        <f aca="false">VLOOKUP(A253,'SYS Allocations'!A:G,3,0)</f>
        <v>0</v>
      </c>
      <c r="O253" s="28" t="n">
        <f aca="false">VLOOKUP(A253,'SYS Allocations'!A:G,4,0)</f>
        <v>0</v>
      </c>
      <c r="P253" s="28" t="n">
        <f aca="false">VLOOKUP(A253,'SYS Allocations'!A:G,5,0)</f>
        <v>0</v>
      </c>
      <c r="Q253" s="28" t="n">
        <f aca="false">VLOOKUP(A253,'SYS Allocations'!A:G,6,0)</f>
        <v>0</v>
      </c>
      <c r="R253" s="29" t="n">
        <f aca="false">VLOOKUP(A253,'SYS Allocations'!A:G,7,0)</f>
        <v>2</v>
      </c>
      <c r="S253" s="30"/>
    </row>
    <row r="254" customFormat="false" ht="13.15" hidden="true" customHeight="false" outlineLevel="0" collapsed="false">
      <c r="A254" s="20"/>
      <c r="B254" s="21" t="e">
        <f aca="false">VLOOKUP(A254,All!A:AM,2,0)</f>
        <v>#N/A</v>
      </c>
      <c r="C254" s="22" t="e">
        <f aca="false">VLOOKUP(A254,All!A:AM,11,0)</f>
        <v>#N/A</v>
      </c>
      <c r="D254" s="23"/>
      <c r="E254" s="24" t="e">
        <f aca="false">VLOOKUP(A254,All!A:AM,30,0)</f>
        <v>#N/A</v>
      </c>
      <c r="F254" s="24" t="e">
        <f aca="false">VLOOKUP(A254,All!A:AM,28,0)</f>
        <v>#N/A</v>
      </c>
      <c r="G254" s="24" t="e">
        <f aca="false">VLOOKUP(A254,All!A:AM,31,0)</f>
        <v>#N/A</v>
      </c>
      <c r="H254" s="24" t="e">
        <f aca="false">VLOOKUP(A254,All!A:AM,29,0)</f>
        <v>#N/A</v>
      </c>
      <c r="I254" s="25" t="e">
        <f aca="false">VLOOKUP(A254,All!A:AM,33,0)</f>
        <v>#N/A</v>
      </c>
      <c r="J254" s="25" t="e">
        <f aca="false">VLOOKUP(A254,All!A:AM,32,0)</f>
        <v>#N/A</v>
      </c>
      <c r="K254" s="26" t="e">
        <f aca="false">VLOOKUP(A254,All!A:AM,39,0)</f>
        <v>#N/A</v>
      </c>
      <c r="L254" s="26" t="e">
        <f aca="false">VLOOKUP(A254,All!A:AM,38,0)</f>
        <v>#N/A</v>
      </c>
      <c r="M254" s="2" t="e">
        <f aca="false">VLOOKUP(A254,'SYS Allocations'!A:G,2,0)</f>
        <v>#N/A</v>
      </c>
      <c r="N254" s="28" t="e">
        <f aca="false">VLOOKUP(A254,'SYS Allocations'!A:G,3,0)</f>
        <v>#N/A</v>
      </c>
      <c r="O254" s="28" t="e">
        <f aca="false">VLOOKUP(A254,'SYS Allocations'!A:G,4,0)</f>
        <v>#N/A</v>
      </c>
      <c r="P254" s="28" t="e">
        <f aca="false">VLOOKUP(A254,'SYS Allocations'!A:G,5,0)</f>
        <v>#N/A</v>
      </c>
      <c r="Q254" s="28" t="e">
        <f aca="false">VLOOKUP(A254,'SYS Allocations'!A:G,6,0)</f>
        <v>#N/A</v>
      </c>
      <c r="R254" s="29" t="e">
        <f aca="false">VLOOKUP(A254,'SYS Allocations'!A:G,7,0)</f>
        <v>#N/A</v>
      </c>
      <c r="S254" s="30"/>
    </row>
    <row r="255" customFormat="false" ht="13.15" hidden="true" customHeight="false" outlineLevel="0" collapsed="false">
      <c r="A255" s="20"/>
      <c r="B255" s="21" t="e">
        <f aca="false">VLOOKUP(A255,All!A:AM,2,0)</f>
        <v>#N/A</v>
      </c>
      <c r="C255" s="22" t="e">
        <f aca="false">VLOOKUP(A255,All!A:AM,11,0)</f>
        <v>#N/A</v>
      </c>
      <c r="E255" s="2" t="e">
        <f aca="false">VLOOKUP(A255,All!A:AM,30,0)</f>
        <v>#N/A</v>
      </c>
      <c r="F255" s="2" t="e">
        <f aca="false">VLOOKUP(A255,All!A:AM,28,0)</f>
        <v>#N/A</v>
      </c>
      <c r="G255" s="2" t="e">
        <f aca="false">VLOOKUP(A255,All!A:AM,31,0)</f>
        <v>#N/A</v>
      </c>
      <c r="H255" s="2" t="e">
        <f aca="false">VLOOKUP(A255,All!A:AM,29,0)</f>
        <v>#N/A</v>
      </c>
      <c r="I255" s="2" t="e">
        <f aca="false">VLOOKUP(A255,All!A:AM,33,0)</f>
        <v>#N/A</v>
      </c>
      <c r="J255" s="2" t="e">
        <f aca="false">VLOOKUP(A255,All!A:AM,32,0)</f>
        <v>#N/A</v>
      </c>
      <c r="K255" s="3" t="e">
        <f aca="false">VLOOKUP(A255,All!A:AM,39,0)</f>
        <v>#N/A</v>
      </c>
      <c r="L255" s="3" t="e">
        <f aca="false">VLOOKUP(A255,All!A:AM,38,0)</f>
        <v>#N/A</v>
      </c>
      <c r="N255" s="28" t="e">
        <f aca="false">VLOOKUP(A255,'SYS Allocations'!A:G,3,0)</f>
        <v>#N/A</v>
      </c>
      <c r="O255" s="28" t="e">
        <f aca="false">VLOOKUP(A255,'SYS Allocations'!A:G,4,0)</f>
        <v>#N/A</v>
      </c>
      <c r="P255" s="28"/>
      <c r="Q255" s="28" t="e">
        <f aca="false">VLOOKUP(A255,'SYS Allocations'!A:G,6,0)</f>
        <v>#N/A</v>
      </c>
      <c r="R255" s="29" t="e">
        <f aca="false">VLOOKUP(A255,'SYS Allocations'!A:G,7,0)</f>
        <v>#N/A</v>
      </c>
      <c r="S255" s="30"/>
    </row>
    <row r="256" customFormat="false" ht="13.15" hidden="true" customHeight="false" outlineLevel="0" collapsed="false">
      <c r="A256" s="20"/>
      <c r="B256" s="21" t="e">
        <f aca="false">VLOOKUP(A256,All!A:AM,2,0)</f>
        <v>#N/A</v>
      </c>
      <c r="C256" s="22" t="e">
        <f aca="false">VLOOKUP(A256,All!A:AM,11,0)</f>
        <v>#N/A</v>
      </c>
      <c r="N256" s="28" t="e">
        <f aca="false">VLOOKUP(A256,'SYS Allocations'!A:G,3,0)</f>
        <v>#N/A</v>
      </c>
      <c r="O256" s="28" t="e">
        <f aca="false">VLOOKUP(A256,'SYS Allocations'!A:G,4,0)</f>
        <v>#N/A</v>
      </c>
      <c r="P256" s="28"/>
      <c r="Q256" s="28" t="e">
        <f aca="false">VLOOKUP(A256,'SYS Allocations'!A:G,6,0)</f>
        <v>#N/A</v>
      </c>
      <c r="R256" s="29" t="e">
        <f aca="false">VLOOKUP(A256,'SYS Allocations'!A:G,7,0)</f>
        <v>#N/A</v>
      </c>
      <c r="S256" s="30"/>
    </row>
    <row r="257" customFormat="false" ht="13.15" hidden="true" customHeight="false" outlineLevel="0" collapsed="false">
      <c r="A257" s="20"/>
      <c r="B257" s="21" t="e">
        <f aca="false">VLOOKUP(A257,All!A:AM,2,0)</f>
        <v>#N/A</v>
      </c>
      <c r="C257" s="22" t="e">
        <f aca="false">VLOOKUP(A257,All!A:AM,11,0)</f>
        <v>#N/A</v>
      </c>
      <c r="N257" s="28" t="e">
        <f aca="false">VLOOKUP(A257,'SYS Allocations'!A:G,3,0)</f>
        <v>#N/A</v>
      </c>
      <c r="O257" s="28" t="e">
        <f aca="false">VLOOKUP(A257,'SYS Allocations'!A:G,4,0)</f>
        <v>#N/A</v>
      </c>
      <c r="P257" s="28"/>
      <c r="Q257" s="28" t="e">
        <f aca="false">VLOOKUP(A257,'SYS Allocations'!A:G,6,0)</f>
        <v>#N/A</v>
      </c>
      <c r="R257" s="29" t="e">
        <f aca="false">VLOOKUP(A257,'SYS Allocations'!A:G,7,0)</f>
        <v>#N/A</v>
      </c>
      <c r="S257" s="30"/>
    </row>
    <row r="258" customFormat="false" ht="13.15" hidden="true" customHeight="false" outlineLevel="0" collapsed="false">
      <c r="A258" s="20"/>
      <c r="B258" s="21" t="e">
        <f aca="false">VLOOKUP(A258,All!A:AM,2,0)</f>
        <v>#N/A</v>
      </c>
      <c r="C258" s="22" t="e">
        <f aca="false">VLOOKUP(A258,All!A:AM,11,0)</f>
        <v>#N/A</v>
      </c>
      <c r="N258" s="28" t="e">
        <f aca="false">VLOOKUP(A258,'SYS Allocations'!A:G,3,0)</f>
        <v>#N/A</v>
      </c>
      <c r="O258" s="28" t="e">
        <f aca="false">VLOOKUP(A258,'SYS Allocations'!A:G,4,0)</f>
        <v>#N/A</v>
      </c>
      <c r="P258" s="28"/>
      <c r="Q258" s="28" t="e">
        <f aca="false">VLOOKUP(A258,'SYS Allocations'!A:G,6,0)</f>
        <v>#N/A</v>
      </c>
      <c r="R258" s="29" t="e">
        <f aca="false">VLOOKUP(A258,'SYS Allocations'!A:G,7,0)</f>
        <v>#N/A</v>
      </c>
      <c r="S258" s="30"/>
    </row>
    <row r="259" customFormat="false" ht="13.15" hidden="true" customHeight="false" outlineLevel="0" collapsed="false">
      <c r="A259" s="20"/>
      <c r="B259" s="21" t="e">
        <f aca="false">VLOOKUP(A259,All!A:AM,2,0)</f>
        <v>#N/A</v>
      </c>
      <c r="C259" s="22" t="e">
        <f aca="false">VLOOKUP(A259,All!A:AM,11,0)</f>
        <v>#N/A</v>
      </c>
      <c r="N259" s="28" t="e">
        <f aca="false">VLOOKUP(A259,'SYS Allocations'!A:G,3,0)</f>
        <v>#N/A</v>
      </c>
      <c r="O259" s="28" t="e">
        <f aca="false">VLOOKUP(A259,'SYS Allocations'!A:G,4,0)</f>
        <v>#N/A</v>
      </c>
      <c r="P259" s="28"/>
      <c r="Q259" s="28" t="e">
        <f aca="false">VLOOKUP(A259,'SYS Allocations'!A:G,6,0)</f>
        <v>#N/A</v>
      </c>
      <c r="R259" s="29" t="e">
        <f aca="false">VLOOKUP(A259,'SYS Allocations'!A:G,7,0)</f>
        <v>#N/A</v>
      </c>
      <c r="S259" s="30"/>
    </row>
    <row r="260" customFormat="false" ht="13.15" hidden="true" customHeight="false" outlineLevel="0" collapsed="false">
      <c r="A260" s="20"/>
      <c r="B260" s="21" t="e">
        <f aca="false">VLOOKUP(A260,All!A:AM,2,0)</f>
        <v>#N/A</v>
      </c>
      <c r="C260" s="22" t="e">
        <f aca="false">VLOOKUP(A260,All!A:AM,11,0)</f>
        <v>#N/A</v>
      </c>
      <c r="N260" s="28" t="e">
        <f aca="false">VLOOKUP(A260,'SYS Allocations'!A:G,3,0)</f>
        <v>#N/A</v>
      </c>
      <c r="O260" s="28" t="e">
        <f aca="false">VLOOKUP(A260,'SYS Allocations'!A:G,4,0)</f>
        <v>#N/A</v>
      </c>
      <c r="P260" s="28"/>
      <c r="Q260" s="28" t="e">
        <f aca="false">VLOOKUP(A260,'SYS Allocations'!A:G,6,0)</f>
        <v>#N/A</v>
      </c>
      <c r="R260" s="29" t="e">
        <f aca="false">VLOOKUP(A260,'SYS Allocations'!A:G,7,0)</f>
        <v>#N/A</v>
      </c>
      <c r="S260" s="30"/>
    </row>
    <row r="261" customFormat="false" ht="13.15" hidden="true" customHeight="false" outlineLevel="0" collapsed="false">
      <c r="A261" s="20"/>
      <c r="B261" s="21" t="e">
        <f aca="false">VLOOKUP(A261,All!A:AM,2,0)</f>
        <v>#N/A</v>
      </c>
      <c r="C261" s="22" t="e">
        <f aca="false">VLOOKUP(A261,All!A:AM,11,0)</f>
        <v>#N/A</v>
      </c>
      <c r="N261" s="28" t="e">
        <f aca="false">VLOOKUP(A261,'SYS Allocations'!A:G,3,0)</f>
        <v>#N/A</v>
      </c>
      <c r="O261" s="28" t="e">
        <f aca="false">VLOOKUP(A261,'SYS Allocations'!A:G,4,0)</f>
        <v>#N/A</v>
      </c>
      <c r="P261" s="28"/>
      <c r="Q261" s="28" t="e">
        <f aca="false">VLOOKUP(A261,'SYS Allocations'!A:G,6,0)</f>
        <v>#N/A</v>
      </c>
      <c r="R261" s="29" t="e">
        <f aca="false">VLOOKUP(A261,'SYS Allocations'!A:G,7,0)</f>
        <v>#N/A</v>
      </c>
      <c r="S261" s="30"/>
    </row>
    <row r="262" customFormat="false" ht="13.15" hidden="true" customHeight="false" outlineLevel="0" collapsed="false">
      <c r="A262" s="20"/>
      <c r="B262" s="21" t="e">
        <f aca="false">VLOOKUP(A262,All!A:AM,2,0)</f>
        <v>#N/A</v>
      </c>
      <c r="C262" s="22" t="e">
        <f aca="false">VLOOKUP(A262,All!A:AM,11,0)</f>
        <v>#N/A</v>
      </c>
      <c r="N262" s="28" t="e">
        <f aca="false">VLOOKUP(A262,'SYS Allocations'!A:G,3,0)</f>
        <v>#N/A</v>
      </c>
      <c r="O262" s="28" t="e">
        <f aca="false">VLOOKUP(A262,'SYS Allocations'!A:G,4,0)</f>
        <v>#N/A</v>
      </c>
      <c r="P262" s="28"/>
      <c r="Q262" s="28" t="e">
        <f aca="false">VLOOKUP(A262,'SYS Allocations'!A:G,6,0)</f>
        <v>#N/A</v>
      </c>
      <c r="R262" s="29" t="e">
        <f aca="false">VLOOKUP(A262,'SYS Allocations'!A:G,7,0)</f>
        <v>#N/A</v>
      </c>
      <c r="S262" s="30"/>
    </row>
    <row r="263" customFormat="false" ht="13.15" hidden="true" customHeight="false" outlineLevel="0" collapsed="false">
      <c r="A263" s="20"/>
      <c r="B263" s="21" t="e">
        <f aca="false">VLOOKUP(A263,All!A:AM,2,0)</f>
        <v>#N/A</v>
      </c>
      <c r="C263" s="22" t="e">
        <f aca="false">VLOOKUP(A263,All!A:AM,11,0)</f>
        <v>#N/A</v>
      </c>
      <c r="N263" s="28" t="e">
        <f aca="false">VLOOKUP(A263,'SYS Allocations'!A:G,3,0)</f>
        <v>#N/A</v>
      </c>
      <c r="O263" s="28" t="e">
        <f aca="false">VLOOKUP(A263,'SYS Allocations'!A:G,4,0)</f>
        <v>#N/A</v>
      </c>
      <c r="P263" s="28"/>
      <c r="Q263" s="28" t="e">
        <f aca="false">VLOOKUP(A263,'SYS Allocations'!A:G,6,0)</f>
        <v>#N/A</v>
      </c>
      <c r="R263" s="29" t="e">
        <f aca="false">VLOOKUP(A263,'SYS Allocations'!A:G,7,0)</f>
        <v>#N/A</v>
      </c>
      <c r="S263" s="30"/>
    </row>
    <row r="264" customFormat="false" ht="13.15" hidden="true" customHeight="false" outlineLevel="0" collapsed="false">
      <c r="A264" s="20"/>
      <c r="B264" s="21" t="e">
        <f aca="false">VLOOKUP(A264,All!A:AM,2,0)</f>
        <v>#N/A</v>
      </c>
      <c r="C264" s="22" t="e">
        <f aca="false">VLOOKUP(A264,All!A:AM,11,0)</f>
        <v>#N/A</v>
      </c>
      <c r="N264" s="28" t="e">
        <f aca="false">VLOOKUP(A264,'SYS Allocations'!A:G,3,0)</f>
        <v>#N/A</v>
      </c>
      <c r="O264" s="28" t="e">
        <f aca="false">VLOOKUP(A264,'SYS Allocations'!A:G,4,0)</f>
        <v>#N/A</v>
      </c>
      <c r="P264" s="28"/>
      <c r="Q264" s="28" t="e">
        <f aca="false">VLOOKUP(A264,'SYS Allocations'!A:G,6,0)</f>
        <v>#N/A</v>
      </c>
      <c r="R264" s="29" t="e">
        <f aca="false">VLOOKUP(A264,'SYS Allocations'!A:G,7,0)</f>
        <v>#N/A</v>
      </c>
      <c r="S264" s="30"/>
    </row>
    <row r="265" customFormat="false" ht="13.15" hidden="true" customHeight="false" outlineLevel="0" collapsed="false">
      <c r="A265" s="20"/>
      <c r="B265" s="21" t="e">
        <f aca="false">VLOOKUP(A265,All!A:AM,2,0)</f>
        <v>#N/A</v>
      </c>
      <c r="C265" s="22" t="e">
        <f aca="false">VLOOKUP(A265,All!A:AM,11,0)</f>
        <v>#N/A</v>
      </c>
      <c r="N265" s="28" t="e">
        <f aca="false">VLOOKUP(A265,'SYS Allocations'!A:G,3,0)</f>
        <v>#N/A</v>
      </c>
      <c r="O265" s="28" t="e">
        <f aca="false">VLOOKUP(A265,'SYS Allocations'!A:G,4,0)</f>
        <v>#N/A</v>
      </c>
      <c r="P265" s="28"/>
      <c r="Q265" s="28" t="e">
        <f aca="false">VLOOKUP(A265,'SYS Allocations'!A:G,6,0)</f>
        <v>#N/A</v>
      </c>
      <c r="R265" s="29" t="e">
        <f aca="false">VLOOKUP(A265,'SYS Allocations'!A:G,7,0)</f>
        <v>#N/A</v>
      </c>
      <c r="S265" s="30"/>
    </row>
    <row r="266" customFormat="false" ht="13.15" hidden="true" customHeight="false" outlineLevel="0" collapsed="false">
      <c r="A266" s="20"/>
      <c r="B266" s="21" t="e">
        <f aca="false">VLOOKUP(A266,All!A:AM,2,0)</f>
        <v>#N/A</v>
      </c>
      <c r="C266" s="22" t="e">
        <f aca="false">VLOOKUP(A266,All!A:AM,11,0)</f>
        <v>#N/A</v>
      </c>
      <c r="N266" s="28" t="e">
        <f aca="false">VLOOKUP(A266,'SYS Allocations'!A:G,3,0)</f>
        <v>#N/A</v>
      </c>
      <c r="O266" s="28" t="e">
        <f aca="false">VLOOKUP(A266,'SYS Allocations'!A:G,4,0)</f>
        <v>#N/A</v>
      </c>
      <c r="P266" s="28"/>
      <c r="Q266" s="28" t="e">
        <f aca="false">VLOOKUP(A266,'SYS Allocations'!A:G,6,0)</f>
        <v>#N/A</v>
      </c>
      <c r="R266" s="29" t="e">
        <f aca="false">VLOOKUP(A266,'SYS Allocations'!A:G,7,0)</f>
        <v>#N/A</v>
      </c>
      <c r="S266" s="30"/>
    </row>
    <row r="267" customFormat="false" ht="13.15" hidden="true" customHeight="false" outlineLevel="0" collapsed="false">
      <c r="A267" s="20"/>
      <c r="B267" s="21" t="e">
        <f aca="false">VLOOKUP(A267,All!A:AM,2,0)</f>
        <v>#N/A</v>
      </c>
      <c r="C267" s="22" t="e">
        <f aca="false">VLOOKUP(A267,All!A:AM,11,0)</f>
        <v>#N/A</v>
      </c>
      <c r="N267" s="28" t="e">
        <f aca="false">VLOOKUP(A267,'SYS Allocations'!A:G,3,0)</f>
        <v>#N/A</v>
      </c>
      <c r="O267" s="28" t="e">
        <f aca="false">VLOOKUP(A267,'SYS Allocations'!A:G,4,0)</f>
        <v>#N/A</v>
      </c>
      <c r="P267" s="28"/>
      <c r="Q267" s="28" t="e">
        <f aca="false">VLOOKUP(A267,'SYS Allocations'!A:G,6,0)</f>
        <v>#N/A</v>
      </c>
      <c r="R267" s="29" t="e">
        <f aca="false">VLOOKUP(A267,'SYS Allocations'!A:G,7,0)</f>
        <v>#N/A</v>
      </c>
      <c r="S267" s="30"/>
    </row>
    <row r="268" customFormat="false" ht="13.15" hidden="true" customHeight="false" outlineLevel="0" collapsed="false">
      <c r="A268" s="20"/>
      <c r="B268" s="21" t="e">
        <f aca="false">VLOOKUP(A268,All!A:AM,2,0)</f>
        <v>#N/A</v>
      </c>
      <c r="C268" s="22" t="e">
        <f aca="false">VLOOKUP(A268,All!A:AM,11,0)</f>
        <v>#N/A</v>
      </c>
      <c r="N268" s="28" t="e">
        <f aca="false">VLOOKUP(A268,'SYS Allocations'!A:G,3,0)</f>
        <v>#N/A</v>
      </c>
      <c r="O268" s="28" t="e">
        <f aca="false">VLOOKUP(A268,'SYS Allocations'!A:G,4,0)</f>
        <v>#N/A</v>
      </c>
      <c r="P268" s="28"/>
      <c r="Q268" s="28" t="e">
        <f aca="false">VLOOKUP(A268,'SYS Allocations'!A:G,6,0)</f>
        <v>#N/A</v>
      </c>
      <c r="R268" s="29" t="e">
        <f aca="false">VLOOKUP(A268,'SYS Allocations'!A:G,7,0)</f>
        <v>#N/A</v>
      </c>
      <c r="S268" s="30"/>
    </row>
    <row r="269" customFormat="false" ht="13.15" hidden="true" customHeight="false" outlineLevel="0" collapsed="false">
      <c r="B269" s="20" t="e">
        <f aca="false">VLOOKUP(A269,All!A:AM,2,0)</f>
        <v>#N/A</v>
      </c>
      <c r="C269" s="1" t="e">
        <f aca="false">VLOOKUP(A269,All!A:AM,11,0)</f>
        <v>#N/A</v>
      </c>
      <c r="N269" s="28" t="e">
        <f aca="false">VLOOKUP(A269,'SYS Allocations'!A:G,3,0)</f>
        <v>#N/A</v>
      </c>
      <c r="O269" s="28" t="e">
        <f aca="false">VLOOKUP(A269,'SYS Allocations'!A:G,4,0)</f>
        <v>#N/A</v>
      </c>
      <c r="P269" s="28"/>
      <c r="Q269" s="28" t="e">
        <f aca="false">VLOOKUP(A269,'SYS Allocations'!A:G,6,0)</f>
        <v>#N/A</v>
      </c>
      <c r="R269" s="29" t="e">
        <f aca="false">VLOOKUP(A269,'SYS Allocations'!A:G,7,0)</f>
        <v>#N/A</v>
      </c>
      <c r="S269" s="30"/>
    </row>
    <row r="270" customFormat="false" ht="13.15" hidden="true" customHeight="false" outlineLevel="0" collapsed="false">
      <c r="A270" s="43"/>
      <c r="N270" s="2" t="e">
        <f aca="false">VLOOKUP(A270,'SYS Allocations'!A:G,3,0)</f>
        <v>#N/A</v>
      </c>
      <c r="O270" s="2" t="e">
        <f aca="false">VLOOKUP(A270,'SYS Allocations'!A:G,4,0)</f>
        <v>#N/A</v>
      </c>
      <c r="Q270" s="28" t="e">
        <f aca="false">VLOOKUP(A270,'SYS Allocations'!A:G,6,0)</f>
        <v>#N/A</v>
      </c>
      <c r="R270" s="29" t="e">
        <f aca="false">VLOOKUP(A270,'SYS Allocations'!A:G,7,0)</f>
        <v>#N/A</v>
      </c>
      <c r="S270" s="30"/>
    </row>
    <row r="271" customFormat="false" ht="13.15" hidden="false" customHeight="false" outlineLevel="0" collapsed="false">
      <c r="S271" s="30"/>
    </row>
    <row r="272" customFormat="false" ht="13.15" hidden="false" customHeight="false" outlineLevel="0" collapsed="false">
      <c r="S272" s="30"/>
    </row>
    <row r="273" customFormat="false" ht="13.15" hidden="false" customHeight="false" outlineLevel="0" collapsed="false">
      <c r="S273" s="30"/>
    </row>
    <row r="274" customFormat="false" ht="13.15" hidden="false" customHeight="false" outlineLevel="0" collapsed="false">
      <c r="S274" s="30"/>
    </row>
    <row r="275" customFormat="false" ht="13.15" hidden="false" customHeight="false" outlineLevel="0" collapsed="false">
      <c r="S275" s="30"/>
    </row>
    <row r="276" customFormat="false" ht="13.15" hidden="false" customHeight="false" outlineLevel="0" collapsed="false">
      <c r="S276" s="30"/>
    </row>
    <row r="277" customFormat="false" ht="13.15" hidden="false" customHeight="false" outlineLevel="0" collapsed="false">
      <c r="S277" s="30"/>
    </row>
    <row r="278" customFormat="false" ht="13.15" hidden="false" customHeight="false" outlineLevel="0" collapsed="false">
      <c r="S278" s="30"/>
    </row>
    <row r="279" customFormat="false" ht="13.15" hidden="false" customHeight="false" outlineLevel="0" collapsed="false">
      <c r="S279" s="30"/>
    </row>
    <row r="280" customFormat="false" ht="13.15" hidden="false" customHeight="false" outlineLevel="0" collapsed="false">
      <c r="S280" s="30"/>
    </row>
    <row r="281" customFormat="false" ht="13.15" hidden="false" customHeight="false" outlineLevel="0" collapsed="false">
      <c r="S281" s="30"/>
    </row>
    <row r="282" customFormat="false" ht="13.15" hidden="false" customHeight="false" outlineLevel="0" collapsed="false">
      <c r="S282" s="30"/>
    </row>
    <row r="283" customFormat="false" ht="13.15" hidden="false" customHeight="false" outlineLevel="0" collapsed="false">
      <c r="S283" s="30"/>
    </row>
    <row r="284" customFormat="false" ht="13.15" hidden="false" customHeight="false" outlineLevel="0" collapsed="false">
      <c r="S284" s="30"/>
    </row>
    <row r="285" customFormat="false" ht="13.15" hidden="false" customHeight="false" outlineLevel="0" collapsed="false">
      <c r="S285" s="30"/>
    </row>
    <row r="286" customFormat="false" ht="13.15" hidden="false" customHeight="false" outlineLevel="0" collapsed="false">
      <c r="S286" s="30"/>
    </row>
    <row r="287" customFormat="false" ht="13.15" hidden="false" customHeight="false" outlineLevel="0" collapsed="false">
      <c r="S287" s="30"/>
    </row>
    <row r="288" customFormat="false" ht="13.15" hidden="false" customHeight="false" outlineLevel="0" collapsed="false">
      <c r="S288" s="30"/>
    </row>
    <row r="289" customFormat="false" ht="13.15" hidden="false" customHeight="false" outlineLevel="0" collapsed="false">
      <c r="S289" s="30"/>
    </row>
    <row r="290" customFormat="false" ht="13.15" hidden="false" customHeight="false" outlineLevel="0" collapsed="false">
      <c r="S290" s="30"/>
    </row>
  </sheetData>
  <sheetProtection algorithmName="SHA-512" hashValue="cM1HOPfGl0589L9cZX5uvbkeJ0z1HltnYZzbd1HBOgA61hDKKQfSx5wFuVOMyfBs4Shz1Bcn6zfYgTa5PzYT9g==" saltValue="eDY+7ow3h623Q2Lj2LDtBw==" spinCount="100000" sheet="true" autoFilter="false"/>
  <autoFilter ref="A7:R270">
    <filterColumn colId="0">
      <filters>
        <filter val="BKLN05;DC SYS02"/>
        <filter val="BKLN05;DC SYS03;NEAR CK"/>
        <filter val="BKLN05;DC SYS04a"/>
        <filter val="BKLN05;DC SYS04b"/>
      </filters>
    </filterColumn>
  </autoFilter>
  <mergeCells count="57">
    <mergeCell ref="K12:K13"/>
    <mergeCell ref="L12:L13"/>
    <mergeCell ref="K22:K23"/>
    <mergeCell ref="L22:L23"/>
    <mergeCell ref="K37:K39"/>
    <mergeCell ref="L37:L39"/>
    <mergeCell ref="K41:K42"/>
    <mergeCell ref="L41:L42"/>
    <mergeCell ref="K48:K49"/>
    <mergeCell ref="K50:K51"/>
    <mergeCell ref="L50:L51"/>
    <mergeCell ref="K69:K70"/>
    <mergeCell ref="L69:L70"/>
    <mergeCell ref="K71:K72"/>
    <mergeCell ref="L71:L72"/>
    <mergeCell ref="K75:K76"/>
    <mergeCell ref="L75:L76"/>
    <mergeCell ref="K103:K104"/>
    <mergeCell ref="L103:L104"/>
    <mergeCell ref="K108:K109"/>
    <mergeCell ref="L108:L109"/>
    <mergeCell ref="K116:K117"/>
    <mergeCell ref="L116:L117"/>
    <mergeCell ref="K118:K119"/>
    <mergeCell ref="L118:L119"/>
    <mergeCell ref="K140:K141"/>
    <mergeCell ref="L140:L141"/>
    <mergeCell ref="K142:K143"/>
    <mergeCell ref="L142:L143"/>
    <mergeCell ref="K153:K154"/>
    <mergeCell ref="L153:L154"/>
    <mergeCell ref="K156:K157"/>
    <mergeCell ref="L156:L157"/>
    <mergeCell ref="K158:K159"/>
    <mergeCell ref="L158:L159"/>
    <mergeCell ref="K171:K172"/>
    <mergeCell ref="L171:L172"/>
    <mergeCell ref="K175:K176"/>
    <mergeCell ref="L175:L176"/>
    <mergeCell ref="K179:K182"/>
    <mergeCell ref="L179:L182"/>
    <mergeCell ref="K194:K195"/>
    <mergeCell ref="L194:L195"/>
    <mergeCell ref="K202:K203"/>
    <mergeCell ref="L202:L203"/>
    <mergeCell ref="K215:K217"/>
    <mergeCell ref="L215:L217"/>
    <mergeCell ref="K218:K221"/>
    <mergeCell ref="L218:L221"/>
    <mergeCell ref="K226:K229"/>
    <mergeCell ref="L226:L229"/>
    <mergeCell ref="K231:K232"/>
    <mergeCell ref="L231:L232"/>
    <mergeCell ref="K239:K240"/>
    <mergeCell ref="L239:L240"/>
    <mergeCell ref="K241:K242"/>
    <mergeCell ref="L241:L242"/>
  </mergeCells>
  <conditionalFormatting sqref="C8:C268">
    <cfRule type="expression" priority="2" aboveAverage="0" equalAverage="0" bottom="0" percent="0" rank="0" text="" dxfId="0">
      <formula>C8&lt;=TODAY()-365</formula>
    </cfRule>
  </conditionalFormatting>
  <conditionalFormatting sqref="D8:E254 G8:G254 I8:I254 K43:K48 K50">
    <cfRule type="cellIs" priority="3" operator="lessThan" aboveAverage="0" equalAverage="0" bottom="0" percent="0" rank="0" text="" dxfId="1">
      <formula>0</formula>
    </cfRule>
    <cfRule type="cellIs" priority="4" operator="between" aboveAverage="0" equalAverage="0" bottom="0" percent="0" rank="0" text="" dxfId="2">
      <formula>0</formula>
      <formula>9.999999999999</formula>
    </cfRule>
    <cfRule type="cellIs" priority="5" operator="between" aboveAverage="0" equalAverage="0" bottom="0" percent="0" rank="0" text="" dxfId="3">
      <formula>10</formula>
      <formula>24.99999999999</formula>
    </cfRule>
    <cfRule type="cellIs" priority="6" operator="between" aboveAverage="0" equalAverage="0" bottom="0" percent="0" rank="0" text="" dxfId="4">
      <formula>25</formula>
      <formula>100</formula>
    </cfRule>
  </conditionalFormatting>
  <conditionalFormatting sqref="K8:K12 K14:K22 K24:K36 K40:K41 K52:K69 K71 K73:K75 K77:K103 K105:K108 K110:K116 K118 K120:K140 K142 K144:K153 K156 K158 K160:K171 K173:K175 K177:K179 K183:K194 K196:K202 K204:K215 K218 K222:K226 K230:K231 K233:K239 K241 K243:K254 D255:L269">
    <cfRule type="cellIs" priority="7" operator="lessThan" aboveAverage="0" equalAverage="0" bottom="0" percent="0" rank="0" text="" dxfId="5">
      <formula>0</formula>
    </cfRule>
    <cfRule type="cellIs" priority="8" operator="between" aboveAverage="0" equalAverage="0" bottom="0" percent="0" rank="0" text="" dxfId="6">
      <formula>0</formula>
      <formula>9.999999999999</formula>
    </cfRule>
    <cfRule type="cellIs" priority="9" operator="between" aboveAverage="0" equalAverage="0" bottom="0" percent="0" rank="0" text="" dxfId="7">
      <formula>10</formula>
      <formula>24.99999999999</formula>
    </cfRule>
    <cfRule type="cellIs" priority="10" operator="between" aboveAverage="0" equalAverage="0" bottom="0" percent="0" rank="0" text="" dxfId="8">
      <formula>25</formula>
      <formula>100</formula>
    </cfRule>
  </conditionalFormatting>
  <conditionalFormatting sqref="M8:Q8 M9:O38 P9:Q71 Q9:Q270 M39 O39:O71 M41:N71 M72:Q197 M198:O239 P198:Q253 M241:O253 N254:Q269">
    <cfRule type="cellIs" priority="11" operator="equal" aboveAverage="0" equalAverage="0" bottom="0" percent="0" rank="0" text="" dxfId="9">
      <formula>"OPEX"</formula>
    </cfRule>
  </conditionalFormatting>
  <conditionalFormatting sqref="M8:Q8 M9:O38 P9:Q71 Q9:Q270 M39 O39:O71 M41:N71 M72:Q253 N254:Q269">
    <cfRule type="cellIs" priority="12" operator="equal" aboveAverage="0" equalAverage="0" bottom="0" percent="0" rank="0" text="" dxfId="10">
      <formula>"PX"</formula>
    </cfRule>
  </conditionalFormatting>
  <conditionalFormatting sqref="M8:Q253 Q9:Q270">
    <cfRule type="cellIs" priority="13" operator="equal" aboveAverage="0" equalAverage="0" bottom="0" percent="0" rank="0" text="" dxfId="11">
      <formula>0</formula>
    </cfRule>
    <cfRule type="cellIs" priority="14" operator="equal" aboveAverage="0" equalAverage="0" bottom="0" percent="0" rank="0" text="" dxfId="12">
      <formula>"RA"</formula>
    </cfRule>
    <cfRule type="cellIs" priority="15" operator="equal" aboveAverage="0" equalAverage="0" bottom="0" percent="0" rank="0" text="" dxfId="13">
      <formula>"P-Core"</formula>
    </cfRule>
  </conditionalFormatting>
  <conditionalFormatting sqref="N254:Q269">
    <cfRule type="cellIs" priority="16" operator="equal" aboveAverage="0" equalAverage="0" bottom="0" percent="0" rank="0" text="" dxfId="14">
      <formula>0</formula>
    </cfRule>
    <cfRule type="cellIs" priority="17" operator="equal" aboveAverage="0" equalAverage="0" bottom="0" percent="0" rank="0" text="" dxfId="15">
      <formula>"RA"</formula>
    </cfRule>
    <cfRule type="cellIs" priority="18" operator="equal" aboveAverage="0" equalAverage="0" bottom="0" percent="0" rank="0" text="" dxfId="16">
      <formula>"P-Core"</formula>
    </cfRule>
  </conditionalFormatting>
  <conditionalFormatting sqref="P8:Q404">
    <cfRule type="cellIs" priority="19" operator="equal" aboveAverage="0" equalAverage="0" bottom="0" percent="0" rank="0" text="" dxfId="17">
      <formula>"AM"</formula>
    </cfRule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6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1" ySplit="7" topLeftCell="N8" activePane="bottomRight" state="frozen"/>
      <selection pane="topLeft" activeCell="A1" activeCellId="0" sqref="A1"/>
      <selection pane="topRight" activeCell="N1" activeCellId="0" sqref="N1"/>
      <selection pane="bottomLeft" activeCell="A8" activeCellId="0" sqref="A8"/>
      <selection pane="bottomRight" activeCell="N14" activeCellId="0" sqref="N14"/>
    </sheetView>
  </sheetViews>
  <sheetFormatPr defaultColWidth="8.6875" defaultRowHeight="13.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32"/>
    <col collapsed="false" customWidth="true" hidden="false" outlineLevel="0" max="3" min="3" style="0" width="25.29"/>
    <col collapsed="false" customWidth="true" hidden="false" outlineLevel="0" max="4" min="4" style="0" width="26.71"/>
    <col collapsed="false" customWidth="true" hidden="false" outlineLevel="0" max="5" min="5" style="0" width="19.29"/>
    <col collapsed="false" customWidth="true" hidden="false" outlineLevel="0" max="6" min="6" style="0" width="28.71"/>
    <col collapsed="false" customWidth="true" hidden="false" outlineLevel="0" max="7" min="7" style="0" width="16.29"/>
    <col collapsed="false" customWidth="true" hidden="false" outlineLevel="0" max="8" min="8" style="0" width="14.7"/>
    <col collapsed="false" customWidth="true" hidden="false" outlineLevel="0" max="9" min="9" style="0" width="18.71"/>
    <col collapsed="false" customWidth="true" hidden="false" outlineLevel="0" max="10" min="10" style="0" width="9.29"/>
    <col collapsed="false" customWidth="true" hidden="false" outlineLevel="0" max="11" min="11" style="0" width="11.99"/>
    <col collapsed="false" customWidth="true" hidden="false" outlineLevel="0" max="12" min="12" style="0" width="33.29"/>
    <col collapsed="false" customWidth="true" hidden="false" outlineLevel="0" max="13" min="13" style="0" width="31.57"/>
    <col collapsed="false" customWidth="true" hidden="false" outlineLevel="0" max="14" min="14" style="0" width="36.29"/>
    <col collapsed="false" customWidth="true" hidden="false" outlineLevel="0" max="15" min="15" style="0" width="40.28"/>
    <col collapsed="false" customWidth="true" hidden="false" outlineLevel="0" max="16" min="16" style="0" width="10.42"/>
    <col collapsed="false" customWidth="true" hidden="false" outlineLevel="0" max="17" min="17" style="0" width="9.71"/>
    <col collapsed="false" customWidth="true" hidden="false" outlineLevel="0" max="18" min="18" style="0" width="22.28"/>
    <col collapsed="false" customWidth="true" hidden="false" outlineLevel="0" max="19" min="19" style="0" width="19"/>
    <col collapsed="false" customWidth="true" hidden="false" outlineLevel="0" max="20" min="20" style="0" width="21.71"/>
    <col collapsed="false" customWidth="true" hidden="false" outlineLevel="0" max="21" min="21" style="0" width="16.29"/>
    <col collapsed="false" customWidth="true" hidden="false" outlineLevel="0" max="22" min="22" style="0" width="19"/>
    <col collapsed="false" customWidth="true" hidden="false" outlineLevel="0" max="23" min="23" style="0" width="28.29"/>
    <col collapsed="false" customWidth="true" hidden="false" outlineLevel="0" max="24" min="24" style="0" width="19.71"/>
    <col collapsed="false" customWidth="true" hidden="false" outlineLevel="0" max="25" min="25" style="0" width="20.57"/>
    <col collapsed="false" customWidth="true" hidden="false" outlineLevel="0" max="26" min="26" style="0" width="38.57"/>
    <col collapsed="false" customWidth="true" hidden="false" outlineLevel="0" max="28" min="27" style="0" width="9.29"/>
    <col collapsed="false" customWidth="true" hidden="false" outlineLevel="0" max="42" min="42" style="0" width="11.71"/>
  </cols>
  <sheetData>
    <row r="1" customFormat="false" ht="13.15" hidden="false" customHeight="false" outlineLevel="0" collapsed="false">
      <c r="A1" s="44" t="s">
        <v>270</v>
      </c>
      <c r="B1" s="45" t="n">
        <f aca="true">TODAY()-365</f>
        <v>45361</v>
      </c>
    </row>
    <row r="2" customFormat="false" ht="13.15" hidden="false" customHeight="false" outlineLevel="0" collapsed="false">
      <c r="A2" s="44" t="s">
        <v>271</v>
      </c>
      <c r="B2" s="0" t="n">
        <f aca="false">COUNTIF(K8:K253,"&lt;="&amp;B1)+COUNTIF(K8:K253,"")</f>
        <v>41</v>
      </c>
    </row>
    <row r="5" customFormat="false" ht="13.15" hidden="false" customHeight="false" outlineLevel="0" collapsed="false">
      <c r="A5" s="46" t="s">
        <v>272</v>
      </c>
      <c r="B5" s="46" t="s">
        <v>272</v>
      </c>
      <c r="C5" s="46" t="s">
        <v>272</v>
      </c>
      <c r="D5" s="46" t="s">
        <v>272</v>
      </c>
      <c r="E5" s="46" t="s">
        <v>272</v>
      </c>
      <c r="F5" s="46" t="s">
        <v>272</v>
      </c>
      <c r="G5" s="46" t="s">
        <v>272</v>
      </c>
      <c r="H5" s="46" t="s">
        <v>272</v>
      </c>
      <c r="I5" s="46" t="s">
        <v>272</v>
      </c>
      <c r="J5" s="46" t="s">
        <v>272</v>
      </c>
      <c r="K5" s="46" t="s">
        <v>272</v>
      </c>
      <c r="L5" s="46" t="s">
        <v>272</v>
      </c>
      <c r="M5" s="46" t="s">
        <v>272</v>
      </c>
      <c r="N5" s="46" t="s">
        <v>272</v>
      </c>
      <c r="O5" s="46" t="s">
        <v>272</v>
      </c>
      <c r="P5" s="46" t="s">
        <v>272</v>
      </c>
      <c r="Q5" s="46" t="s">
        <v>272</v>
      </c>
      <c r="R5" s="46" t="s">
        <v>272</v>
      </c>
      <c r="S5" s="46" t="s">
        <v>272</v>
      </c>
      <c r="T5" s="46" t="s">
        <v>272</v>
      </c>
      <c r="U5" s="46" t="s">
        <v>272</v>
      </c>
      <c r="V5" s="46" t="s">
        <v>272</v>
      </c>
      <c r="W5" s="46" t="s">
        <v>272</v>
      </c>
      <c r="X5" s="46" t="s">
        <v>272</v>
      </c>
      <c r="Y5" s="46" t="s">
        <v>272</v>
      </c>
      <c r="Z5" s="46" t="s">
        <v>272</v>
      </c>
    </row>
    <row r="6" customFormat="false" ht="13.15" hidden="false" customHeight="false" outlineLevel="0" collapsed="false">
      <c r="A6" s="47" t="s">
        <v>273</v>
      </c>
      <c r="B6" s="47" t="s">
        <v>273</v>
      </c>
      <c r="C6" s="47" t="s">
        <v>273</v>
      </c>
      <c r="D6" s="47" t="s">
        <v>273</v>
      </c>
      <c r="E6" s="47" t="s">
        <v>273</v>
      </c>
      <c r="F6" s="48" t="s">
        <v>274</v>
      </c>
      <c r="G6" s="48" t="s">
        <v>274</v>
      </c>
      <c r="H6" s="48" t="s">
        <v>274</v>
      </c>
      <c r="I6" s="48" t="s">
        <v>274</v>
      </c>
      <c r="J6" s="48" t="s">
        <v>274</v>
      </c>
      <c r="K6" s="48" t="s">
        <v>274</v>
      </c>
      <c r="L6" s="48" t="s">
        <v>274</v>
      </c>
      <c r="M6" s="48" t="s">
        <v>274</v>
      </c>
      <c r="N6" s="48" t="s">
        <v>274</v>
      </c>
      <c r="O6" s="48" t="s">
        <v>274</v>
      </c>
      <c r="P6" s="49" t="s">
        <v>275</v>
      </c>
      <c r="Q6" s="49" t="s">
        <v>275</v>
      </c>
      <c r="R6" s="49" t="s">
        <v>275</v>
      </c>
      <c r="S6" s="49" t="s">
        <v>275</v>
      </c>
      <c r="T6" s="49" t="s">
        <v>275</v>
      </c>
      <c r="U6" s="50" t="s">
        <v>276</v>
      </c>
      <c r="V6" s="50" t="s">
        <v>276</v>
      </c>
      <c r="W6" s="50" t="s">
        <v>276</v>
      </c>
      <c r="X6" s="50" t="s">
        <v>276</v>
      </c>
      <c r="Y6" s="51" t="s">
        <v>8</v>
      </c>
      <c r="Z6" s="51" t="s">
        <v>8</v>
      </c>
      <c r="AA6" s="48" t="s">
        <v>274</v>
      </c>
      <c r="AB6" s="48" t="s">
        <v>274</v>
      </c>
      <c r="AC6" s="48" t="s">
        <v>274</v>
      </c>
      <c r="AD6" s="48" t="s">
        <v>274</v>
      </c>
      <c r="AE6" s="48" t="s">
        <v>274</v>
      </c>
      <c r="AF6" s="49" t="s">
        <v>275</v>
      </c>
      <c r="AG6" s="49" t="s">
        <v>275</v>
      </c>
      <c r="AH6" s="50" t="s">
        <v>276</v>
      </c>
      <c r="AI6" s="50" t="s">
        <v>276</v>
      </c>
      <c r="AJ6" s="50" t="s">
        <v>276</v>
      </c>
      <c r="AK6" s="50" t="s">
        <v>276</v>
      </c>
      <c r="AL6" s="50" t="s">
        <v>276</v>
      </c>
      <c r="AM6" s="50" t="s">
        <v>276</v>
      </c>
    </row>
    <row r="7" customFormat="false" ht="91.15" hidden="false" customHeight="false" outlineLevel="0" collapsed="false">
      <c r="A7" s="52" t="s">
        <v>277</v>
      </c>
      <c r="B7" s="52" t="s">
        <v>6</v>
      </c>
      <c r="C7" s="52" t="s">
        <v>278</v>
      </c>
      <c r="D7" s="52" t="s">
        <v>279</v>
      </c>
      <c r="E7" s="52" t="s">
        <v>280</v>
      </c>
      <c r="F7" s="52" t="s">
        <v>281</v>
      </c>
      <c r="G7" s="52" t="s">
        <v>282</v>
      </c>
      <c r="H7" s="52" t="s">
        <v>283</v>
      </c>
      <c r="I7" s="52" t="s">
        <v>284</v>
      </c>
      <c r="J7" s="52" t="s">
        <v>285</v>
      </c>
      <c r="K7" s="52" t="s">
        <v>286</v>
      </c>
      <c r="L7" s="52" t="s">
        <v>287</v>
      </c>
      <c r="M7" s="52" t="s">
        <v>288</v>
      </c>
      <c r="N7" s="52" t="s">
        <v>289</v>
      </c>
      <c r="O7" s="52" t="s">
        <v>290</v>
      </c>
      <c r="P7" s="52" t="s">
        <v>291</v>
      </c>
      <c r="Q7" s="52" t="s">
        <v>292</v>
      </c>
      <c r="R7" s="52" t="s">
        <v>293</v>
      </c>
      <c r="S7" s="52" t="s">
        <v>294</v>
      </c>
      <c r="T7" s="52" t="s">
        <v>295</v>
      </c>
      <c r="U7" s="52" t="s">
        <v>296</v>
      </c>
      <c r="V7" s="52" t="s">
        <v>297</v>
      </c>
      <c r="W7" s="52" t="s">
        <v>298</v>
      </c>
      <c r="X7" s="52" t="s">
        <v>299</v>
      </c>
      <c r="Y7" s="52" t="s">
        <v>300</v>
      </c>
      <c r="Z7" s="52" t="s">
        <v>301</v>
      </c>
      <c r="AA7" s="53" t="s">
        <v>22</v>
      </c>
      <c r="AB7" s="54" t="s">
        <v>302</v>
      </c>
      <c r="AC7" s="54" t="s">
        <v>303</v>
      </c>
      <c r="AD7" s="54" t="s">
        <v>304</v>
      </c>
      <c r="AE7" s="54" t="s">
        <v>305</v>
      </c>
      <c r="AF7" s="55" t="s">
        <v>306</v>
      </c>
      <c r="AG7" s="55" t="s">
        <v>307</v>
      </c>
      <c r="AH7" s="56" t="s">
        <v>308</v>
      </c>
      <c r="AI7" s="56" t="s">
        <v>309</v>
      </c>
      <c r="AJ7" s="56" t="s">
        <v>310</v>
      </c>
      <c r="AK7" s="55" t="s">
        <v>22</v>
      </c>
      <c r="AL7" s="55" t="s">
        <v>311</v>
      </c>
      <c r="AM7" s="55" t="s">
        <v>312</v>
      </c>
      <c r="AN7" s="57" t="s">
        <v>313</v>
      </c>
      <c r="AO7" s="57" t="s">
        <v>314</v>
      </c>
      <c r="AP7" s="57" t="s">
        <v>315</v>
      </c>
      <c r="AQ7" s="57" t="s">
        <v>17</v>
      </c>
      <c r="AR7" s="57" t="s">
        <v>18</v>
      </c>
      <c r="AS7" s="57" t="s">
        <v>19</v>
      </c>
      <c r="AT7" s="57" t="s">
        <v>20</v>
      </c>
      <c r="AU7" s="57" t="s">
        <v>21</v>
      </c>
      <c r="AV7" s="52"/>
      <c r="AW7" s="52"/>
      <c r="AX7" s="52"/>
      <c r="AY7" s="52"/>
      <c r="AZ7" s="52"/>
      <c r="BA7" s="52" t="s">
        <v>316</v>
      </c>
    </row>
    <row r="8" customFormat="false" ht="13.15" hidden="false" customHeight="false" outlineLevel="0" collapsed="false">
      <c r="A8" s="20" t="s">
        <v>24</v>
      </c>
      <c r="B8" s="0" t="s">
        <v>317</v>
      </c>
      <c r="C8" s="0" t="s">
        <v>318</v>
      </c>
      <c r="D8" s="0" t="s">
        <v>319</v>
      </c>
      <c r="E8" s="0" t="s">
        <v>320</v>
      </c>
      <c r="F8" s="0" t="s">
        <v>321</v>
      </c>
      <c r="G8" s="0" t="n">
        <v>36.6</v>
      </c>
      <c r="H8" s="0" t="n">
        <v>5</v>
      </c>
      <c r="I8" s="0" t="n">
        <v>30</v>
      </c>
      <c r="J8" s="0" t="n">
        <v>1.635</v>
      </c>
      <c r="K8" s="45" t="n">
        <v>45659</v>
      </c>
      <c r="L8" s="0" t="n">
        <v>6.38304</v>
      </c>
      <c r="M8" s="0" t="n">
        <v>4.74804</v>
      </c>
      <c r="N8" s="0" t="n">
        <v>1.62192</v>
      </c>
      <c r="O8" s="0" t="n">
        <v>-0.0130799999999999</v>
      </c>
      <c r="P8" s="0" t="s">
        <v>322</v>
      </c>
      <c r="Q8" s="0" t="s">
        <v>323</v>
      </c>
      <c r="R8" s="0" t="s">
        <v>324</v>
      </c>
      <c r="S8" s="0" t="n">
        <v>13.1544</v>
      </c>
      <c r="T8" s="0" t="n">
        <v>11.5194</v>
      </c>
      <c r="U8" s="0" t="s">
        <v>325</v>
      </c>
      <c r="V8" s="0" t="s">
        <v>326</v>
      </c>
      <c r="W8" s="0" t="n">
        <v>7.5</v>
      </c>
      <c r="X8" s="0" t="n">
        <v>5.865</v>
      </c>
      <c r="Y8" s="0" t="n">
        <v>23</v>
      </c>
      <c r="AB8" s="58" t="n">
        <f aca="false">M8-AA8</f>
        <v>4.74804</v>
      </c>
      <c r="AC8" s="58" t="n">
        <f aca="false">O8-AA8</f>
        <v>-0.0130799999999999</v>
      </c>
      <c r="AD8" s="58" t="n">
        <f aca="false">AB8/L8%</f>
        <v>74.3852459016393</v>
      </c>
      <c r="AE8" s="58" t="n">
        <f aca="false">AC8/N8%</f>
        <v>-0.80645161290322</v>
      </c>
      <c r="AF8" s="58" t="n">
        <f aca="false">T8-AA8</f>
        <v>11.5194</v>
      </c>
      <c r="AG8" s="58" t="n">
        <f aca="false">AF8/S8%</f>
        <v>87.5706987775953</v>
      </c>
      <c r="AH8" s="58" t="n">
        <f aca="false">W8</f>
        <v>7.5</v>
      </c>
      <c r="AI8" s="58" t="n">
        <f aca="false">J8</f>
        <v>1.635</v>
      </c>
      <c r="AJ8" s="58" t="n">
        <f aca="false">AH8-AI8</f>
        <v>5.865</v>
      </c>
      <c r="AK8" s="58" t="n">
        <f aca="false">AA8</f>
        <v>0</v>
      </c>
      <c r="AL8" s="58" t="n">
        <f aca="false">AJ8-AK8</f>
        <v>5.865</v>
      </c>
      <c r="AM8" s="58" t="n">
        <f aca="false">AL8/AH8%</f>
        <v>78.2</v>
      </c>
      <c r="AN8" s="0" t="str">
        <f aca="false">IF(ISBLANK(Z9),"","Capped")</f>
        <v/>
      </c>
      <c r="AO8" s="0" t="s">
        <v>327</v>
      </c>
      <c r="AP8" s="0" t="str">
        <f aca="false">TRIM(BA8)</f>
        <v>EN480-2</v>
      </c>
      <c r="AQ8" s="59" t="e">
        <f aca="false">_xlfn.xlookup(A8,'SYS Allocations'!A:A,'SYS Allocations'!B:B)</f>
        <v>#NAME?</v>
      </c>
      <c r="AR8" s="59" t="e">
        <f aca="false">_xlfn.xlookup(A8,'SYS Allocations'!A:A,'SYS Allocations'!C:C)</f>
        <v>#NAME?</v>
      </c>
      <c r="AS8" s="59" t="e">
        <f aca="false">_xlfn.xlookup(A8,'SYS Allocations'!A:A,'SYS Allocations'!D:D)</f>
        <v>#NAME?</v>
      </c>
      <c r="AT8" s="59" t="e">
        <f aca="false">_xlfn.xlookup(A8,'SYS Allocations'!A:A,'SYS Allocations'!E:E)</f>
        <v>#NAME?</v>
      </c>
      <c r="AU8" s="59" t="e">
        <f aca="false">_xlfn.xlookup(A8,'SYS Allocations'!A:A,'SYS Allocations'!F:F)</f>
        <v>#NAME?</v>
      </c>
      <c r="BA8" s="0" t="str">
        <f aca="false">IFERROR(LEFT(R8,FIND("(",R8,1)-1),R8)</f>
        <v>EN480-2</v>
      </c>
    </row>
    <row r="9" customFormat="false" ht="13.15" hidden="false" customHeight="false" outlineLevel="0" collapsed="false">
      <c r="A9" s="20" t="s">
        <v>25</v>
      </c>
      <c r="B9" s="0" t="s">
        <v>328</v>
      </c>
      <c r="C9" s="0" t="s">
        <v>329</v>
      </c>
      <c r="D9" s="0" t="s">
        <v>319</v>
      </c>
      <c r="E9" s="0" t="s">
        <v>330</v>
      </c>
      <c r="F9" s="0" t="s">
        <v>321</v>
      </c>
      <c r="G9" s="0" t="n">
        <v>36.6</v>
      </c>
      <c r="H9" s="0" t="n">
        <v>18</v>
      </c>
      <c r="I9" s="0" t="n">
        <v>185</v>
      </c>
      <c r="J9" s="0" t="n">
        <v>10.0825</v>
      </c>
      <c r="K9" s="45" t="n">
        <v>45622</v>
      </c>
      <c r="L9" s="0" t="n">
        <v>27.12792</v>
      </c>
      <c r="M9" s="0" t="n">
        <v>17.04542</v>
      </c>
      <c r="N9" s="0" t="n">
        <v>17.2329</v>
      </c>
      <c r="O9" s="0" t="n">
        <v>7.1504</v>
      </c>
      <c r="P9" s="0" t="s">
        <v>322</v>
      </c>
      <c r="Q9" s="0" t="s">
        <v>331</v>
      </c>
      <c r="R9" s="0" t="s">
        <v>332</v>
      </c>
      <c r="S9" s="0" t="n">
        <v>26.1144</v>
      </c>
      <c r="T9" s="0" t="n">
        <v>16.0319</v>
      </c>
      <c r="U9" s="0" t="s">
        <v>322</v>
      </c>
      <c r="V9" s="0" t="s">
        <v>333</v>
      </c>
      <c r="W9" s="0" t="n">
        <v>22.5</v>
      </c>
      <c r="X9" s="0" t="n">
        <v>12.4175</v>
      </c>
      <c r="Y9" s="0" t="n">
        <v>3</v>
      </c>
      <c r="AB9" s="58" t="n">
        <f aca="false">M9-AA9</f>
        <v>17.04542</v>
      </c>
      <c r="AC9" s="58" t="n">
        <f aca="false">O9-AA9</f>
        <v>7.1504</v>
      </c>
      <c r="AD9" s="58" t="n">
        <f aca="false">AB9/L9%</f>
        <v>62.8334940533591</v>
      </c>
      <c r="AE9" s="58" t="n">
        <f aca="false">AC9/N9%</f>
        <v>41.4927261227072</v>
      </c>
      <c r="AF9" s="58" t="n">
        <f aca="false">T9-AA9</f>
        <v>16.0319</v>
      </c>
      <c r="AG9" s="58" t="n">
        <f aca="false">AF9/S9%</f>
        <v>61.3910332996355</v>
      </c>
      <c r="AH9" s="58" t="n">
        <f aca="false">W9</f>
        <v>22.5</v>
      </c>
      <c r="AI9" s="58" t="n">
        <f aca="false">J9</f>
        <v>10.0825</v>
      </c>
      <c r="AJ9" s="58" t="n">
        <f aca="false">AH9-AI9</f>
        <v>12.4175</v>
      </c>
      <c r="AK9" s="58" t="n">
        <f aca="false">AA9</f>
        <v>0</v>
      </c>
      <c r="AL9" s="58" t="n">
        <f aca="false">AJ9-AK9</f>
        <v>12.4175</v>
      </c>
      <c r="AM9" s="58" t="n">
        <f aca="false">AL9/AH9%</f>
        <v>55.1888888888889</v>
      </c>
      <c r="AN9" s="0" t="str">
        <f aca="false">IF(ISBLANK(Z10),"","Capped")</f>
        <v/>
      </c>
      <c r="AO9" s="0" t="s">
        <v>327</v>
      </c>
      <c r="AP9" s="0" t="str">
        <f aca="false">TRIM(BA9)</f>
        <v>DDm85-25</v>
      </c>
      <c r="AQ9" s="59" t="e">
        <f aca="false">_xlfn.xlookup(A9,'SYS Allocations'!A:A,'SYS Allocations'!B:B)</f>
        <v>#NAME?</v>
      </c>
      <c r="AR9" s="59" t="e">
        <f aca="false">_xlfn.xlookup(A9,'SYS Allocations'!A:A,'SYS Allocations'!C:C)</f>
        <v>#NAME?</v>
      </c>
      <c r="AS9" s="59" t="e">
        <f aca="false">_xlfn.xlookup(A9,'SYS Allocations'!A:A,'SYS Allocations'!D:D)</f>
        <v>#NAME?</v>
      </c>
      <c r="AT9" s="59" t="e">
        <f aca="false">_xlfn.xlookup(A9,'SYS Allocations'!A:A,'SYS Allocations'!E:E)</f>
        <v>#NAME?</v>
      </c>
      <c r="AU9" s="59" t="e">
        <f aca="false">_xlfn.xlookup(A9,'SYS Allocations'!A:A,'SYS Allocations'!F:F)</f>
        <v>#NAME?</v>
      </c>
      <c r="BA9" s="0" t="str">
        <f aca="false">IFERROR(LEFT(R9,FIND("(",R9,1)-1),R9)</f>
        <v>DDm85-25</v>
      </c>
    </row>
    <row r="10" customFormat="false" ht="13.15" hidden="false" customHeight="false" outlineLevel="0" collapsed="false">
      <c r="A10" s="20" t="s">
        <v>26</v>
      </c>
      <c r="B10" s="0" t="s">
        <v>328</v>
      </c>
      <c r="C10" s="0" t="s">
        <v>329</v>
      </c>
      <c r="D10" s="0" t="s">
        <v>319</v>
      </c>
      <c r="E10" s="0" t="s">
        <v>334</v>
      </c>
      <c r="F10" s="0" t="s">
        <v>335</v>
      </c>
      <c r="G10" s="0" t="n">
        <v>31</v>
      </c>
      <c r="H10" s="0" t="n">
        <v>29</v>
      </c>
      <c r="I10" s="0" t="n">
        <v>369</v>
      </c>
      <c r="J10" s="0" t="n">
        <v>20.1105</v>
      </c>
      <c r="K10" s="45" t="n">
        <v>45659</v>
      </c>
      <c r="L10" s="0" t="n">
        <v>37.8448</v>
      </c>
      <c r="M10" s="0" t="n">
        <v>17.7343</v>
      </c>
      <c r="N10" s="0" t="n">
        <v>27.686</v>
      </c>
      <c r="O10" s="0" t="n">
        <v>7.5755</v>
      </c>
      <c r="P10" s="0" t="s">
        <v>322</v>
      </c>
      <c r="Q10" s="0" t="s">
        <v>331</v>
      </c>
      <c r="R10" s="0" t="s">
        <v>336</v>
      </c>
      <c r="S10" s="0" t="n">
        <v>31.6872</v>
      </c>
      <c r="T10" s="0" t="n">
        <v>11.5767</v>
      </c>
      <c r="U10" s="0" t="s">
        <v>337</v>
      </c>
      <c r="V10" s="0" t="s">
        <v>338</v>
      </c>
      <c r="W10" s="0" t="n">
        <v>33.75</v>
      </c>
      <c r="X10" s="0" t="n">
        <v>13.6395</v>
      </c>
      <c r="Y10" s="0" t="n">
        <v>13</v>
      </c>
      <c r="AB10" s="58" t="n">
        <f aca="false">M10-AA10</f>
        <v>17.7343</v>
      </c>
      <c r="AC10" s="58" t="n">
        <f aca="false">O10-AA10</f>
        <v>7.5755</v>
      </c>
      <c r="AD10" s="58" t="n">
        <f aca="false">AB10/L10%</f>
        <v>46.860599078341</v>
      </c>
      <c r="AE10" s="58" t="n">
        <f aca="false">AC10/N10%</f>
        <v>27.3622047244094</v>
      </c>
      <c r="AF10" s="58" t="n">
        <f aca="false">T10-AA10</f>
        <v>11.5767</v>
      </c>
      <c r="AG10" s="58" t="n">
        <f aca="false">AF10/S10%</f>
        <v>36.5343103840036</v>
      </c>
      <c r="AH10" s="58" t="n">
        <f aca="false">W10</f>
        <v>33.75</v>
      </c>
      <c r="AI10" s="58" t="n">
        <f aca="false">J10</f>
        <v>20.1105</v>
      </c>
      <c r="AJ10" s="58" t="n">
        <f aca="false">AH10-AI10</f>
        <v>13.6395</v>
      </c>
      <c r="AK10" s="58" t="n">
        <f aca="false">AA10</f>
        <v>0</v>
      </c>
      <c r="AL10" s="58" t="n">
        <f aca="false">AJ10-AK10</f>
        <v>13.6395</v>
      </c>
      <c r="AM10" s="58" t="n">
        <f aca="false">AL10/AH10%</f>
        <v>40.4133333333333</v>
      </c>
      <c r="AN10" s="0" t="str">
        <f aca="false">IF(ISBLANK(Z11),"","Capped")</f>
        <v/>
      </c>
      <c r="AO10" s="0" t="s">
        <v>327</v>
      </c>
      <c r="AP10" s="0" t="str">
        <f aca="false">TRIM(BA10)</f>
        <v>DDm100-25</v>
      </c>
      <c r="AQ10" s="59" t="e">
        <f aca="false">_xlfn.xlookup(A10,'SYS Allocations'!A:A,'SYS Allocations'!B:B)</f>
        <v>#NAME?</v>
      </c>
      <c r="AR10" s="59" t="e">
        <f aca="false">_xlfn.xlookup(A10,'SYS Allocations'!A:A,'SYS Allocations'!C:C)</f>
        <v>#NAME?</v>
      </c>
      <c r="AS10" s="59" t="e">
        <f aca="false">_xlfn.xlookup(A10,'SYS Allocations'!A:A,'SYS Allocations'!D:D)</f>
        <v>#NAME?</v>
      </c>
      <c r="AT10" s="59" t="e">
        <f aca="false">_xlfn.xlookup(A10,'SYS Allocations'!A:A,'SYS Allocations'!E:E)</f>
        <v>#NAME?</v>
      </c>
      <c r="AU10" s="59" t="e">
        <f aca="false">_xlfn.xlookup(A10,'SYS Allocations'!A:A,'SYS Allocations'!F:F)</f>
        <v>#NAME?</v>
      </c>
      <c r="BA10" s="0" t="str">
        <f aca="false">IFERROR(LEFT(R10,FIND("(",R10,1)-1),R10)</f>
        <v>DDm100-25</v>
      </c>
    </row>
    <row r="11" customFormat="false" ht="13.15" hidden="false" customHeight="false" outlineLevel="0" collapsed="false">
      <c r="A11" s="20" t="s">
        <v>27</v>
      </c>
      <c r="B11" s="0" t="s">
        <v>328</v>
      </c>
      <c r="C11" s="0" t="s">
        <v>329</v>
      </c>
      <c r="D11" s="0" t="s">
        <v>319</v>
      </c>
      <c r="E11" s="0" t="s">
        <v>339</v>
      </c>
      <c r="F11" s="0" t="s">
        <v>321</v>
      </c>
      <c r="G11" s="0" t="n">
        <v>36.6</v>
      </c>
      <c r="H11" s="0" t="n">
        <v>15</v>
      </c>
      <c r="I11" s="0" t="n">
        <v>177</v>
      </c>
      <c r="J11" s="0" t="n">
        <v>9.6465</v>
      </c>
      <c r="K11" s="45" t="n">
        <v>45659</v>
      </c>
      <c r="L11" s="0" t="n">
        <v>22.34064</v>
      </c>
      <c r="M11" s="0" t="n">
        <v>12.69414</v>
      </c>
      <c r="N11" s="0" t="n">
        <v>13.7558</v>
      </c>
      <c r="O11" s="0" t="n">
        <v>4.1093</v>
      </c>
      <c r="P11" s="0" t="s">
        <v>325</v>
      </c>
      <c r="Q11" s="0" t="s">
        <v>331</v>
      </c>
      <c r="R11" s="0" t="s">
        <v>340</v>
      </c>
      <c r="S11" s="0" t="n">
        <v>22.8528</v>
      </c>
      <c r="T11" s="0" t="n">
        <v>13.2063</v>
      </c>
      <c r="U11" s="0" t="s">
        <v>322</v>
      </c>
      <c r="V11" s="0" t="s">
        <v>341</v>
      </c>
      <c r="W11" s="0" t="n">
        <v>45</v>
      </c>
      <c r="X11" s="0" t="n">
        <v>35.3535</v>
      </c>
      <c r="Y11" s="0" t="n">
        <v>0</v>
      </c>
      <c r="AB11" s="58" t="n">
        <f aca="false">M11-AA11</f>
        <v>12.69414</v>
      </c>
      <c r="AC11" s="58" t="n">
        <f aca="false">O11-AA11</f>
        <v>4.1093</v>
      </c>
      <c r="AD11" s="58" t="n">
        <f aca="false">AB11/L11%</f>
        <v>56.8208430913349</v>
      </c>
      <c r="AE11" s="58" t="n">
        <f aca="false">AC11/N11%</f>
        <v>29.8732171156894</v>
      </c>
      <c r="AF11" s="58" t="n">
        <f aca="false">T11-AA11</f>
        <v>13.2063</v>
      </c>
      <c r="AG11" s="58" t="n">
        <f aca="false">AF11/S11%</f>
        <v>57.7885423230414</v>
      </c>
      <c r="AH11" s="58" t="n">
        <f aca="false">W11</f>
        <v>45</v>
      </c>
      <c r="AI11" s="58" t="n">
        <f aca="false">J11</f>
        <v>9.6465</v>
      </c>
      <c r="AJ11" s="58" t="n">
        <f aca="false">AH11-AI11</f>
        <v>35.3535</v>
      </c>
      <c r="AK11" s="58" t="n">
        <f aca="false">AA11</f>
        <v>0</v>
      </c>
      <c r="AL11" s="58" t="n">
        <f aca="false">AJ11-AK11</f>
        <v>35.3535</v>
      </c>
      <c r="AM11" s="58" t="n">
        <f aca="false">AL11/AH11%</f>
        <v>78.5633333333333</v>
      </c>
      <c r="AN11" s="0" t="str">
        <f aca="false">IF(ISBLANK(Z11),"","Capped")</f>
        <v/>
      </c>
      <c r="AO11" s="0" t="s">
        <v>327</v>
      </c>
      <c r="AP11" s="0" t="str">
        <f aca="false">TRIM(BA11)</f>
        <v>DDm100-27</v>
      </c>
      <c r="AQ11" s="59" t="e">
        <f aca="false">_xlfn.xlookup(A11,'SYS Allocations'!A:A,'SYS Allocations'!B:B)</f>
        <v>#NAME?</v>
      </c>
      <c r="AR11" s="59" t="e">
        <f aca="false">_xlfn.xlookup(A11,'SYS Allocations'!A:A,'SYS Allocations'!C:C)</f>
        <v>#NAME?</v>
      </c>
      <c r="AS11" s="59" t="e">
        <f aca="false">_xlfn.xlookup(A11,'SYS Allocations'!A:A,'SYS Allocations'!D:D)</f>
        <v>#NAME?</v>
      </c>
      <c r="AT11" s="59" t="e">
        <f aca="false">_xlfn.xlookup(A11,'SYS Allocations'!A:A,'SYS Allocations'!E:E)</f>
        <v>#NAME?</v>
      </c>
      <c r="AU11" s="59" t="e">
        <f aca="false">_xlfn.xlookup(A11,'SYS Allocations'!A:A,'SYS Allocations'!F:F)</f>
        <v>#NAME?</v>
      </c>
      <c r="BA11" s="0" t="str">
        <f aca="false">IFERROR(LEFT(R11,FIND("(",R11,1)-1),R11)</f>
        <v>DDm100-27</v>
      </c>
    </row>
    <row r="12" customFormat="false" ht="13.15" hidden="false" customHeight="false" outlineLevel="0" collapsed="false">
      <c r="A12" s="20" t="s">
        <v>28</v>
      </c>
      <c r="B12" s="0" t="s">
        <v>342</v>
      </c>
      <c r="C12" s="0" t="s">
        <v>342</v>
      </c>
      <c r="D12" s="0" t="s">
        <v>319</v>
      </c>
      <c r="E12" s="0" t="s">
        <v>343</v>
      </c>
      <c r="F12" s="0" t="s">
        <v>321</v>
      </c>
      <c r="G12" s="0" t="n">
        <v>36.6</v>
      </c>
      <c r="H12" s="0" t="n">
        <v>60</v>
      </c>
      <c r="I12" s="0" t="n">
        <v>711</v>
      </c>
      <c r="J12" s="0" t="n">
        <v>38.7495</v>
      </c>
      <c r="K12" s="45" t="n">
        <v>45659</v>
      </c>
      <c r="L12" s="0" t="n">
        <v>94.14984</v>
      </c>
      <c r="M12" s="0" t="n">
        <v>55.40034</v>
      </c>
      <c r="N12" s="0" t="n">
        <v>63.1873</v>
      </c>
      <c r="O12" s="0" t="n">
        <v>24.4378</v>
      </c>
      <c r="P12" s="0" t="s">
        <v>344</v>
      </c>
      <c r="Q12" s="0" t="s">
        <v>331</v>
      </c>
      <c r="R12" s="0" t="s">
        <v>345</v>
      </c>
      <c r="S12" s="0" t="n">
        <v>88.8840000000002</v>
      </c>
      <c r="T12" s="0" t="n">
        <v>50.1345000000002</v>
      </c>
      <c r="U12" s="0" t="s">
        <v>346</v>
      </c>
      <c r="V12" s="0" t="s">
        <v>347</v>
      </c>
      <c r="W12" s="0" t="n">
        <v>560.25</v>
      </c>
      <c r="X12" s="0" t="n">
        <v>521.5005</v>
      </c>
      <c r="Y12" s="0" t="n">
        <v>178</v>
      </c>
      <c r="AB12" s="58" t="n">
        <f aca="false">M12-AA12</f>
        <v>55.40034</v>
      </c>
      <c r="AC12" s="58" t="n">
        <f aca="false">O12-AA12</f>
        <v>24.4378</v>
      </c>
      <c r="AD12" s="58" t="n">
        <f aca="false">AB12/L12%</f>
        <v>58.8427340928036</v>
      </c>
      <c r="AE12" s="58" t="n">
        <f aca="false">AC12/N12%</f>
        <v>38.6751768155943</v>
      </c>
      <c r="AF12" s="58" t="n">
        <f aca="false">T12-AA12</f>
        <v>50.1345000000002</v>
      </c>
      <c r="AG12" s="58" t="n">
        <f aca="false">AF12/S12%</f>
        <v>56.404414742811</v>
      </c>
      <c r="AH12" s="60" t="n">
        <f aca="false">AVERAGE(W12:W13)</f>
        <v>560.25</v>
      </c>
      <c r="AI12" s="60" t="n">
        <f aca="false">SUM(J12:J13)</f>
        <v>80.0605</v>
      </c>
      <c r="AJ12" s="60" t="n">
        <f aca="false">AH12-AI12</f>
        <v>480.1895</v>
      </c>
      <c r="AK12" s="60" t="n">
        <f aca="false">SUM(AA12:AA13)</f>
        <v>0</v>
      </c>
      <c r="AL12" s="60" t="n">
        <f aca="false">SUM(AJ12-AK12)</f>
        <v>480.1895</v>
      </c>
      <c r="AM12" s="61" t="n">
        <f aca="false">AL12/AH12%</f>
        <v>85.7098616688978</v>
      </c>
      <c r="AN12" s="0" t="str">
        <f aca="false">IF(ISBLANK(Z12),"","Capped")</f>
        <v/>
      </c>
      <c r="AO12" s="0" t="s">
        <v>327</v>
      </c>
      <c r="AP12" s="0" t="str">
        <f aca="false">TRIM(BA12)</f>
        <v>DDm125-33</v>
      </c>
      <c r="AQ12" s="59" t="e">
        <f aca="false">_xlfn.xlookup(A12,'SYS Allocations'!A:A,'SYS Allocations'!B:B)</f>
        <v>#NAME?</v>
      </c>
      <c r="AR12" s="59" t="e">
        <f aca="false">_xlfn.xlookup(A12,'SYS Allocations'!A:A,'SYS Allocations'!C:C)</f>
        <v>#NAME?</v>
      </c>
      <c r="AS12" s="59" t="e">
        <f aca="false">_xlfn.xlookup(A12,'SYS Allocations'!A:A,'SYS Allocations'!D:D)</f>
        <v>#NAME?</v>
      </c>
      <c r="AT12" s="59" t="e">
        <f aca="false">_xlfn.xlookup(A12,'SYS Allocations'!A:A,'SYS Allocations'!E:E)</f>
        <v>#NAME?</v>
      </c>
      <c r="AU12" s="59" t="e">
        <f aca="false">_xlfn.xlookup(A12,'SYS Allocations'!A:A,'SYS Allocations'!F:F)</f>
        <v>#NAME?</v>
      </c>
      <c r="BA12" s="0" t="str">
        <f aca="false">IFERROR(LEFT(R12,FIND("(",R12,1)-1),R12)</f>
        <v>DDm125-33</v>
      </c>
    </row>
    <row r="13" customFormat="false" ht="13.15" hidden="false" customHeight="false" outlineLevel="0" collapsed="false">
      <c r="A13" s="20" t="s">
        <v>29</v>
      </c>
      <c r="B13" s="0" t="s">
        <v>342</v>
      </c>
      <c r="C13" s="0" t="s">
        <v>342</v>
      </c>
      <c r="D13" s="0" t="s">
        <v>319</v>
      </c>
      <c r="E13" s="0" t="s">
        <v>343</v>
      </c>
      <c r="F13" s="0" t="s">
        <v>321</v>
      </c>
      <c r="G13" s="0" t="n">
        <v>36.6</v>
      </c>
      <c r="H13" s="0" t="n">
        <v>60</v>
      </c>
      <c r="I13" s="0" t="n">
        <v>758</v>
      </c>
      <c r="J13" s="0" t="n">
        <v>41.311</v>
      </c>
      <c r="K13" s="45" t="n">
        <v>45659</v>
      </c>
      <c r="L13" s="0" t="n">
        <v>94.14984</v>
      </c>
      <c r="M13" s="0" t="n">
        <v>52.83884</v>
      </c>
      <c r="N13" s="0" t="n">
        <v>63.1873</v>
      </c>
      <c r="O13" s="0" t="n">
        <v>21.8763</v>
      </c>
      <c r="P13" s="0" t="s">
        <v>344</v>
      </c>
      <c r="Q13" s="0" t="s">
        <v>331</v>
      </c>
      <c r="R13" s="0" t="s">
        <v>345</v>
      </c>
      <c r="S13" s="0" t="n">
        <v>88.8840000000002</v>
      </c>
      <c r="T13" s="0" t="n">
        <v>47.5730000000002</v>
      </c>
      <c r="U13" s="0" t="s">
        <v>346</v>
      </c>
      <c r="V13" s="0" t="s">
        <v>347</v>
      </c>
      <c r="W13" s="0" t="n">
        <v>560.25</v>
      </c>
      <c r="X13" s="0" t="n">
        <v>518.939</v>
      </c>
      <c r="Y13" s="0" t="n">
        <v>178</v>
      </c>
      <c r="AB13" s="58" t="n">
        <f aca="false">M13-AA13</f>
        <v>52.83884</v>
      </c>
      <c r="AC13" s="58" t="n">
        <f aca="false">O13-AA13</f>
        <v>21.8763</v>
      </c>
      <c r="AD13" s="58" t="n">
        <f aca="false">AB13/L13%</f>
        <v>56.122070945633</v>
      </c>
      <c r="AE13" s="58" t="n">
        <f aca="false">AC13/N13%</f>
        <v>34.6213558737278</v>
      </c>
      <c r="AF13" s="58" t="n">
        <f aca="false">T13-AA13</f>
        <v>47.5730000000002</v>
      </c>
      <c r="AG13" s="58" t="n">
        <f aca="false">AF13/S13%</f>
        <v>53.5225687412809</v>
      </c>
      <c r="AH13" s="60"/>
      <c r="AI13" s="60"/>
      <c r="AJ13" s="60"/>
      <c r="AK13" s="60"/>
      <c r="AL13" s="60"/>
      <c r="AM13" s="61"/>
      <c r="AN13" s="0" t="str">
        <f aca="false">IF(ISBLANK(Z13),"","Capped")</f>
        <v/>
      </c>
      <c r="AO13" s="0" t="s">
        <v>327</v>
      </c>
      <c r="AP13" s="0" t="str">
        <f aca="false">TRIM(BA13)</f>
        <v>DDm125-33</v>
      </c>
      <c r="AQ13" s="59"/>
      <c r="AR13" s="59"/>
      <c r="AS13" s="59"/>
      <c r="AT13" s="59"/>
      <c r="AU13" s="59"/>
      <c r="BA13" s="0" t="str">
        <f aca="false">IFERROR(LEFT(R13,FIND("(",R13,1)-1),R13)</f>
        <v>DDm125-33</v>
      </c>
    </row>
    <row r="14" customFormat="false" ht="13.15" hidden="false" customHeight="false" outlineLevel="0" collapsed="false">
      <c r="A14" s="20" t="s">
        <v>30</v>
      </c>
      <c r="B14" s="0" t="s">
        <v>348</v>
      </c>
      <c r="C14" s="0" t="s">
        <v>349</v>
      </c>
      <c r="D14" s="0" t="s">
        <v>319</v>
      </c>
      <c r="E14" s="0" t="s">
        <v>350</v>
      </c>
      <c r="F14" s="0" t="s">
        <v>351</v>
      </c>
      <c r="G14" s="0" t="n">
        <v>22</v>
      </c>
      <c r="H14" s="0" t="n">
        <v>4</v>
      </c>
      <c r="I14" s="0" t="n">
        <v>19</v>
      </c>
      <c r="J14" s="0" t="n">
        <v>1.0355</v>
      </c>
      <c r="K14" s="45" t="n">
        <v>45590</v>
      </c>
      <c r="L14" s="0" t="n">
        <v>2.8776</v>
      </c>
      <c r="M14" s="0" t="n">
        <v>1.8421</v>
      </c>
      <c r="N14" s="0" t="n">
        <v>3.4335</v>
      </c>
      <c r="O14" s="0" t="n">
        <v>2.398</v>
      </c>
      <c r="P14" s="0" t="s">
        <v>322</v>
      </c>
      <c r="Q14" s="0" t="s">
        <v>352</v>
      </c>
      <c r="R14" s="0" t="s">
        <v>353</v>
      </c>
      <c r="S14" s="0" t="n">
        <v>2.592</v>
      </c>
      <c r="T14" s="0" t="n">
        <v>1.5565</v>
      </c>
      <c r="U14" s="0" t="s">
        <v>325</v>
      </c>
      <c r="V14" s="0" t="s">
        <v>354</v>
      </c>
      <c r="W14" s="0" t="n">
        <v>5.025</v>
      </c>
      <c r="X14" s="0" t="n">
        <v>3.9895</v>
      </c>
      <c r="Y14" s="0" t="n">
        <v>5</v>
      </c>
      <c r="AB14" s="58" t="n">
        <f aca="false">M14-AA14</f>
        <v>1.8421</v>
      </c>
      <c r="AC14" s="58" t="n">
        <f aca="false">O14-AA14</f>
        <v>2.398</v>
      </c>
      <c r="AD14" s="58" t="n">
        <f aca="false">AB14/L14%</f>
        <v>64.0151515151515</v>
      </c>
      <c r="AE14" s="58" t="n">
        <f aca="false">AC14/N14%</f>
        <v>69.8412698412699</v>
      </c>
      <c r="AF14" s="58" t="n">
        <f aca="false">T14-AA14</f>
        <v>1.5565</v>
      </c>
      <c r="AG14" s="58" t="n">
        <f aca="false">AF14/S14%</f>
        <v>60.0501543209877</v>
      </c>
      <c r="AH14" s="58" t="n">
        <f aca="false">W14</f>
        <v>5.025</v>
      </c>
      <c r="AI14" s="58" t="n">
        <f aca="false">J14</f>
        <v>1.0355</v>
      </c>
      <c r="AJ14" s="58" t="n">
        <f aca="false">AH14-AI14</f>
        <v>3.9895</v>
      </c>
      <c r="AK14" s="58" t="n">
        <f aca="false">AA14</f>
        <v>0</v>
      </c>
      <c r="AL14" s="58" t="n">
        <f aca="false">AJ14-AK14</f>
        <v>3.9895</v>
      </c>
      <c r="AM14" s="58" t="n">
        <f aca="false">AL14/AH14%</f>
        <v>79.3930348258707</v>
      </c>
      <c r="AN14" s="0" t="str">
        <f aca="false">IF(ISBLANK(Z14),"","Capped")</f>
        <v/>
      </c>
      <c r="AO14" s="0" t="s">
        <v>327</v>
      </c>
      <c r="AP14" s="0" t="str">
        <f aca="false">TRIM(BA14)</f>
        <v>SBS C11F</v>
      </c>
      <c r="AQ14" s="59" t="e">
        <f aca="false">_xlfn.xlookup(A14,'SYS Allocations'!A:A,'SYS Allocations'!B:B)</f>
        <v>#NAME?</v>
      </c>
      <c r="AR14" s="59" t="e">
        <f aca="false">_xlfn.xlookup(A14,'SYS Allocations'!A:A,'SYS Allocations'!C:C)</f>
        <v>#NAME?</v>
      </c>
      <c r="AS14" s="59" t="e">
        <f aca="false">_xlfn.xlookup(A14,'SYS Allocations'!A:A,'SYS Allocations'!D:D)</f>
        <v>#NAME?</v>
      </c>
      <c r="AT14" s="59" t="e">
        <f aca="false">_xlfn.xlookup(A14,'SYS Allocations'!A:A,'SYS Allocations'!E:E)</f>
        <v>#NAME?</v>
      </c>
      <c r="AU14" s="59" t="e">
        <f aca="false">_xlfn.xlookup(A14,'SYS Allocations'!A:A,'SYS Allocations'!F:F)</f>
        <v>#NAME?</v>
      </c>
      <c r="BA14" s="0" t="str">
        <f aca="false">IFERROR(LEFT(R14,FIND("(",R14,1)-1),R14)</f>
        <v>SBS C11F</v>
      </c>
    </row>
    <row r="15" customFormat="false" ht="13.15" hidden="false" customHeight="false" outlineLevel="0" collapsed="false">
      <c r="A15" s="20" t="s">
        <v>31</v>
      </c>
      <c r="B15" s="0" t="s">
        <v>355</v>
      </c>
      <c r="C15" s="0" t="s">
        <v>356</v>
      </c>
      <c r="D15" s="0" t="s">
        <v>319</v>
      </c>
      <c r="E15" s="0" t="s">
        <v>357</v>
      </c>
      <c r="F15" s="0" t="s">
        <v>321</v>
      </c>
      <c r="G15" s="0" t="n">
        <v>36.6</v>
      </c>
      <c r="H15" s="0" t="n">
        <v>12</v>
      </c>
      <c r="I15" s="0" t="n">
        <v>135</v>
      </c>
      <c r="J15" s="0" t="n">
        <v>7.3575</v>
      </c>
      <c r="K15" s="45" t="n">
        <v>45435</v>
      </c>
      <c r="L15" s="0" t="n">
        <v>17.55336</v>
      </c>
      <c r="M15" s="0" t="n">
        <v>10.19586</v>
      </c>
      <c r="N15" s="0" t="n">
        <v>15.6142495095</v>
      </c>
      <c r="O15" s="0" t="n">
        <v>8.2567495095</v>
      </c>
      <c r="P15" s="0" t="s">
        <v>358</v>
      </c>
      <c r="Q15" s="0" t="s">
        <v>352</v>
      </c>
      <c r="R15" s="0" t="s">
        <v>359</v>
      </c>
      <c r="S15" s="0" t="n">
        <v>12.636</v>
      </c>
      <c r="T15" s="0" t="n">
        <v>5.27849999999998</v>
      </c>
      <c r="U15" s="0" t="s">
        <v>325</v>
      </c>
      <c r="V15" s="0" t="s">
        <v>360</v>
      </c>
      <c r="W15" s="0" t="n">
        <v>9.75</v>
      </c>
      <c r="X15" s="0" t="n">
        <v>2.3925</v>
      </c>
      <c r="Y15" s="0" t="n">
        <v>13</v>
      </c>
      <c r="AB15" s="58" t="n">
        <f aca="false">M15-AA15</f>
        <v>10.19586</v>
      </c>
      <c r="AC15" s="58" t="n">
        <f aca="false">O15-AA15</f>
        <v>8.2567495095</v>
      </c>
      <c r="AD15" s="58" t="n">
        <f aca="false">AB15/L15%</f>
        <v>58.0849478390462</v>
      </c>
      <c r="AE15" s="58" t="n">
        <f aca="false">AC15/N15%</f>
        <v>52.8795796716098</v>
      </c>
      <c r="AF15" s="58" t="n">
        <f aca="false">T15-AA15</f>
        <v>5.27849999999998</v>
      </c>
      <c r="AG15" s="58" t="n">
        <f aca="false">AF15/S15%</f>
        <v>41.7735042735041</v>
      </c>
      <c r="AH15" s="58" t="n">
        <f aca="false">W15</f>
        <v>9.75</v>
      </c>
      <c r="AI15" s="58" t="n">
        <f aca="false">J15</f>
        <v>7.3575</v>
      </c>
      <c r="AJ15" s="58" t="n">
        <f aca="false">AH15-AI15</f>
        <v>2.3925</v>
      </c>
      <c r="AK15" s="58" t="n">
        <f aca="false">AA15</f>
        <v>0</v>
      </c>
      <c r="AL15" s="58" t="n">
        <f aca="false">AJ15-AK15</f>
        <v>2.3925</v>
      </c>
      <c r="AM15" s="58" t="n">
        <f aca="false">AL15/AH15%</f>
        <v>24.5384615384615</v>
      </c>
      <c r="AN15" s="0" t="str">
        <f aca="false">IF(ISBLANK(Z15),"","Capped")</f>
        <v/>
      </c>
      <c r="AO15" s="0" t="s">
        <v>327</v>
      </c>
      <c r="AP15" s="0" t="str">
        <f aca="false">TRIM(BA15)</f>
        <v>12V155F</v>
      </c>
      <c r="AQ15" s="59" t="e">
        <f aca="false">_xlfn.xlookup(A15,'SYS Allocations'!A:A,'SYS Allocations'!B:B)</f>
        <v>#NAME?</v>
      </c>
      <c r="AR15" s="59" t="e">
        <f aca="false">_xlfn.xlookup(A15,'SYS Allocations'!A:A,'SYS Allocations'!C:C)</f>
        <v>#NAME?</v>
      </c>
      <c r="AS15" s="59" t="e">
        <f aca="false">_xlfn.xlookup(A15,'SYS Allocations'!A:A,'SYS Allocations'!D:D)</f>
        <v>#NAME?</v>
      </c>
      <c r="AT15" s="59" t="e">
        <f aca="false">_xlfn.xlookup(A15,'SYS Allocations'!A:A,'SYS Allocations'!E:E)</f>
        <v>#NAME?</v>
      </c>
      <c r="AU15" s="59" t="e">
        <f aca="false">_xlfn.xlookup(A15,'SYS Allocations'!A:A,'SYS Allocations'!F:F)</f>
        <v>#NAME?</v>
      </c>
      <c r="BA15" s="0" t="str">
        <f aca="false">IFERROR(LEFT(R15,FIND("(",R15,1)-1),R15)</f>
        <v>12V155F</v>
      </c>
    </row>
    <row r="16" customFormat="false" ht="13.15" hidden="false" customHeight="false" outlineLevel="0" collapsed="false">
      <c r="A16" s="20" t="s">
        <v>32</v>
      </c>
      <c r="B16" s="0" t="s">
        <v>361</v>
      </c>
      <c r="C16" s="0" t="s">
        <v>362</v>
      </c>
      <c r="D16" s="0" t="s">
        <v>319</v>
      </c>
      <c r="E16" s="0" t="s">
        <v>363</v>
      </c>
      <c r="F16" s="0" t="s">
        <v>364</v>
      </c>
      <c r="G16" s="0" t="n">
        <v>75</v>
      </c>
      <c r="H16" s="0" t="n">
        <v>6</v>
      </c>
      <c r="I16" s="0" t="n">
        <v>50</v>
      </c>
      <c r="J16" s="0" t="n">
        <v>2.725</v>
      </c>
      <c r="K16" s="45" t="n">
        <v>45297</v>
      </c>
      <c r="L16" s="0" t="n">
        <v>16.35</v>
      </c>
      <c r="M16" s="0" t="n">
        <v>13.625</v>
      </c>
      <c r="N16" s="0" t="n">
        <v>13.952</v>
      </c>
      <c r="O16" s="0" t="n">
        <v>11.227</v>
      </c>
      <c r="P16" s="0" t="s">
        <v>325</v>
      </c>
      <c r="Q16" s="0" t="s">
        <v>331</v>
      </c>
      <c r="R16" s="0" t="s">
        <v>365</v>
      </c>
      <c r="S16" s="0" t="n">
        <v>10.1088</v>
      </c>
      <c r="T16" s="0" t="n">
        <v>7.38379999999998</v>
      </c>
      <c r="U16" s="0" t="s">
        <v>344</v>
      </c>
      <c r="V16" s="0" t="s">
        <v>366</v>
      </c>
      <c r="W16" s="0" t="n">
        <v>112.5</v>
      </c>
      <c r="X16" s="0" t="n">
        <v>109.775</v>
      </c>
      <c r="Y16" s="0" t="n">
        <v>23</v>
      </c>
      <c r="AB16" s="58" t="n">
        <f aca="false">M16-AA16</f>
        <v>13.625</v>
      </c>
      <c r="AC16" s="58" t="n">
        <f aca="false">O16-AA16</f>
        <v>11.227</v>
      </c>
      <c r="AD16" s="58" t="n">
        <f aca="false">AB16/L16%</f>
        <v>83.3333333333333</v>
      </c>
      <c r="AE16" s="58" t="n">
        <f aca="false">AC16/N16%</f>
        <v>80.46875</v>
      </c>
      <c r="AF16" s="58" t="n">
        <f aca="false">T16-AA16</f>
        <v>7.38379999999998</v>
      </c>
      <c r="AG16" s="58" t="n">
        <f aca="false">AF16/S16%</f>
        <v>73.043289015511</v>
      </c>
      <c r="AH16" s="58" t="n">
        <f aca="false">W16</f>
        <v>112.5</v>
      </c>
      <c r="AI16" s="58" t="n">
        <f aca="false">J16</f>
        <v>2.725</v>
      </c>
      <c r="AJ16" s="58" t="n">
        <f aca="false">AH16-AI16</f>
        <v>109.775</v>
      </c>
      <c r="AK16" s="58" t="n">
        <f aca="false">AA16</f>
        <v>0</v>
      </c>
      <c r="AL16" s="58" t="n">
        <f aca="false">AJ16-AK16</f>
        <v>109.775</v>
      </c>
      <c r="AM16" s="58" t="n">
        <f aca="false">AL16/AH16%</f>
        <v>97.5777777777778</v>
      </c>
      <c r="AN16" s="0" t="str">
        <f aca="false">IF(ISBLANK(Z16),"","Capped")</f>
        <v/>
      </c>
      <c r="AO16" s="0" t="s">
        <v>327</v>
      </c>
      <c r="AP16" s="0" t="str">
        <f aca="false">TRIM(BA16)</f>
        <v>2DDm85-15</v>
      </c>
      <c r="AQ16" s="59" t="e">
        <f aca="false">_xlfn.xlookup(A16,'SYS Allocations'!A:A,'SYS Allocations'!B:B)</f>
        <v>#NAME?</v>
      </c>
      <c r="AR16" s="59" t="e">
        <f aca="false">_xlfn.xlookup(A16,'SYS Allocations'!A:A,'SYS Allocations'!C:C)</f>
        <v>#NAME?</v>
      </c>
      <c r="AS16" s="59" t="e">
        <f aca="false">_xlfn.xlookup(A16,'SYS Allocations'!A:A,'SYS Allocations'!D:D)</f>
        <v>#NAME?</v>
      </c>
      <c r="AT16" s="59" t="e">
        <f aca="false">_xlfn.xlookup(A16,'SYS Allocations'!A:A,'SYS Allocations'!E:E)</f>
        <v>#NAME?</v>
      </c>
      <c r="AU16" s="59" t="e">
        <f aca="false">_xlfn.xlookup(A16,'SYS Allocations'!A:A,'SYS Allocations'!F:F)</f>
        <v>#NAME?</v>
      </c>
      <c r="BA16" s="0" t="str">
        <f aca="false">IFERROR(LEFT(R16,FIND("(",R16,1)-1),R16)</f>
        <v>2DDm85-15</v>
      </c>
    </row>
    <row r="17" customFormat="false" ht="13.15" hidden="false" customHeight="false" outlineLevel="0" collapsed="false">
      <c r="A17" s="20" t="s">
        <v>33</v>
      </c>
      <c r="B17" s="0" t="s">
        <v>328</v>
      </c>
      <c r="C17" s="0" t="s">
        <v>367</v>
      </c>
      <c r="D17" s="0" t="s">
        <v>319</v>
      </c>
      <c r="E17" s="0" t="s">
        <v>368</v>
      </c>
      <c r="F17" s="0" t="s">
        <v>369</v>
      </c>
      <c r="G17" s="0" t="n">
        <v>23</v>
      </c>
      <c r="H17" s="0" t="n">
        <v>5</v>
      </c>
      <c r="I17" s="0" t="n">
        <v>45</v>
      </c>
      <c r="J17" s="0" t="n">
        <v>2.4525</v>
      </c>
      <c r="K17" s="45" t="n">
        <v>45502</v>
      </c>
      <c r="L17" s="0" t="n">
        <v>4.0112</v>
      </c>
      <c r="M17" s="0" t="n">
        <v>1.5587</v>
      </c>
      <c r="N17" s="0" t="n">
        <v>4.796</v>
      </c>
      <c r="O17" s="0" t="n">
        <v>2.3435</v>
      </c>
      <c r="P17" s="0" t="s">
        <v>337</v>
      </c>
      <c r="Q17" s="0" t="s">
        <v>352</v>
      </c>
      <c r="R17" s="0" t="s">
        <v>353</v>
      </c>
      <c r="S17" s="0" t="n">
        <v>3.456</v>
      </c>
      <c r="T17" s="0" t="n">
        <v>1.0035</v>
      </c>
      <c r="U17" s="0" t="s">
        <v>322</v>
      </c>
      <c r="V17" s="0" t="s">
        <v>370</v>
      </c>
      <c r="W17" s="0" t="n">
        <v>15</v>
      </c>
      <c r="X17" s="0" t="n">
        <v>12.5475</v>
      </c>
      <c r="Y17" s="0" t="n">
        <v>12</v>
      </c>
      <c r="AB17" s="58" t="n">
        <f aca="false">M17-AA17</f>
        <v>1.5587</v>
      </c>
      <c r="AC17" s="58" t="n">
        <f aca="false">O17-AA17</f>
        <v>2.3435</v>
      </c>
      <c r="AD17" s="58" t="n">
        <f aca="false">AB17/L17%</f>
        <v>38.8586956521739</v>
      </c>
      <c r="AE17" s="58" t="n">
        <f aca="false">AC17/N17%</f>
        <v>48.8636363636364</v>
      </c>
      <c r="AF17" s="58" t="n">
        <f aca="false">T17-AA17</f>
        <v>1.0035</v>
      </c>
      <c r="AG17" s="58" t="n">
        <f aca="false">AF17/S17%</f>
        <v>29.0364583333333</v>
      </c>
      <c r="AH17" s="58" t="n">
        <f aca="false">W17</f>
        <v>15</v>
      </c>
      <c r="AI17" s="58" t="n">
        <f aca="false">J17</f>
        <v>2.4525</v>
      </c>
      <c r="AJ17" s="58" t="n">
        <f aca="false">AH17-AI17</f>
        <v>12.5475</v>
      </c>
      <c r="AK17" s="58" t="n">
        <f aca="false">AA17</f>
        <v>0</v>
      </c>
      <c r="AL17" s="58" t="n">
        <f aca="false">AJ17-AK17</f>
        <v>12.5475</v>
      </c>
      <c r="AM17" s="58" t="n">
        <f aca="false">AL17/AH17%</f>
        <v>83.65</v>
      </c>
      <c r="AN17" s="0" t="str">
        <f aca="false">IF(ISBLANK(Z17),"","Capped")</f>
        <v/>
      </c>
      <c r="AO17" s="0" t="s">
        <v>327</v>
      </c>
      <c r="AP17" s="0" t="str">
        <f aca="false">TRIM(BA17)</f>
        <v>SBS C11F</v>
      </c>
      <c r="AQ17" s="59" t="e">
        <f aca="false">_xlfn.xlookup(A17,'SYS Allocations'!A:A,'SYS Allocations'!B:B)</f>
        <v>#NAME?</v>
      </c>
      <c r="AR17" s="59" t="e">
        <f aca="false">_xlfn.xlookup(A17,'SYS Allocations'!A:A,'SYS Allocations'!C:C)</f>
        <v>#NAME?</v>
      </c>
      <c r="AS17" s="59" t="e">
        <f aca="false">_xlfn.xlookup(A17,'SYS Allocations'!A:A,'SYS Allocations'!D:D)</f>
        <v>#NAME?</v>
      </c>
      <c r="AT17" s="59" t="e">
        <f aca="false">_xlfn.xlookup(A17,'SYS Allocations'!A:A,'SYS Allocations'!E:E)</f>
        <v>#NAME?</v>
      </c>
      <c r="AU17" s="59" t="e">
        <f aca="false">_xlfn.xlookup(A17,'SYS Allocations'!A:A,'SYS Allocations'!F:F)</f>
        <v>#NAME?</v>
      </c>
      <c r="BA17" s="0" t="str">
        <f aca="false">IFERROR(LEFT(R17,FIND("(",R17,1)-1),R17)</f>
        <v>SBS C11F</v>
      </c>
    </row>
    <row r="18" customFormat="false" ht="13.15" hidden="false" customHeight="false" outlineLevel="0" collapsed="false">
      <c r="A18" s="20" t="s">
        <v>34</v>
      </c>
      <c r="B18" s="0" t="s">
        <v>371</v>
      </c>
      <c r="C18" s="0" t="s">
        <v>372</v>
      </c>
      <c r="D18" s="0" t="s">
        <v>319</v>
      </c>
      <c r="E18" s="0" t="s">
        <v>373</v>
      </c>
      <c r="F18" s="0" t="s">
        <v>321</v>
      </c>
      <c r="G18" s="0" t="n">
        <v>36.6</v>
      </c>
      <c r="H18" s="0" t="n">
        <v>66</v>
      </c>
      <c r="I18" s="0" t="n">
        <v>740</v>
      </c>
      <c r="J18" s="0" t="n">
        <v>40.33</v>
      </c>
      <c r="K18" s="45" t="n">
        <v>45587</v>
      </c>
      <c r="L18" s="0" t="n">
        <v>103.7244</v>
      </c>
      <c r="M18" s="0" t="n">
        <v>63.3944</v>
      </c>
      <c r="N18" s="0" t="n">
        <v>64.2555</v>
      </c>
      <c r="O18" s="0" t="n">
        <v>23.9255</v>
      </c>
      <c r="P18" s="0" t="s">
        <v>374</v>
      </c>
      <c r="Q18" s="0" t="s">
        <v>331</v>
      </c>
      <c r="R18" s="0" t="s">
        <v>345</v>
      </c>
      <c r="S18" s="0" t="n">
        <v>106.6608</v>
      </c>
      <c r="T18" s="0" t="n">
        <v>66.3308000000001</v>
      </c>
      <c r="U18" s="0" t="s">
        <v>322</v>
      </c>
      <c r="V18" s="0" t="s">
        <v>375</v>
      </c>
      <c r="W18" s="0" t="n">
        <v>75</v>
      </c>
      <c r="X18" s="0" t="n">
        <v>34.67</v>
      </c>
      <c r="Y18" s="0" t="n">
        <v>29</v>
      </c>
      <c r="AB18" s="58" t="n">
        <f aca="false">M18-AA18</f>
        <v>63.3944</v>
      </c>
      <c r="AC18" s="58" t="n">
        <f aca="false">O18-AA18</f>
        <v>23.9255</v>
      </c>
      <c r="AD18" s="58" t="n">
        <f aca="false">AB18/L18%</f>
        <v>61.1181168558218</v>
      </c>
      <c r="AE18" s="58" t="n">
        <f aca="false">AC18/N18%</f>
        <v>37.2349448685327</v>
      </c>
      <c r="AF18" s="58" t="n">
        <f aca="false">T18-AA18</f>
        <v>66.3308000000001</v>
      </c>
      <c r="AG18" s="58" t="n">
        <f aca="false">AF18/S18%</f>
        <v>62.1885453699954</v>
      </c>
      <c r="AH18" s="58" t="n">
        <f aca="false">'Multiroom cooling'!F9</f>
        <v>116.25</v>
      </c>
      <c r="AI18" s="58" t="n">
        <f aca="false">J18</f>
        <v>40.33</v>
      </c>
      <c r="AJ18" s="58" t="n">
        <f aca="false">AH18-AI18</f>
        <v>75.92</v>
      </c>
      <c r="AK18" s="58" t="n">
        <f aca="false">AA18</f>
        <v>0</v>
      </c>
      <c r="AL18" s="58" t="n">
        <f aca="false">AJ18-AK18</f>
        <v>75.92</v>
      </c>
      <c r="AM18" s="58" t="n">
        <f aca="false">AL18/AH18%</f>
        <v>65.3075268817204</v>
      </c>
      <c r="AN18" s="0" t="str">
        <f aca="false">IF(ISBLANK(Z18),"","Capped")</f>
        <v/>
      </c>
      <c r="AO18" s="0" t="s">
        <v>327</v>
      </c>
      <c r="AP18" s="0" t="str">
        <f aca="false">TRIM(BA18)</f>
        <v>DDm125-33</v>
      </c>
      <c r="AQ18" s="59" t="e">
        <f aca="false">_xlfn.xlookup(A18,'SYS Allocations'!A:A,'SYS Allocations'!B:B)</f>
        <v>#NAME?</v>
      </c>
      <c r="AR18" s="59" t="e">
        <f aca="false">_xlfn.xlookup(A18,'SYS Allocations'!A:A,'SYS Allocations'!C:C)</f>
        <v>#NAME?</v>
      </c>
      <c r="AS18" s="59" t="e">
        <f aca="false">_xlfn.xlookup(A18,'SYS Allocations'!A:A,'SYS Allocations'!D:D)</f>
        <v>#NAME?</v>
      </c>
      <c r="AT18" s="59" t="e">
        <f aca="false">_xlfn.xlookup(A18,'SYS Allocations'!A:A,'SYS Allocations'!E:E)</f>
        <v>#NAME?</v>
      </c>
      <c r="AU18" s="59" t="e">
        <f aca="false">_xlfn.xlookup(A18,'SYS Allocations'!A:A,'SYS Allocations'!F:F)</f>
        <v>#NAME?</v>
      </c>
      <c r="BA18" s="0" t="str">
        <f aca="false">IFERROR(LEFT(R18,FIND("(",R18,1)-1),R18)</f>
        <v>DDm125-33</v>
      </c>
    </row>
    <row r="19" customFormat="false" ht="13.15" hidden="false" customHeight="false" outlineLevel="0" collapsed="false">
      <c r="A19" s="20" t="s">
        <v>35</v>
      </c>
      <c r="B19" s="0" t="s">
        <v>376</v>
      </c>
      <c r="C19" s="0" t="s">
        <v>377</v>
      </c>
      <c r="D19" s="0" t="s">
        <v>319</v>
      </c>
      <c r="E19" s="0" t="s">
        <v>378</v>
      </c>
      <c r="F19" s="0" t="s">
        <v>321</v>
      </c>
      <c r="G19" s="0" t="n">
        <v>36.6</v>
      </c>
      <c r="H19" s="0" t="n">
        <v>13</v>
      </c>
      <c r="I19" s="0" t="n">
        <v>101</v>
      </c>
      <c r="J19" s="0" t="n">
        <v>5.5045</v>
      </c>
      <c r="K19" s="45" t="n">
        <v>45659</v>
      </c>
      <c r="L19" s="0" t="n">
        <v>19.14912</v>
      </c>
      <c r="M19" s="0" t="n">
        <v>13.64462</v>
      </c>
      <c r="N19" s="0" t="n">
        <v>14.20815</v>
      </c>
      <c r="O19" s="0" t="n">
        <v>8.70365</v>
      </c>
      <c r="P19" s="0" t="s">
        <v>322</v>
      </c>
      <c r="Q19" s="0" t="s">
        <v>331</v>
      </c>
      <c r="R19" s="0" t="s">
        <v>365</v>
      </c>
      <c r="S19" s="0" t="n">
        <v>15.1632</v>
      </c>
      <c r="T19" s="0" t="n">
        <v>9.65869999999999</v>
      </c>
      <c r="U19" s="0" t="s">
        <v>379</v>
      </c>
      <c r="V19" s="0" t="s">
        <v>380</v>
      </c>
      <c r="W19" s="0" t="n">
        <v>27</v>
      </c>
      <c r="X19" s="0" t="n">
        <v>21.4955</v>
      </c>
      <c r="Y19" s="0" t="n">
        <v>19</v>
      </c>
      <c r="AB19" s="58" t="n">
        <f aca="false">M19-AA19</f>
        <v>13.64462</v>
      </c>
      <c r="AC19" s="58" t="n">
        <f aca="false">O19-AA19</f>
        <v>8.70365</v>
      </c>
      <c r="AD19" s="58" t="n">
        <f aca="false">AB19/L19%</f>
        <v>71.2545537340619</v>
      </c>
      <c r="AE19" s="58" t="n">
        <f aca="false">AC19/N19%</f>
        <v>61.2581511315689</v>
      </c>
      <c r="AF19" s="58" t="n">
        <f aca="false">T19-AA19</f>
        <v>9.65869999999999</v>
      </c>
      <c r="AG19" s="58" t="n">
        <f aca="false">AF19/S19%</f>
        <v>63.6982958742217</v>
      </c>
      <c r="AH19" s="58" t="n">
        <f aca="false">W19</f>
        <v>27</v>
      </c>
      <c r="AI19" s="58" t="n">
        <f aca="false">J19</f>
        <v>5.5045</v>
      </c>
      <c r="AJ19" s="58" t="n">
        <f aca="false">AH19-AI19</f>
        <v>21.4955</v>
      </c>
      <c r="AK19" s="58" t="n">
        <f aca="false">AA19</f>
        <v>0</v>
      </c>
      <c r="AL19" s="58" t="n">
        <f aca="false">AJ19-AK19</f>
        <v>21.4955</v>
      </c>
      <c r="AM19" s="58" t="n">
        <f aca="false">AL19/AH19%</f>
        <v>79.612962962963</v>
      </c>
      <c r="AN19" s="0" t="str">
        <f aca="false">IF(ISBLANK(Z19),"","Capped")</f>
        <v/>
      </c>
      <c r="AO19" s="0" t="s">
        <v>327</v>
      </c>
      <c r="AP19" s="0" t="str">
        <f aca="false">TRIM(BA19)</f>
        <v>2DDm85-15</v>
      </c>
      <c r="AQ19" s="59" t="e">
        <f aca="false">_xlfn.xlookup(A19,'SYS Allocations'!A:A,'SYS Allocations'!B:B)</f>
        <v>#NAME?</v>
      </c>
      <c r="AR19" s="59" t="e">
        <f aca="false">_xlfn.xlookup(A19,'SYS Allocations'!A:A,'SYS Allocations'!C:C)</f>
        <v>#NAME?</v>
      </c>
      <c r="AS19" s="59" t="e">
        <f aca="false">_xlfn.xlookup(A19,'SYS Allocations'!A:A,'SYS Allocations'!D:D)</f>
        <v>#NAME?</v>
      </c>
      <c r="AT19" s="59" t="e">
        <f aca="false">_xlfn.xlookup(A19,'SYS Allocations'!A:A,'SYS Allocations'!E:E)</f>
        <v>#NAME?</v>
      </c>
      <c r="AU19" s="59" t="e">
        <f aca="false">_xlfn.xlookup(A19,'SYS Allocations'!A:A,'SYS Allocations'!F:F)</f>
        <v>#NAME?</v>
      </c>
      <c r="BA19" s="0" t="str">
        <f aca="false">IFERROR(LEFT(R19,FIND("(",R19,1)-1),R19)</f>
        <v>2DDm85-15</v>
      </c>
    </row>
    <row r="20" customFormat="false" ht="13.15" hidden="false" customHeight="false" outlineLevel="0" collapsed="false">
      <c r="A20" s="20" t="s">
        <v>36</v>
      </c>
      <c r="B20" s="0" t="s">
        <v>371</v>
      </c>
      <c r="C20" s="0" t="s">
        <v>381</v>
      </c>
      <c r="D20" s="0" t="s">
        <v>319</v>
      </c>
      <c r="E20" s="0" t="s">
        <v>382</v>
      </c>
      <c r="F20" s="0" t="s">
        <v>383</v>
      </c>
      <c r="G20" s="0" t="n">
        <v>55</v>
      </c>
      <c r="H20" s="0" t="n">
        <v>5</v>
      </c>
      <c r="I20" s="0" t="n">
        <v>109</v>
      </c>
      <c r="J20" s="0" t="n">
        <v>5.9405</v>
      </c>
      <c r="K20" s="45" t="n">
        <v>45581</v>
      </c>
      <c r="L20" s="0" t="n">
        <v>9.592</v>
      </c>
      <c r="M20" s="0" t="n">
        <v>3.6515</v>
      </c>
      <c r="N20" s="0" t="n">
        <v>5.63312</v>
      </c>
      <c r="O20" s="0" t="n">
        <v>-0.30738</v>
      </c>
      <c r="P20" s="0" t="s">
        <v>322</v>
      </c>
      <c r="Q20" s="0" t="s">
        <v>323</v>
      </c>
      <c r="R20" s="0" t="s">
        <v>324</v>
      </c>
      <c r="S20" s="0" t="n">
        <v>13.1544</v>
      </c>
      <c r="T20" s="0" t="n">
        <v>7.21390000000001</v>
      </c>
      <c r="U20" s="0" t="s">
        <v>325</v>
      </c>
      <c r="V20" s="0" t="s">
        <v>333</v>
      </c>
      <c r="W20" s="0" t="n">
        <v>22.5</v>
      </c>
      <c r="X20" s="0" t="n">
        <v>16.5595</v>
      </c>
      <c r="Y20" s="0" t="n">
        <v>12</v>
      </c>
      <c r="AB20" s="58" t="n">
        <f aca="false">M20-AA20</f>
        <v>3.6515</v>
      </c>
      <c r="AC20" s="58" t="n">
        <f aca="false">O20-AA20</f>
        <v>-0.30738</v>
      </c>
      <c r="AD20" s="58" t="n">
        <f aca="false">AB20/L20%</f>
        <v>38.0681818181818</v>
      </c>
      <c r="AE20" s="58" t="n">
        <f aca="false">AC20/N20%</f>
        <v>-5.45665634674923</v>
      </c>
      <c r="AF20" s="58" t="n">
        <f aca="false">T20-AA20</f>
        <v>7.21390000000001</v>
      </c>
      <c r="AG20" s="58" t="n">
        <f aca="false">AF20/S20%</f>
        <v>54.8402055585964</v>
      </c>
      <c r="AH20" s="58" t="n">
        <f aca="false">W20</f>
        <v>22.5</v>
      </c>
      <c r="AI20" s="58" t="n">
        <f aca="false">J20</f>
        <v>5.9405</v>
      </c>
      <c r="AJ20" s="58" t="n">
        <f aca="false">AH20-AI20</f>
        <v>16.5595</v>
      </c>
      <c r="AK20" s="58" t="n">
        <f aca="false">AA20</f>
        <v>0</v>
      </c>
      <c r="AL20" s="58" t="n">
        <f aca="false">AJ20-AK20</f>
        <v>16.5595</v>
      </c>
      <c r="AM20" s="58" t="n">
        <f aca="false">AL20/AH20%</f>
        <v>73.5977777777778</v>
      </c>
      <c r="AN20" s="0" t="str">
        <f aca="false">IF(ISBLANK(Z20),"","Capped")</f>
        <v/>
      </c>
      <c r="AO20" s="0" t="s">
        <v>327</v>
      </c>
      <c r="AP20" s="0" t="str">
        <f aca="false">TRIM(BA20)</f>
        <v>EN480-2</v>
      </c>
      <c r="AQ20" s="59" t="e">
        <f aca="false">_xlfn.xlookup(A20,'SYS Allocations'!A:A,'SYS Allocations'!B:B)</f>
        <v>#NAME?</v>
      </c>
      <c r="AR20" s="59" t="e">
        <f aca="false">_xlfn.xlookup(A20,'SYS Allocations'!A:A,'SYS Allocations'!C:C)</f>
        <v>#NAME?</v>
      </c>
      <c r="AS20" s="59" t="e">
        <f aca="false">_xlfn.xlookup(A20,'SYS Allocations'!A:A,'SYS Allocations'!D:D)</f>
        <v>#NAME?</v>
      </c>
      <c r="AT20" s="59" t="e">
        <f aca="false">_xlfn.xlookup(A20,'SYS Allocations'!A:A,'SYS Allocations'!E:E)</f>
        <v>#NAME?</v>
      </c>
      <c r="AU20" s="59" t="e">
        <f aca="false">_xlfn.xlookup(A20,'SYS Allocations'!A:A,'SYS Allocations'!F:F)</f>
        <v>#NAME?</v>
      </c>
      <c r="BA20" s="0" t="str">
        <f aca="false">IFERROR(LEFT(R20,FIND("(",R20,1)-1),R20)</f>
        <v>EN480-2</v>
      </c>
    </row>
    <row r="21" customFormat="false" ht="13.15" hidden="false" customHeight="false" outlineLevel="0" collapsed="false">
      <c r="A21" s="20" t="s">
        <v>37</v>
      </c>
      <c r="B21" s="0" t="s">
        <v>371</v>
      </c>
      <c r="C21" s="0" t="s">
        <v>381</v>
      </c>
      <c r="D21" s="0" t="s">
        <v>319</v>
      </c>
      <c r="E21" s="0" t="s">
        <v>384</v>
      </c>
      <c r="F21" s="0" t="s">
        <v>364</v>
      </c>
      <c r="G21" s="0" t="n">
        <v>75</v>
      </c>
      <c r="H21" s="0" t="n">
        <v>13</v>
      </c>
      <c r="I21" s="0" t="n">
        <v>420</v>
      </c>
      <c r="J21" s="0" t="n">
        <v>22.89</v>
      </c>
      <c r="K21" s="45" t="n">
        <v>45558</v>
      </c>
      <c r="L21" s="0" t="n">
        <v>39.24</v>
      </c>
      <c r="M21" s="0" t="n">
        <v>16.35</v>
      </c>
      <c r="N21" s="0" t="n">
        <v>35.46315</v>
      </c>
      <c r="O21" s="0" t="n">
        <v>12.57315</v>
      </c>
      <c r="P21" s="0" t="s">
        <v>322</v>
      </c>
      <c r="Q21" s="0" t="s">
        <v>385</v>
      </c>
      <c r="R21" s="0" t="s">
        <v>386</v>
      </c>
      <c r="S21" s="0" t="n">
        <v>27.7992</v>
      </c>
      <c r="T21" s="0" t="n">
        <v>4.90919999999997</v>
      </c>
      <c r="U21" s="0" t="s">
        <v>322</v>
      </c>
      <c r="V21" s="0" t="s">
        <v>387</v>
      </c>
      <c r="W21" s="0" t="n">
        <v>85.815</v>
      </c>
      <c r="X21" s="0" t="n">
        <v>62.925</v>
      </c>
      <c r="Y21" s="0" t="n">
        <v>31</v>
      </c>
      <c r="AB21" s="58" t="n">
        <f aca="false">M21-AA21</f>
        <v>16.35</v>
      </c>
      <c r="AC21" s="58" t="n">
        <f aca="false">O21-AA21</f>
        <v>12.57315</v>
      </c>
      <c r="AD21" s="58" t="n">
        <f aca="false">AB21/L21%</f>
        <v>41.6666666666667</v>
      </c>
      <c r="AE21" s="58" t="n">
        <f aca="false">AC21/N21%</f>
        <v>35.4541263254956</v>
      </c>
      <c r="AF21" s="58" t="n">
        <f aca="false">T21-AA21</f>
        <v>4.90919999999997</v>
      </c>
      <c r="AG21" s="58" t="n">
        <f aca="false">AF21/S21%</f>
        <v>17.6595009928342</v>
      </c>
      <c r="AH21" s="58" t="n">
        <f aca="false">W21</f>
        <v>85.815</v>
      </c>
      <c r="AI21" s="58" t="n">
        <f aca="false">J21</f>
        <v>22.89</v>
      </c>
      <c r="AJ21" s="58" t="n">
        <f aca="false">AH21-AI21</f>
        <v>62.925</v>
      </c>
      <c r="AK21" s="58" t="n">
        <f aca="false">AA21</f>
        <v>0</v>
      </c>
      <c r="AL21" s="58" t="n">
        <f aca="false">AJ21-AK21</f>
        <v>62.925</v>
      </c>
      <c r="AM21" s="58" t="n">
        <f aca="false">AL21/AH21%</f>
        <v>73.3263415486803</v>
      </c>
      <c r="AN21" s="0" t="str">
        <f aca="false">IF(ISBLANK(Z21),"","Capped")</f>
        <v/>
      </c>
      <c r="AO21" s="0" t="s">
        <v>327</v>
      </c>
      <c r="AP21" s="0" t="str">
        <f aca="false">TRIM(BA21)</f>
        <v>2SLA1000</v>
      </c>
      <c r="AQ21" s="59" t="e">
        <f aca="false">_xlfn.xlookup(A21,'SYS Allocations'!A:A,'SYS Allocations'!B:B)</f>
        <v>#NAME?</v>
      </c>
      <c r="AR21" s="59" t="e">
        <f aca="false">_xlfn.xlookup(A21,'SYS Allocations'!A:A,'SYS Allocations'!C:C)</f>
        <v>#NAME?</v>
      </c>
      <c r="AS21" s="59" t="e">
        <f aca="false">_xlfn.xlookup(A21,'SYS Allocations'!A:A,'SYS Allocations'!D:D)</f>
        <v>#NAME?</v>
      </c>
      <c r="AT21" s="59" t="e">
        <f aca="false">_xlfn.xlookup(A21,'SYS Allocations'!A:A,'SYS Allocations'!E:E)</f>
        <v>#NAME?</v>
      </c>
      <c r="AU21" s="59" t="e">
        <f aca="false">_xlfn.xlookup(A21,'SYS Allocations'!A:A,'SYS Allocations'!F:F)</f>
        <v>#NAME?</v>
      </c>
      <c r="BA21" s="0" t="str">
        <f aca="false">IFERROR(LEFT(R21,FIND("(",R21,1)-1),R21)</f>
        <v>2SLA1000</v>
      </c>
    </row>
    <row r="22" customFormat="false" ht="13.15" hidden="false" customHeight="false" outlineLevel="0" collapsed="false">
      <c r="A22" s="20" t="s">
        <v>38</v>
      </c>
      <c r="B22" s="0" t="s">
        <v>388</v>
      </c>
      <c r="C22" s="0" t="s">
        <v>389</v>
      </c>
      <c r="D22" s="0" t="s">
        <v>390</v>
      </c>
      <c r="E22" s="0" t="s">
        <v>391</v>
      </c>
      <c r="F22" s="0" t="s">
        <v>321</v>
      </c>
      <c r="G22" s="0" t="n">
        <v>36.6</v>
      </c>
      <c r="H22" s="0" t="n">
        <v>74</v>
      </c>
      <c r="I22" s="0" t="n">
        <v>976</v>
      </c>
      <c r="J22" s="0" t="n">
        <v>53.192</v>
      </c>
      <c r="K22" s="45" t="n">
        <v>45659</v>
      </c>
      <c r="L22" s="0" t="n">
        <v>116.49048</v>
      </c>
      <c r="M22" s="0" t="n">
        <v>63.29848</v>
      </c>
      <c r="N22" s="0" t="n">
        <v>80.2131</v>
      </c>
      <c r="O22" s="0" t="n">
        <v>27.0211</v>
      </c>
      <c r="P22" s="0" t="s">
        <v>374</v>
      </c>
      <c r="Q22" s="0" t="s">
        <v>331</v>
      </c>
      <c r="R22" s="0" t="s">
        <v>345</v>
      </c>
      <c r="S22" s="0" t="n">
        <v>106.6608</v>
      </c>
      <c r="T22" s="0" t="n">
        <v>53.4688000000001</v>
      </c>
      <c r="U22" s="0" t="s">
        <v>374</v>
      </c>
      <c r="V22" s="0" t="s">
        <v>392</v>
      </c>
      <c r="W22" s="0" t="n">
        <v>161.25</v>
      </c>
      <c r="X22" s="0" t="n">
        <v>108.058</v>
      </c>
      <c r="Y22" s="0" t="n">
        <v>38</v>
      </c>
      <c r="Z22" s="0" t="s">
        <v>274</v>
      </c>
      <c r="AB22" s="58" t="n">
        <f aca="false">M22-AA22</f>
        <v>63.29848</v>
      </c>
      <c r="AC22" s="58" t="n">
        <f aca="false">O22-AA22</f>
        <v>27.0211</v>
      </c>
      <c r="AD22" s="58" t="n">
        <f aca="false">AB22/L22%</f>
        <v>54.337899543379</v>
      </c>
      <c r="AE22" s="58" t="n">
        <f aca="false">AC22/N22%</f>
        <v>33.6866422068216</v>
      </c>
      <c r="AF22" s="58" t="n">
        <f aca="false">T22-AA22</f>
        <v>53.4688000000001</v>
      </c>
      <c r="AG22" s="58" t="n">
        <f aca="false">AF22/S22%</f>
        <v>50.1297571366426</v>
      </c>
      <c r="AH22" s="60" t="n">
        <f aca="false">AVERAGE(W22:W23)</f>
        <v>161.25</v>
      </c>
      <c r="AI22" s="60" t="n">
        <f aca="false">SUM(J22:J23)</f>
        <v>105.5665</v>
      </c>
      <c r="AJ22" s="60" t="n">
        <f aca="false">SUM(AH22-AI22)</f>
        <v>55.6835</v>
      </c>
      <c r="AK22" s="60" t="n">
        <f aca="false">SUM(AA22:AA23)</f>
        <v>0</v>
      </c>
      <c r="AL22" s="60" t="n">
        <f aca="false">SUM(AJ22-AK22)</f>
        <v>55.6835</v>
      </c>
      <c r="AM22" s="61" t="n">
        <f aca="false">AL22/AH22%</f>
        <v>34.5324031007752</v>
      </c>
      <c r="AN22" s="0" t="str">
        <f aca="false">IF(ISBLANK(Z22),"","Capped")</f>
        <v>Capped</v>
      </c>
      <c r="AO22" s="0" t="s">
        <v>393</v>
      </c>
      <c r="AP22" s="0" t="str">
        <f aca="false">TRIM(BA22)</f>
        <v>DDm125-33</v>
      </c>
      <c r="AQ22" s="59" t="e">
        <f aca="false">_xlfn.xlookup(A22,'SYS Allocations'!A:A,'SYS Allocations'!B:B)</f>
        <v>#NAME?</v>
      </c>
      <c r="AR22" s="59" t="e">
        <f aca="false">_xlfn.xlookup(A22,'SYS Allocations'!A:A,'SYS Allocations'!C:C)</f>
        <v>#NAME?</v>
      </c>
      <c r="AS22" s="59" t="e">
        <f aca="false">_xlfn.xlookup(A22,'SYS Allocations'!A:A,'SYS Allocations'!D:D)</f>
        <v>#NAME?</v>
      </c>
      <c r="AT22" s="59" t="e">
        <f aca="false">_xlfn.xlookup(A22,'SYS Allocations'!A:A,'SYS Allocations'!E:E)</f>
        <v>#NAME?</v>
      </c>
      <c r="AU22" s="59" t="e">
        <f aca="false">_xlfn.xlookup(A22,'SYS Allocations'!A:A,'SYS Allocations'!F:F)</f>
        <v>#NAME?</v>
      </c>
      <c r="BA22" s="0" t="str">
        <f aca="false">IFERROR(LEFT(R22,FIND("(",R22,1)-1),R22)</f>
        <v>DDm125-33</v>
      </c>
    </row>
    <row r="23" customFormat="false" ht="13.15" hidden="false" customHeight="false" outlineLevel="0" collapsed="false">
      <c r="A23" s="20" t="s">
        <v>39</v>
      </c>
      <c r="B23" s="0" t="s">
        <v>388</v>
      </c>
      <c r="C23" s="0" t="s">
        <v>389</v>
      </c>
      <c r="D23" s="0" t="s">
        <v>390</v>
      </c>
      <c r="E23" s="0" t="s">
        <v>391</v>
      </c>
      <c r="F23" s="0" t="s">
        <v>321</v>
      </c>
      <c r="G23" s="0" t="n">
        <v>36.6</v>
      </c>
      <c r="H23" s="0" t="n">
        <v>74</v>
      </c>
      <c r="I23" s="0" t="n">
        <v>961</v>
      </c>
      <c r="J23" s="0" t="n">
        <v>52.3745</v>
      </c>
      <c r="K23" s="45" t="n">
        <v>45659</v>
      </c>
      <c r="L23" s="0" t="n">
        <v>116.49048</v>
      </c>
      <c r="M23" s="0" t="n">
        <v>64.11598</v>
      </c>
      <c r="N23" s="0" t="n">
        <v>80.2131</v>
      </c>
      <c r="O23" s="0" t="n">
        <v>27.8386</v>
      </c>
      <c r="P23" s="0" t="s">
        <v>374</v>
      </c>
      <c r="Q23" s="0" t="s">
        <v>331</v>
      </c>
      <c r="R23" s="0" t="s">
        <v>345</v>
      </c>
      <c r="S23" s="0" t="n">
        <v>106.6608</v>
      </c>
      <c r="T23" s="0" t="n">
        <v>54.2863000000001</v>
      </c>
      <c r="U23" s="0" t="s">
        <v>374</v>
      </c>
      <c r="V23" s="0" t="s">
        <v>392</v>
      </c>
      <c r="W23" s="0" t="n">
        <v>161.25</v>
      </c>
      <c r="X23" s="0" t="n">
        <v>108.8755</v>
      </c>
      <c r="Y23" s="0" t="n">
        <v>38</v>
      </c>
      <c r="Z23" s="0" t="s">
        <v>274</v>
      </c>
      <c r="AB23" s="58" t="n">
        <f aca="false">M23-AA23</f>
        <v>64.11598</v>
      </c>
      <c r="AC23" s="58" t="n">
        <f aca="false">O23-AA23</f>
        <v>27.8386</v>
      </c>
      <c r="AD23" s="58" t="n">
        <f aca="false">AB23/L23%</f>
        <v>55.0396736282656</v>
      </c>
      <c r="AE23" s="58" t="n">
        <f aca="false">AC23/N23%</f>
        <v>34.7058024188069</v>
      </c>
      <c r="AF23" s="58" t="n">
        <f aca="false">T23-AA23</f>
        <v>54.2863000000001</v>
      </c>
      <c r="AG23" s="58" t="n">
        <f aca="false">AF23/S23%</f>
        <v>50.8962055413049</v>
      </c>
      <c r="AH23" s="60"/>
      <c r="AI23" s="60"/>
      <c r="AJ23" s="60"/>
      <c r="AK23" s="60"/>
      <c r="AL23" s="60"/>
      <c r="AM23" s="61"/>
      <c r="AN23" s="0" t="str">
        <f aca="false">IF(ISBLANK(Z23),"","Capped")</f>
        <v>Capped</v>
      </c>
      <c r="AO23" s="0" t="s">
        <v>393</v>
      </c>
      <c r="AP23" s="0" t="str">
        <f aca="false">TRIM(BA23)</f>
        <v>DDm125-33</v>
      </c>
      <c r="AQ23" s="59" t="e">
        <f aca="false">_xlfn.xlookup(A23,'SYS Allocations'!A:A,'SYS Allocations'!B:B)</f>
        <v>#NAME?</v>
      </c>
      <c r="AR23" s="59" t="e">
        <f aca="false">_xlfn.xlookup(A23,'SYS Allocations'!A:A,'SYS Allocations'!C:C)</f>
        <v>#NAME?</v>
      </c>
      <c r="AS23" s="59" t="e">
        <f aca="false">_xlfn.xlookup(A23,'SYS Allocations'!A:A,'SYS Allocations'!D:D)</f>
        <v>#NAME?</v>
      </c>
      <c r="AT23" s="59" t="e">
        <f aca="false">_xlfn.xlookup(A23,'SYS Allocations'!A:A,'SYS Allocations'!E:E)</f>
        <v>#NAME?</v>
      </c>
      <c r="AU23" s="59" t="e">
        <f aca="false">_xlfn.xlookup(A23,'SYS Allocations'!A:A,'SYS Allocations'!F:F)</f>
        <v>#NAME?</v>
      </c>
      <c r="BA23" s="0" t="str">
        <f aca="false">IFERROR(LEFT(R23,FIND("(",R23,1)-1),R23)</f>
        <v>DDm125-33</v>
      </c>
    </row>
    <row r="24" customFormat="false" ht="13.15" hidden="false" customHeight="false" outlineLevel="0" collapsed="false">
      <c r="A24" s="20" t="s">
        <v>40</v>
      </c>
      <c r="B24" s="0" t="s">
        <v>394</v>
      </c>
      <c r="C24" s="0" t="s">
        <v>395</v>
      </c>
      <c r="D24" s="0" t="s">
        <v>319</v>
      </c>
      <c r="E24" s="0" t="s">
        <v>396</v>
      </c>
      <c r="F24" s="0" t="s">
        <v>397</v>
      </c>
      <c r="G24" s="0" t="n">
        <v>50</v>
      </c>
      <c r="H24" s="0" t="n">
        <v>5</v>
      </c>
      <c r="I24" s="0" t="n">
        <v>81</v>
      </c>
      <c r="J24" s="0" t="n">
        <v>4.4145</v>
      </c>
      <c r="K24" s="45" t="n">
        <v>45348</v>
      </c>
      <c r="L24" s="0" t="n">
        <v>8.72</v>
      </c>
      <c r="M24" s="0" t="n">
        <v>4.3055</v>
      </c>
      <c r="N24" s="0" t="n">
        <v>7.63</v>
      </c>
      <c r="O24" s="0" t="n">
        <v>3.2155</v>
      </c>
      <c r="P24" s="0" t="s">
        <v>325</v>
      </c>
      <c r="Q24" s="0" t="s">
        <v>331</v>
      </c>
      <c r="R24" s="0" t="s">
        <v>398</v>
      </c>
      <c r="S24" s="0" t="n">
        <v>5.2272</v>
      </c>
      <c r="T24" s="0" t="n">
        <v>0.8127</v>
      </c>
      <c r="U24" s="0" t="s">
        <v>325</v>
      </c>
      <c r="V24" s="0" t="s">
        <v>399</v>
      </c>
      <c r="W24" s="0" t="n">
        <v>37.5</v>
      </c>
      <c r="X24" s="0" t="n">
        <v>33.0855</v>
      </c>
      <c r="Y24" s="0" t="n">
        <v>96</v>
      </c>
      <c r="AB24" s="58" t="n">
        <f aca="false">M24-AA24</f>
        <v>4.3055</v>
      </c>
      <c r="AC24" s="58" t="n">
        <f aca="false">O24-AA24</f>
        <v>3.2155</v>
      </c>
      <c r="AD24" s="58" t="n">
        <f aca="false">AB24/L24%</f>
        <v>49.375</v>
      </c>
      <c r="AE24" s="58" t="n">
        <f aca="false">AC24/N24%</f>
        <v>42.1428571428571</v>
      </c>
      <c r="AF24" s="58" t="n">
        <f aca="false">T24-AA24</f>
        <v>0.8127</v>
      </c>
      <c r="AG24" s="58" t="n">
        <f aca="false">AF24/S24%</f>
        <v>15.547520661157</v>
      </c>
      <c r="AH24" s="58" t="n">
        <f aca="false">W24</f>
        <v>37.5</v>
      </c>
      <c r="AI24" s="58" t="n">
        <f aca="false">J24</f>
        <v>4.4145</v>
      </c>
      <c r="AJ24" s="58" t="n">
        <f aca="false">AH24-AI24</f>
        <v>33.0855</v>
      </c>
      <c r="AK24" s="58" t="n">
        <f aca="false">AA24</f>
        <v>0</v>
      </c>
      <c r="AL24" s="58" t="n">
        <f aca="false">AJ24-AK24</f>
        <v>33.0855</v>
      </c>
      <c r="AM24" s="58" t="n">
        <f aca="false">AL24/AH24%</f>
        <v>88.228</v>
      </c>
      <c r="AN24" s="0" t="str">
        <f aca="false">IF(ISBLANK(Z24),"","Capped")</f>
        <v/>
      </c>
      <c r="AO24" s="0" t="s">
        <v>327</v>
      </c>
      <c r="AP24" s="0" t="str">
        <f aca="false">TRIM(BA24)</f>
        <v>2DDm50-13</v>
      </c>
      <c r="AQ24" s="59" t="e">
        <f aca="false">_xlfn.xlookup(A24,'SYS Allocations'!A:A,'SYS Allocations'!B:B)</f>
        <v>#NAME?</v>
      </c>
      <c r="AR24" s="59" t="e">
        <f aca="false">_xlfn.xlookup(A24,'SYS Allocations'!A:A,'SYS Allocations'!C:C)</f>
        <v>#NAME?</v>
      </c>
      <c r="AS24" s="59" t="e">
        <f aca="false">_xlfn.xlookup(A24,'SYS Allocations'!A:A,'SYS Allocations'!D:D)</f>
        <v>#NAME?</v>
      </c>
      <c r="AT24" s="59" t="e">
        <f aca="false">_xlfn.xlookup(A24,'SYS Allocations'!A:A,'SYS Allocations'!E:E)</f>
        <v>#NAME?</v>
      </c>
      <c r="AU24" s="59" t="e">
        <f aca="false">_xlfn.xlookup(A24,'SYS Allocations'!A:A,'SYS Allocations'!F:F)</f>
        <v>#NAME?</v>
      </c>
      <c r="BA24" s="0" t="str">
        <f aca="false">IFERROR(LEFT(R24,FIND("(",R24,1)-1),R24)</f>
        <v>2DDm50-13</v>
      </c>
    </row>
    <row r="25" customFormat="false" ht="13.15" hidden="false" customHeight="false" outlineLevel="0" collapsed="false">
      <c r="A25" s="20" t="s">
        <v>41</v>
      </c>
      <c r="B25" s="0" t="s">
        <v>400</v>
      </c>
      <c r="C25" s="0" t="s">
        <v>401</v>
      </c>
      <c r="D25" s="0" t="s">
        <v>319</v>
      </c>
      <c r="E25" s="0" t="s">
        <v>402</v>
      </c>
      <c r="F25" s="0" t="s">
        <v>321</v>
      </c>
      <c r="G25" s="0" t="n">
        <v>36.6</v>
      </c>
      <c r="H25" s="0" t="n">
        <v>26</v>
      </c>
      <c r="I25" s="0" t="n">
        <v>264</v>
      </c>
      <c r="J25" s="0" t="n">
        <v>14.388</v>
      </c>
      <c r="K25" s="45" t="n">
        <v>45343</v>
      </c>
      <c r="L25" s="0" t="n">
        <v>39.894</v>
      </c>
      <c r="M25" s="0" t="n">
        <v>25.506</v>
      </c>
      <c r="N25" s="0" t="n">
        <v>32.4275</v>
      </c>
      <c r="O25" s="0" t="n">
        <v>18.0395</v>
      </c>
      <c r="P25" s="0" t="s">
        <v>325</v>
      </c>
      <c r="Q25" s="0" t="s">
        <v>331</v>
      </c>
      <c r="R25" s="0" t="s">
        <v>403</v>
      </c>
      <c r="S25" s="0" t="n">
        <v>28.1232</v>
      </c>
      <c r="T25" s="0" t="n">
        <v>13.7352</v>
      </c>
      <c r="U25" s="0" t="s">
        <v>344</v>
      </c>
      <c r="V25" s="0" t="s">
        <v>404</v>
      </c>
      <c r="W25" s="0" t="n">
        <v>54</v>
      </c>
      <c r="X25" s="0" t="n">
        <v>39.612</v>
      </c>
      <c r="Y25" s="0" t="n">
        <v>12</v>
      </c>
      <c r="AB25" s="58" t="n">
        <f aca="false">M25-AA25</f>
        <v>25.506</v>
      </c>
      <c r="AC25" s="58" t="n">
        <f aca="false">O25-AA25</f>
        <v>18.0395</v>
      </c>
      <c r="AD25" s="58" t="n">
        <f aca="false">AB25/L25%</f>
        <v>63.9344262295082</v>
      </c>
      <c r="AE25" s="58" t="n">
        <f aca="false">AC25/N25%</f>
        <v>55.6302521008403</v>
      </c>
      <c r="AF25" s="58" t="n">
        <f aca="false">T25-AA25</f>
        <v>13.7352</v>
      </c>
      <c r="AG25" s="58" t="n">
        <f aca="false">AF25/S25%</f>
        <v>48.8393923877795</v>
      </c>
      <c r="AH25" s="58" t="n">
        <f aca="false">W25</f>
        <v>54</v>
      </c>
      <c r="AI25" s="58" t="n">
        <f aca="false">J25</f>
        <v>14.388</v>
      </c>
      <c r="AJ25" s="58" t="n">
        <f aca="false">AH25-AI25</f>
        <v>39.612</v>
      </c>
      <c r="AK25" s="58" t="n">
        <f aca="false">AA25</f>
        <v>0</v>
      </c>
      <c r="AL25" s="58" t="n">
        <f aca="false">AJ25-AK25</f>
        <v>39.612</v>
      </c>
      <c r="AM25" s="58" t="n">
        <f aca="false">AL25/AH25%</f>
        <v>73.3555555555556</v>
      </c>
      <c r="AN25" s="0" t="str">
        <f aca="false">IF(ISBLANK(Z25),"","Capped")</f>
        <v/>
      </c>
      <c r="AO25" s="0" t="s">
        <v>327</v>
      </c>
      <c r="AP25" s="0" t="str">
        <f aca="false">TRIM(BA25)</f>
        <v>DDm100-33</v>
      </c>
      <c r="AQ25" s="59" t="e">
        <f aca="false">_xlfn.xlookup(A25,'SYS Allocations'!A:A,'SYS Allocations'!B:B)</f>
        <v>#NAME?</v>
      </c>
      <c r="AR25" s="59" t="e">
        <f aca="false">_xlfn.xlookup(A25,'SYS Allocations'!A:A,'SYS Allocations'!C:C)</f>
        <v>#NAME?</v>
      </c>
      <c r="AS25" s="59" t="e">
        <f aca="false">_xlfn.xlookup(A25,'SYS Allocations'!A:A,'SYS Allocations'!D:D)</f>
        <v>#NAME?</v>
      </c>
      <c r="AT25" s="59" t="e">
        <f aca="false">_xlfn.xlookup(A25,'SYS Allocations'!A:A,'SYS Allocations'!E:E)</f>
        <v>#NAME?</v>
      </c>
      <c r="AU25" s="59" t="e">
        <f aca="false">_xlfn.xlookup(A25,'SYS Allocations'!A:A,'SYS Allocations'!F:F)</f>
        <v>#NAME?</v>
      </c>
      <c r="BA25" s="0" t="str">
        <f aca="false">IFERROR(LEFT(R25,FIND("(",R25,1)-1),R25)</f>
        <v>DDm100-33</v>
      </c>
    </row>
    <row r="26" customFormat="false" ht="13.15" hidden="false" customHeight="false" outlineLevel="0" collapsed="false">
      <c r="A26" s="20" t="s">
        <v>42</v>
      </c>
      <c r="B26" s="0" t="s">
        <v>400</v>
      </c>
      <c r="C26" s="0" t="s">
        <v>401</v>
      </c>
      <c r="D26" s="0" t="s">
        <v>319</v>
      </c>
      <c r="E26" s="0" t="s">
        <v>405</v>
      </c>
      <c r="F26" s="0" t="s">
        <v>321</v>
      </c>
      <c r="G26" s="0" t="n">
        <v>36.6</v>
      </c>
      <c r="H26" s="0" t="n">
        <v>25</v>
      </c>
      <c r="I26" s="0" t="n">
        <v>414</v>
      </c>
      <c r="J26" s="0" t="n">
        <v>22.563</v>
      </c>
      <c r="K26" s="45" t="n">
        <v>45356</v>
      </c>
      <c r="L26" s="0" t="n">
        <v>38.29824</v>
      </c>
      <c r="M26" s="0" t="n">
        <v>15.73524</v>
      </c>
      <c r="N26" s="0" t="n">
        <v>21.7128</v>
      </c>
      <c r="O26" s="0" t="n">
        <v>-0.850199999999998</v>
      </c>
      <c r="P26" s="0" t="s">
        <v>322</v>
      </c>
      <c r="Q26" s="0" t="s">
        <v>331</v>
      </c>
      <c r="R26" s="0" t="s">
        <v>403</v>
      </c>
      <c r="S26" s="0" t="n">
        <v>42.1848</v>
      </c>
      <c r="T26" s="0" t="n">
        <v>19.6218</v>
      </c>
      <c r="U26" s="0" t="s">
        <v>337</v>
      </c>
      <c r="V26" s="0" t="s">
        <v>406</v>
      </c>
      <c r="W26" s="0" t="n">
        <v>69.75</v>
      </c>
      <c r="X26" s="0" t="n">
        <v>47.187</v>
      </c>
      <c r="Y26" s="0" t="n">
        <v>19</v>
      </c>
      <c r="AB26" s="58" t="n">
        <f aca="false">M26-AA26</f>
        <v>15.73524</v>
      </c>
      <c r="AC26" s="58" t="n">
        <f aca="false">O26-AA26</f>
        <v>-0.850199999999998</v>
      </c>
      <c r="AD26" s="58" t="n">
        <f aca="false">AB26/L26%</f>
        <v>41.0860655737705</v>
      </c>
      <c r="AE26" s="58" t="n">
        <f aca="false">AC26/N26%</f>
        <v>-3.9156626506024</v>
      </c>
      <c r="AF26" s="58" t="n">
        <f aca="false">T26-AA26</f>
        <v>19.6218</v>
      </c>
      <c r="AG26" s="58" t="n">
        <f aca="false">AF26/S26%</f>
        <v>46.5139102235876</v>
      </c>
      <c r="AH26" s="58" t="n">
        <f aca="false">W26</f>
        <v>69.75</v>
      </c>
      <c r="AI26" s="58" t="n">
        <f aca="false">J26</f>
        <v>22.563</v>
      </c>
      <c r="AJ26" s="58" t="n">
        <f aca="false">AH26-AI26</f>
        <v>47.187</v>
      </c>
      <c r="AK26" s="58" t="n">
        <f aca="false">AA26</f>
        <v>0</v>
      </c>
      <c r="AL26" s="58" t="n">
        <f aca="false">AJ26-AK26</f>
        <v>47.187</v>
      </c>
      <c r="AM26" s="58" t="n">
        <f aca="false">AL26/AH26%</f>
        <v>67.6516129032258</v>
      </c>
      <c r="AN26" s="0" t="str">
        <f aca="false">IF(ISBLANK(Z26),"","Capped")</f>
        <v/>
      </c>
      <c r="AO26" s="0" t="s">
        <v>327</v>
      </c>
      <c r="AP26" s="0" t="str">
        <f aca="false">TRIM(BA26)</f>
        <v>DDm100-33</v>
      </c>
      <c r="AQ26" s="59" t="e">
        <f aca="false">_xlfn.xlookup(A26,'SYS Allocations'!A:A,'SYS Allocations'!B:B)</f>
        <v>#NAME?</v>
      </c>
      <c r="AR26" s="59" t="e">
        <f aca="false">_xlfn.xlookup(A26,'SYS Allocations'!A:A,'SYS Allocations'!C:C)</f>
        <v>#NAME?</v>
      </c>
      <c r="AS26" s="59" t="e">
        <f aca="false">_xlfn.xlookup(A26,'SYS Allocations'!A:A,'SYS Allocations'!D:D)</f>
        <v>#NAME?</v>
      </c>
      <c r="AT26" s="59" t="e">
        <f aca="false">_xlfn.xlookup(A26,'SYS Allocations'!A:A,'SYS Allocations'!E:E)</f>
        <v>#NAME?</v>
      </c>
      <c r="AU26" s="59" t="e">
        <f aca="false">_xlfn.xlookup(A26,'SYS Allocations'!A:A,'SYS Allocations'!F:F)</f>
        <v>#NAME?</v>
      </c>
      <c r="BA26" s="0" t="str">
        <f aca="false">IFERROR(LEFT(R26,FIND("(",R26,1)-1),R26)</f>
        <v>DDm100-33</v>
      </c>
    </row>
    <row r="27" customFormat="false" ht="13.15" hidden="false" customHeight="false" outlineLevel="0" collapsed="false">
      <c r="A27" s="20" t="s">
        <v>43</v>
      </c>
      <c r="B27" s="0" t="s">
        <v>376</v>
      </c>
      <c r="C27" s="0" t="s">
        <v>407</v>
      </c>
      <c r="D27" s="0" t="s">
        <v>390</v>
      </c>
      <c r="E27" s="0" t="s">
        <v>408</v>
      </c>
      <c r="F27" s="0" t="s">
        <v>321</v>
      </c>
      <c r="G27" s="0" t="n">
        <v>36.6</v>
      </c>
      <c r="H27" s="0" t="n">
        <v>31</v>
      </c>
      <c r="I27" s="0" t="n">
        <v>405</v>
      </c>
      <c r="J27" s="0" t="n">
        <v>22.0725</v>
      </c>
      <c r="K27" s="45" t="n">
        <v>44964</v>
      </c>
      <c r="L27" s="0" t="n">
        <v>47.8728</v>
      </c>
      <c r="M27" s="0" t="n">
        <v>25.8003</v>
      </c>
      <c r="N27" s="0" t="n">
        <v>38.041</v>
      </c>
      <c r="O27" s="0" t="n">
        <v>15.9685</v>
      </c>
      <c r="P27" s="0" t="s">
        <v>325</v>
      </c>
      <c r="Q27" s="0" t="s">
        <v>331</v>
      </c>
      <c r="R27" s="0" t="s">
        <v>345</v>
      </c>
      <c r="S27" s="0" t="n">
        <v>35.5536</v>
      </c>
      <c r="T27" s="0" t="n">
        <v>13.4811</v>
      </c>
      <c r="U27" s="0" t="s">
        <v>325</v>
      </c>
      <c r="V27" s="0" t="s">
        <v>409</v>
      </c>
      <c r="W27" s="0" t="n">
        <v>9.45</v>
      </c>
      <c r="X27" s="0" t="n">
        <v>-12.6225</v>
      </c>
      <c r="Y27" s="0" t="n">
        <v>0</v>
      </c>
      <c r="Z27" s="0" t="s">
        <v>410</v>
      </c>
      <c r="AB27" s="58" t="n">
        <f aca="false">M27-AA27</f>
        <v>25.8003</v>
      </c>
      <c r="AC27" s="58" t="n">
        <f aca="false">O27-AA27</f>
        <v>15.9685</v>
      </c>
      <c r="AD27" s="58" t="n">
        <f aca="false">AB27/L27%</f>
        <v>53.8934426229508</v>
      </c>
      <c r="AE27" s="58" t="n">
        <f aca="false">AC27/N27%</f>
        <v>41.9770773638969</v>
      </c>
      <c r="AF27" s="58" t="n">
        <f aca="false">T27-AA27</f>
        <v>13.4811</v>
      </c>
      <c r="AG27" s="58" t="n">
        <f aca="false">AF27/S27%</f>
        <v>37.9176792223572</v>
      </c>
      <c r="AH27" s="58" t="n">
        <f aca="false">W27</f>
        <v>9.45</v>
      </c>
      <c r="AI27" s="58" t="n">
        <f aca="false">J27</f>
        <v>22.0725</v>
      </c>
      <c r="AJ27" s="58" t="n">
        <f aca="false">AH27-AI27</f>
        <v>-12.6225</v>
      </c>
      <c r="AK27" s="58" t="n">
        <f aca="false">AA27</f>
        <v>0</v>
      </c>
      <c r="AL27" s="58" t="n">
        <f aca="false">AJ27-AK27</f>
        <v>-12.6225</v>
      </c>
      <c r="AM27" s="58" t="n">
        <f aca="false">AL27/AH27%</f>
        <v>-133.571428571429</v>
      </c>
      <c r="AN27" s="0" t="str">
        <f aca="false">IF(ISBLANK(Z27),"","Capped")</f>
        <v>Capped</v>
      </c>
      <c r="AO27" s="0" t="s">
        <v>327</v>
      </c>
      <c r="AP27" s="0" t="str">
        <f aca="false">TRIM(BA27)</f>
        <v>DDm125-33</v>
      </c>
      <c r="AQ27" s="59" t="e">
        <f aca="false">_xlfn.xlookup(A27,'SYS Allocations'!A:A,'SYS Allocations'!B:B)</f>
        <v>#NAME?</v>
      </c>
      <c r="AR27" s="59" t="e">
        <f aca="false">_xlfn.xlookup(A27,'SYS Allocations'!A:A,'SYS Allocations'!C:C)</f>
        <v>#NAME?</v>
      </c>
      <c r="AS27" s="59" t="e">
        <f aca="false">_xlfn.xlookup(A27,'SYS Allocations'!A:A,'SYS Allocations'!D:D)</f>
        <v>#NAME?</v>
      </c>
      <c r="AT27" s="59" t="e">
        <f aca="false">_xlfn.xlookup(A27,'SYS Allocations'!A:A,'SYS Allocations'!E:E)</f>
        <v>#NAME?</v>
      </c>
      <c r="AU27" s="59" t="e">
        <f aca="false">_xlfn.xlookup(A27,'SYS Allocations'!A:A,'SYS Allocations'!F:F)</f>
        <v>#NAME?</v>
      </c>
      <c r="BA27" s="0" t="str">
        <f aca="false">IFERROR(LEFT(R27,FIND("(",R27,1)-1),R27)</f>
        <v>DDm125-33</v>
      </c>
    </row>
    <row r="28" customFormat="false" ht="13.15" hidden="false" customHeight="false" outlineLevel="0" collapsed="false">
      <c r="A28" s="20" t="s">
        <v>44</v>
      </c>
      <c r="B28" s="0" t="s">
        <v>376</v>
      </c>
      <c r="C28" s="0" t="s">
        <v>407</v>
      </c>
      <c r="D28" s="0" t="s">
        <v>390</v>
      </c>
      <c r="E28" s="0" t="s">
        <v>411</v>
      </c>
      <c r="F28" s="0" t="s">
        <v>321</v>
      </c>
      <c r="G28" s="0" t="n">
        <v>36.6</v>
      </c>
      <c r="H28" s="0" t="n">
        <v>59</v>
      </c>
      <c r="I28" s="0" t="n">
        <v>579</v>
      </c>
      <c r="J28" s="0" t="n">
        <v>31.5555</v>
      </c>
      <c r="K28" s="45" t="n">
        <v>45659</v>
      </c>
      <c r="L28" s="0" t="n">
        <v>92.55408</v>
      </c>
      <c r="M28" s="0" t="n">
        <v>60.99858</v>
      </c>
      <c r="N28" s="0" t="n">
        <v>84.6276</v>
      </c>
      <c r="O28" s="0" t="n">
        <v>53.0721</v>
      </c>
      <c r="P28" s="0" t="s">
        <v>322</v>
      </c>
      <c r="Q28" s="0" t="s">
        <v>331</v>
      </c>
      <c r="R28" s="0" t="s">
        <v>412</v>
      </c>
      <c r="S28" s="0" t="n">
        <v>48.06864</v>
      </c>
      <c r="T28" s="0" t="n">
        <v>16.51314</v>
      </c>
      <c r="U28" s="0" t="s">
        <v>358</v>
      </c>
      <c r="V28" s="0" t="s">
        <v>413</v>
      </c>
      <c r="W28" s="0" t="n">
        <v>82.5</v>
      </c>
      <c r="X28" s="0" t="n">
        <v>50.9445</v>
      </c>
      <c r="Y28" s="0" t="n">
        <v>5</v>
      </c>
      <c r="Z28" s="0" t="s">
        <v>8</v>
      </c>
      <c r="AB28" s="58" t="n">
        <f aca="false">M28-AA28</f>
        <v>60.99858</v>
      </c>
      <c r="AC28" s="58" t="n">
        <f aca="false">O28-AA28</f>
        <v>53.0721</v>
      </c>
      <c r="AD28" s="58" t="n">
        <f aca="false">AB28/L28%</f>
        <v>65.9058790276993</v>
      </c>
      <c r="AE28" s="58" t="n">
        <f aca="false">AC28/N28%</f>
        <v>62.7125193199382</v>
      </c>
      <c r="AF28" s="58" t="n">
        <f aca="false">T28-AA28</f>
        <v>16.51314</v>
      </c>
      <c r="AG28" s="58" t="n">
        <f aca="false">AF28/S28%</f>
        <v>34.3532498527106</v>
      </c>
      <c r="AH28" s="58" t="n">
        <f aca="false">W28</f>
        <v>82.5</v>
      </c>
      <c r="AI28" s="58" t="n">
        <f aca="false">J28</f>
        <v>31.5555</v>
      </c>
      <c r="AJ28" s="58" t="n">
        <f aca="false">AH28-AI28</f>
        <v>50.9445</v>
      </c>
      <c r="AK28" s="58" t="n">
        <f aca="false">AA28</f>
        <v>0</v>
      </c>
      <c r="AL28" s="58" t="n">
        <f aca="false">AJ28-AK28</f>
        <v>50.9445</v>
      </c>
      <c r="AM28" s="58" t="n">
        <f aca="false">AL28/AH28%</f>
        <v>61.7509090909091</v>
      </c>
      <c r="AN28" s="0" t="str">
        <f aca="false">IF(ISBLANK(Z28),"","Capped")</f>
        <v>Capped</v>
      </c>
      <c r="AO28" s="44" t="s">
        <v>393</v>
      </c>
      <c r="AP28" s="0" t="str">
        <f aca="false">TRIM(BA28)</f>
        <v>2CP2000</v>
      </c>
      <c r="AQ28" s="59" t="e">
        <f aca="false">_xlfn.xlookup(A28,'SYS Allocations'!A:A,'SYS Allocations'!B:B)</f>
        <v>#NAME?</v>
      </c>
      <c r="AR28" s="59" t="e">
        <f aca="false">_xlfn.xlookup(A28,'SYS Allocations'!A:A,'SYS Allocations'!C:C)</f>
        <v>#NAME?</v>
      </c>
      <c r="AS28" s="59" t="e">
        <f aca="false">_xlfn.xlookup(A28,'SYS Allocations'!A:A,'SYS Allocations'!D:D)</f>
        <v>#NAME?</v>
      </c>
      <c r="AT28" s="59" t="e">
        <f aca="false">_xlfn.xlookup(A28,'SYS Allocations'!A:A,'SYS Allocations'!E:E)</f>
        <v>#NAME?</v>
      </c>
      <c r="AU28" s="59" t="e">
        <f aca="false">_xlfn.xlookup(A28,'SYS Allocations'!A:A,'SYS Allocations'!F:F)</f>
        <v>#NAME?</v>
      </c>
      <c r="BA28" s="0" t="str">
        <f aca="false">IFERROR(LEFT(R28,FIND("(",R28,1)-1),R28)</f>
        <v>2CP2000</v>
      </c>
    </row>
    <row r="29" customFormat="false" ht="13.15" hidden="false" customHeight="false" outlineLevel="0" collapsed="false">
      <c r="A29" s="20" t="s">
        <v>45</v>
      </c>
      <c r="B29" s="0" t="s">
        <v>376</v>
      </c>
      <c r="C29" s="0" t="s">
        <v>407</v>
      </c>
      <c r="D29" s="0" t="s">
        <v>390</v>
      </c>
      <c r="E29" s="0" t="s">
        <v>411</v>
      </c>
      <c r="F29" s="0" t="s">
        <v>321</v>
      </c>
      <c r="G29" s="0" t="n">
        <v>36.6</v>
      </c>
      <c r="H29" s="0" t="n">
        <v>59</v>
      </c>
      <c r="I29" s="0" t="n">
        <v>642</v>
      </c>
      <c r="J29" s="0" t="n">
        <v>34.989</v>
      </c>
      <c r="K29" s="45" t="n">
        <v>45659</v>
      </c>
      <c r="L29" s="0" t="n">
        <v>92.55408</v>
      </c>
      <c r="M29" s="0" t="n">
        <v>57.56508</v>
      </c>
      <c r="N29" s="0" t="n">
        <v>82.9926</v>
      </c>
      <c r="O29" s="0" t="n">
        <v>48.0036</v>
      </c>
      <c r="P29" s="0" t="s">
        <v>322</v>
      </c>
      <c r="Q29" s="0" t="s">
        <v>331</v>
      </c>
      <c r="R29" s="0" t="s">
        <v>345</v>
      </c>
      <c r="S29" s="0" t="n">
        <v>53.3304</v>
      </c>
      <c r="T29" s="0" t="n">
        <v>18.3414</v>
      </c>
      <c r="U29" s="0" t="s">
        <v>358</v>
      </c>
      <c r="V29" s="0" t="s">
        <v>413</v>
      </c>
      <c r="W29" s="0" t="n">
        <v>82.5</v>
      </c>
      <c r="X29" s="0" t="n">
        <v>47.511</v>
      </c>
      <c r="Y29" s="0" t="n">
        <v>5</v>
      </c>
      <c r="Z29" s="0" t="s">
        <v>8</v>
      </c>
      <c r="AB29" s="58" t="n">
        <f aca="false">M29-AA29</f>
        <v>57.56508</v>
      </c>
      <c r="AC29" s="58" t="n">
        <f aca="false">O29-AA29</f>
        <v>48.0036</v>
      </c>
      <c r="AD29" s="58" t="n">
        <f aca="false">AB29/L29%</f>
        <v>62.1961560203505</v>
      </c>
      <c r="AE29" s="58" t="n">
        <f aca="false">AC29/N29%</f>
        <v>57.8408195429472</v>
      </c>
      <c r="AF29" s="58" t="n">
        <f aca="false">T29-AA29</f>
        <v>18.3414</v>
      </c>
      <c r="AG29" s="58" t="n">
        <f aca="false">AF29/S29%</f>
        <v>34.3920165609109</v>
      </c>
      <c r="AH29" s="58" t="n">
        <f aca="false">W29</f>
        <v>82.5</v>
      </c>
      <c r="AI29" s="58" t="n">
        <f aca="false">J29</f>
        <v>34.989</v>
      </c>
      <c r="AJ29" s="58" t="n">
        <f aca="false">AH29-AI29</f>
        <v>47.511</v>
      </c>
      <c r="AK29" s="58" t="n">
        <f aca="false">AA29</f>
        <v>0</v>
      </c>
      <c r="AL29" s="58" t="n">
        <f aca="false">AJ29-AK29</f>
        <v>47.511</v>
      </c>
      <c r="AM29" s="58" t="n">
        <f aca="false">AL29/AH29%</f>
        <v>57.5890909090909</v>
      </c>
      <c r="AN29" s="0" t="str">
        <f aca="false">IF(ISBLANK(Z29),"","Capped")</f>
        <v>Capped</v>
      </c>
      <c r="AO29" s="44" t="s">
        <v>393</v>
      </c>
      <c r="AP29" s="0" t="str">
        <f aca="false">TRIM(BA29)</f>
        <v>DDm125-33</v>
      </c>
      <c r="AQ29" s="59" t="e">
        <f aca="false">_xlfn.xlookup(A29,'SYS Allocations'!A:A,'SYS Allocations'!B:B)</f>
        <v>#NAME?</v>
      </c>
      <c r="AR29" s="59" t="e">
        <f aca="false">_xlfn.xlookup(A29,'SYS Allocations'!A:A,'SYS Allocations'!C:C)</f>
        <v>#NAME?</v>
      </c>
      <c r="AS29" s="59" t="e">
        <f aca="false">_xlfn.xlookup(A29,'SYS Allocations'!A:A,'SYS Allocations'!D:D)</f>
        <v>#NAME?</v>
      </c>
      <c r="AT29" s="59" t="e">
        <f aca="false">_xlfn.xlookup(A29,'SYS Allocations'!A:A,'SYS Allocations'!E:E)</f>
        <v>#NAME?</v>
      </c>
      <c r="AU29" s="59" t="e">
        <f aca="false">_xlfn.xlookup(A29,'SYS Allocations'!A:A,'SYS Allocations'!F:F)</f>
        <v>#NAME?</v>
      </c>
      <c r="BA29" s="0" t="str">
        <f aca="false">IFERROR(LEFT(R29,FIND("(",R29,1)-1),R29)</f>
        <v>DDm125-33</v>
      </c>
    </row>
    <row r="30" customFormat="false" ht="13.15" hidden="false" customHeight="false" outlineLevel="0" collapsed="false">
      <c r="A30" s="20" t="s">
        <v>46</v>
      </c>
      <c r="B30" s="0" t="s">
        <v>376</v>
      </c>
      <c r="C30" s="0" t="s">
        <v>407</v>
      </c>
      <c r="D30" s="0" t="s">
        <v>319</v>
      </c>
      <c r="E30" s="0" t="s">
        <v>414</v>
      </c>
      <c r="F30" s="0" t="s">
        <v>321</v>
      </c>
      <c r="G30" s="0" t="n">
        <v>36.6</v>
      </c>
      <c r="H30" s="0" t="n">
        <v>25</v>
      </c>
      <c r="I30" s="0" t="n">
        <v>133</v>
      </c>
      <c r="J30" s="0" t="n">
        <v>7.2485</v>
      </c>
      <c r="K30" s="45" t="n">
        <v>45441</v>
      </c>
      <c r="L30" s="0" t="n">
        <v>38.29824</v>
      </c>
      <c r="M30" s="0" t="n">
        <v>31.04974</v>
      </c>
      <c r="N30" s="0" t="n">
        <v>26.0728</v>
      </c>
      <c r="O30" s="0" t="n">
        <v>18.8243</v>
      </c>
      <c r="P30" s="0" t="s">
        <v>325</v>
      </c>
      <c r="Q30" s="0" t="s">
        <v>331</v>
      </c>
      <c r="R30" s="0" t="s">
        <v>345</v>
      </c>
      <c r="S30" s="0" t="n">
        <v>35.5536</v>
      </c>
      <c r="T30" s="0" t="n">
        <v>28.3051</v>
      </c>
      <c r="U30" s="0" t="s">
        <v>325</v>
      </c>
      <c r="V30" s="0" t="s">
        <v>341</v>
      </c>
      <c r="W30" s="0" t="n">
        <v>45</v>
      </c>
      <c r="X30" s="0" t="n">
        <v>37.7515</v>
      </c>
      <c r="Y30" s="0" t="n">
        <v>23</v>
      </c>
      <c r="AB30" s="58" t="n">
        <f aca="false">M30-AA30</f>
        <v>31.04974</v>
      </c>
      <c r="AC30" s="58" t="n">
        <f aca="false">O30-AA30</f>
        <v>18.8243</v>
      </c>
      <c r="AD30" s="58" t="n">
        <f aca="false">AB30/L30%</f>
        <v>81.0735428051002</v>
      </c>
      <c r="AE30" s="58" t="n">
        <f aca="false">AC30/N30%</f>
        <v>72.1989966555184</v>
      </c>
      <c r="AF30" s="58" t="n">
        <f aca="false">T30-AA30</f>
        <v>28.3051</v>
      </c>
      <c r="AG30" s="58" t="n">
        <f aca="false">AF30/S30%</f>
        <v>79.612472435984</v>
      </c>
      <c r="AH30" s="58" t="n">
        <f aca="false">W30</f>
        <v>45</v>
      </c>
      <c r="AI30" s="58" t="n">
        <f aca="false">J30</f>
        <v>7.2485</v>
      </c>
      <c r="AJ30" s="58" t="n">
        <f aca="false">AH30-AI30</f>
        <v>37.7515</v>
      </c>
      <c r="AK30" s="58" t="n">
        <f aca="false">AA30</f>
        <v>0</v>
      </c>
      <c r="AL30" s="58" t="n">
        <f aca="false">AJ30-AK30</f>
        <v>37.7515</v>
      </c>
      <c r="AM30" s="58" t="n">
        <f aca="false">AL30/AH30%</f>
        <v>83.8922222222222</v>
      </c>
      <c r="AN30" s="0" t="str">
        <f aca="false">IF(ISBLANK(Z30),"","Capped")</f>
        <v/>
      </c>
      <c r="AO30" s="44" t="s">
        <v>393</v>
      </c>
      <c r="AP30" s="0" t="str">
        <f aca="false">TRIM(BA30)</f>
        <v>DDm125-33</v>
      </c>
      <c r="AQ30" s="59" t="e">
        <f aca="false">_xlfn.xlookup(A30,'SYS Allocations'!A:A,'SYS Allocations'!B:B)</f>
        <v>#NAME?</v>
      </c>
      <c r="AR30" s="59" t="e">
        <f aca="false">_xlfn.xlookup(A30,'SYS Allocations'!A:A,'SYS Allocations'!C:C)</f>
        <v>#NAME?</v>
      </c>
      <c r="AS30" s="59" t="e">
        <f aca="false">_xlfn.xlookup(A30,'SYS Allocations'!A:A,'SYS Allocations'!D:D)</f>
        <v>#NAME?</v>
      </c>
      <c r="AT30" s="59" t="e">
        <f aca="false">_xlfn.xlookup(A30,'SYS Allocations'!A:A,'SYS Allocations'!E:E)</f>
        <v>#NAME?</v>
      </c>
      <c r="AU30" s="59" t="e">
        <f aca="false">_xlfn.xlookup(A30,'SYS Allocations'!A:A,'SYS Allocations'!F:F)</f>
        <v>#NAME?</v>
      </c>
      <c r="BA30" s="0" t="str">
        <f aca="false">IFERROR(LEFT(R30,FIND("(",R30,1)-1),R30)</f>
        <v>DDm125-33</v>
      </c>
    </row>
    <row r="31" customFormat="false" ht="13.15" hidden="false" customHeight="false" outlineLevel="0" collapsed="false">
      <c r="A31" s="20" t="s">
        <v>47</v>
      </c>
      <c r="B31" s="0" t="s">
        <v>376</v>
      </c>
      <c r="C31" s="0" t="s">
        <v>407</v>
      </c>
      <c r="D31" s="0" t="s">
        <v>319</v>
      </c>
      <c r="E31" s="0" t="s">
        <v>414</v>
      </c>
      <c r="F31" s="0" t="s">
        <v>321</v>
      </c>
      <c r="G31" s="0" t="n">
        <v>36.6</v>
      </c>
      <c r="H31" s="0" t="n">
        <v>25</v>
      </c>
      <c r="I31" s="0" t="n">
        <v>154</v>
      </c>
      <c r="J31" s="0" t="n">
        <v>8.393</v>
      </c>
      <c r="K31" s="45" t="n">
        <v>45441</v>
      </c>
      <c r="L31" s="0" t="n">
        <v>38.29824</v>
      </c>
      <c r="M31" s="0" t="n">
        <v>29.90524</v>
      </c>
      <c r="N31" s="0" t="n">
        <v>26.0728</v>
      </c>
      <c r="O31" s="0" t="n">
        <v>17.6798</v>
      </c>
      <c r="P31" s="0" t="s">
        <v>325</v>
      </c>
      <c r="Q31" s="0" t="s">
        <v>331</v>
      </c>
      <c r="R31" s="0" t="s">
        <v>345</v>
      </c>
      <c r="S31" s="0" t="n">
        <v>35.5536</v>
      </c>
      <c r="T31" s="0" t="n">
        <v>27.1606</v>
      </c>
      <c r="U31" s="0" t="s">
        <v>325</v>
      </c>
      <c r="V31" s="0" t="s">
        <v>341</v>
      </c>
      <c r="W31" s="0" t="n">
        <v>45</v>
      </c>
      <c r="X31" s="0" t="n">
        <v>36.607</v>
      </c>
      <c r="Y31" s="0" t="n">
        <v>23</v>
      </c>
      <c r="AB31" s="58" t="n">
        <f aca="false">M31-AA31</f>
        <v>29.90524</v>
      </c>
      <c r="AC31" s="58" t="n">
        <f aca="false">O31-AA31</f>
        <v>17.6798</v>
      </c>
      <c r="AD31" s="58" t="n">
        <f aca="false">AB31/L31%</f>
        <v>78.0851548269581</v>
      </c>
      <c r="AE31" s="58" t="n">
        <f aca="false">AC31/N31%</f>
        <v>67.809364548495</v>
      </c>
      <c r="AF31" s="58" t="n">
        <f aca="false">T31-AA31</f>
        <v>27.1606</v>
      </c>
      <c r="AG31" s="58" t="n">
        <f aca="false">AF31/S31%</f>
        <v>76.3933891364025</v>
      </c>
      <c r="AH31" s="58" t="n">
        <f aca="false">W31</f>
        <v>45</v>
      </c>
      <c r="AI31" s="58" t="n">
        <f aca="false">J31</f>
        <v>8.393</v>
      </c>
      <c r="AJ31" s="58" t="n">
        <f aca="false">AH31-AI31</f>
        <v>36.607</v>
      </c>
      <c r="AK31" s="58" t="n">
        <f aca="false">AA31</f>
        <v>0</v>
      </c>
      <c r="AL31" s="58" t="n">
        <f aca="false">AJ31-AK31</f>
        <v>36.607</v>
      </c>
      <c r="AM31" s="58" t="n">
        <f aca="false">AL31/AH31%</f>
        <v>81.3488888888889</v>
      </c>
      <c r="AN31" s="0" t="str">
        <f aca="false">IF(ISBLANK(Z31),"","Capped")</f>
        <v/>
      </c>
      <c r="AO31" s="44" t="s">
        <v>393</v>
      </c>
      <c r="AP31" s="0" t="str">
        <f aca="false">TRIM(BA31)</f>
        <v>DDm125-33</v>
      </c>
      <c r="AQ31" s="59" t="e">
        <f aca="false">_xlfn.xlookup(A31,'SYS Allocations'!A:A,'SYS Allocations'!B:B)</f>
        <v>#NAME?</v>
      </c>
      <c r="AR31" s="59" t="e">
        <f aca="false">_xlfn.xlookup(A31,'SYS Allocations'!A:A,'SYS Allocations'!C:C)</f>
        <v>#NAME?</v>
      </c>
      <c r="AS31" s="59" t="e">
        <f aca="false">_xlfn.xlookup(A31,'SYS Allocations'!A:A,'SYS Allocations'!D:D)</f>
        <v>#NAME?</v>
      </c>
      <c r="AT31" s="59" t="e">
        <f aca="false">_xlfn.xlookup(A31,'SYS Allocations'!A:A,'SYS Allocations'!E:E)</f>
        <v>#NAME?</v>
      </c>
      <c r="AU31" s="59" t="e">
        <f aca="false">_xlfn.xlookup(A31,'SYS Allocations'!A:A,'SYS Allocations'!F:F)</f>
        <v>#NAME?</v>
      </c>
      <c r="BA31" s="0" t="str">
        <f aca="false">IFERROR(LEFT(R31,FIND("(",R31,1)-1),R31)</f>
        <v>DDm125-33</v>
      </c>
    </row>
    <row r="32" customFormat="false" ht="13.15" hidden="false" customHeight="false" outlineLevel="0" collapsed="false">
      <c r="A32" s="20" t="s">
        <v>48</v>
      </c>
      <c r="B32" s="0" t="s">
        <v>376</v>
      </c>
      <c r="C32" s="0" t="s">
        <v>407</v>
      </c>
      <c r="D32" s="0" t="s">
        <v>319</v>
      </c>
      <c r="E32" s="0" t="s">
        <v>415</v>
      </c>
      <c r="F32" s="0" t="s">
        <v>321</v>
      </c>
      <c r="G32" s="0" t="n">
        <v>36.6</v>
      </c>
      <c r="H32" s="0" t="n">
        <v>26</v>
      </c>
      <c r="I32" s="0" t="n">
        <v>93</v>
      </c>
      <c r="J32" s="0" t="n">
        <v>5.0685</v>
      </c>
      <c r="K32" s="45" t="n">
        <v>45659</v>
      </c>
      <c r="L32" s="0" t="n">
        <v>39.894</v>
      </c>
      <c r="M32" s="0" t="n">
        <v>34.8255</v>
      </c>
      <c r="N32" s="0" t="n">
        <v>28.0675</v>
      </c>
      <c r="O32" s="0" t="n">
        <v>22.999</v>
      </c>
      <c r="P32" s="0" t="s">
        <v>325</v>
      </c>
      <c r="Q32" s="0" t="s">
        <v>331</v>
      </c>
      <c r="R32" s="0" t="s">
        <v>345</v>
      </c>
      <c r="S32" s="0" t="n">
        <v>35.5536</v>
      </c>
      <c r="T32" s="0" t="n">
        <v>30.4851</v>
      </c>
      <c r="U32" s="0" t="s">
        <v>344</v>
      </c>
      <c r="V32" s="0" t="s">
        <v>416</v>
      </c>
      <c r="W32" s="0" t="n">
        <v>90</v>
      </c>
      <c r="X32" s="0" t="n">
        <v>84.9315</v>
      </c>
      <c r="Y32" s="0" t="n">
        <v>12</v>
      </c>
      <c r="AB32" s="58" t="n">
        <f aca="false">M32-AA32</f>
        <v>34.8255</v>
      </c>
      <c r="AC32" s="58" t="n">
        <f aca="false">O32-AA32</f>
        <v>22.999</v>
      </c>
      <c r="AD32" s="58" t="n">
        <f aca="false">AB32/L32%</f>
        <v>87.2950819672131</v>
      </c>
      <c r="AE32" s="58" t="n">
        <f aca="false">AC32/N32%</f>
        <v>81.9417475728155</v>
      </c>
      <c r="AF32" s="58" t="n">
        <f aca="false">T32-AA32</f>
        <v>30.4851</v>
      </c>
      <c r="AG32" s="58" t="n">
        <f aca="false">AF32/S32%</f>
        <v>85.744059673282</v>
      </c>
      <c r="AH32" s="58" t="n">
        <f aca="false">W32</f>
        <v>90</v>
      </c>
      <c r="AI32" s="58" t="n">
        <f aca="false">J32</f>
        <v>5.0685</v>
      </c>
      <c r="AJ32" s="58" t="n">
        <f aca="false">AH32-AI32</f>
        <v>84.9315</v>
      </c>
      <c r="AK32" s="58" t="n">
        <f aca="false">AA32</f>
        <v>0</v>
      </c>
      <c r="AL32" s="58" t="n">
        <f aca="false">AJ32-AK32</f>
        <v>84.9315</v>
      </c>
      <c r="AM32" s="58" t="n">
        <f aca="false">AL32/AH32%</f>
        <v>94.3683333333333</v>
      </c>
      <c r="AN32" s="0" t="str">
        <f aca="false">IF(ISBLANK(Z32),"","Capped")</f>
        <v/>
      </c>
      <c r="AO32" s="44" t="s">
        <v>393</v>
      </c>
      <c r="AP32" s="0" t="str">
        <f aca="false">TRIM(BA32)</f>
        <v>DDm125-33</v>
      </c>
      <c r="AQ32" s="59" t="e">
        <f aca="false">_xlfn.xlookup(A32,'SYS Allocations'!A:A,'SYS Allocations'!B:B)</f>
        <v>#NAME?</v>
      </c>
      <c r="AR32" s="59" t="e">
        <f aca="false">_xlfn.xlookup(A32,'SYS Allocations'!A:A,'SYS Allocations'!C:C)</f>
        <v>#NAME?</v>
      </c>
      <c r="AS32" s="59" t="e">
        <f aca="false">_xlfn.xlookup(A32,'SYS Allocations'!A:A,'SYS Allocations'!D:D)</f>
        <v>#NAME?</v>
      </c>
      <c r="AT32" s="59" t="e">
        <f aca="false">_xlfn.xlookup(A32,'SYS Allocations'!A:A,'SYS Allocations'!E:E)</f>
        <v>#NAME?</v>
      </c>
      <c r="AU32" s="59" t="e">
        <f aca="false">_xlfn.xlookup(A32,'SYS Allocations'!A:A,'SYS Allocations'!F:F)</f>
        <v>#NAME?</v>
      </c>
      <c r="BA32" s="0" t="str">
        <f aca="false">IFERROR(LEFT(R32,FIND("(",R32,1)-1),R32)</f>
        <v>DDm125-33</v>
      </c>
    </row>
    <row r="33" customFormat="false" ht="13.15" hidden="false" customHeight="false" outlineLevel="0" collapsed="false">
      <c r="A33" s="20" t="s">
        <v>49</v>
      </c>
      <c r="B33" s="0" t="s">
        <v>376</v>
      </c>
      <c r="C33" s="0" t="s">
        <v>407</v>
      </c>
      <c r="D33" s="0" t="s">
        <v>319</v>
      </c>
      <c r="E33" s="0" t="s">
        <v>415</v>
      </c>
      <c r="F33" s="0" t="s">
        <v>321</v>
      </c>
      <c r="G33" s="0" t="n">
        <v>36.6</v>
      </c>
      <c r="H33" s="0" t="n">
        <v>25</v>
      </c>
      <c r="I33" s="0" t="n">
        <v>127</v>
      </c>
      <c r="J33" s="0" t="n">
        <v>6.9215</v>
      </c>
      <c r="K33" s="45" t="n">
        <v>45659</v>
      </c>
      <c r="L33" s="0" t="n">
        <v>38.29824</v>
      </c>
      <c r="M33" s="0" t="n">
        <v>31.37674</v>
      </c>
      <c r="N33" s="0" t="n">
        <v>26.0728</v>
      </c>
      <c r="O33" s="0" t="n">
        <v>19.1513</v>
      </c>
      <c r="P33" s="0" t="s">
        <v>325</v>
      </c>
      <c r="Q33" s="0" t="s">
        <v>331</v>
      </c>
      <c r="R33" s="0" t="s">
        <v>345</v>
      </c>
      <c r="S33" s="0" t="n">
        <v>35.5536</v>
      </c>
      <c r="T33" s="0" t="n">
        <v>28.6321</v>
      </c>
      <c r="U33" s="0" t="s">
        <v>344</v>
      </c>
      <c r="V33" s="0" t="s">
        <v>416</v>
      </c>
      <c r="W33" s="0" t="n">
        <v>90</v>
      </c>
      <c r="X33" s="0" t="n">
        <v>83.0785</v>
      </c>
      <c r="Y33" s="0" t="n">
        <v>12</v>
      </c>
      <c r="AB33" s="58" t="n">
        <f aca="false">M33-AA33</f>
        <v>31.37674</v>
      </c>
      <c r="AC33" s="58" t="n">
        <f aca="false">O33-AA33</f>
        <v>19.1513</v>
      </c>
      <c r="AD33" s="58" t="n">
        <f aca="false">AB33/L33%</f>
        <v>81.9273679417122</v>
      </c>
      <c r="AE33" s="58" t="n">
        <f aca="false">AC33/N33%</f>
        <v>73.4531772575251</v>
      </c>
      <c r="AF33" s="58" t="n">
        <f aca="false">T33-AA33</f>
        <v>28.6321</v>
      </c>
      <c r="AG33" s="58" t="n">
        <f aca="false">AF33/S33%</f>
        <v>80.5322105215787</v>
      </c>
      <c r="AH33" s="58" t="n">
        <f aca="false">W33</f>
        <v>90</v>
      </c>
      <c r="AI33" s="58" t="n">
        <f aca="false">J33</f>
        <v>6.9215</v>
      </c>
      <c r="AJ33" s="58" t="n">
        <f aca="false">AH33-AI33</f>
        <v>83.0785</v>
      </c>
      <c r="AK33" s="58" t="n">
        <f aca="false">AA33</f>
        <v>0</v>
      </c>
      <c r="AL33" s="58" t="n">
        <f aca="false">AJ33-AK33</f>
        <v>83.0785</v>
      </c>
      <c r="AM33" s="58" t="n">
        <f aca="false">AL33/AH33%</f>
        <v>92.3094444444445</v>
      </c>
      <c r="AN33" s="0" t="str">
        <f aca="false">IF(ISBLANK(Z33),"","Capped")</f>
        <v/>
      </c>
      <c r="AO33" s="44" t="s">
        <v>393</v>
      </c>
      <c r="AP33" s="0" t="str">
        <f aca="false">TRIM(BA33)</f>
        <v>DDm125-33</v>
      </c>
      <c r="AQ33" s="59" t="e">
        <f aca="false">_xlfn.xlookup(A33,'SYS Allocations'!A:A,'SYS Allocations'!B:B)</f>
        <v>#NAME?</v>
      </c>
      <c r="AR33" s="59" t="e">
        <f aca="false">_xlfn.xlookup(A33,'SYS Allocations'!A:A,'SYS Allocations'!C:C)</f>
        <v>#NAME?</v>
      </c>
      <c r="AS33" s="59" t="e">
        <f aca="false">_xlfn.xlookup(A33,'SYS Allocations'!A:A,'SYS Allocations'!D:D)</f>
        <v>#NAME?</v>
      </c>
      <c r="AT33" s="59" t="e">
        <f aca="false">_xlfn.xlookup(A33,'SYS Allocations'!A:A,'SYS Allocations'!E:E)</f>
        <v>#NAME?</v>
      </c>
      <c r="AU33" s="59" t="e">
        <f aca="false">_xlfn.xlookup(A33,'SYS Allocations'!A:A,'SYS Allocations'!F:F)</f>
        <v>#NAME?</v>
      </c>
      <c r="BA33" s="0" t="str">
        <f aca="false">IFERROR(LEFT(R33,FIND("(",R33,1)-1),R33)</f>
        <v>DDm125-33</v>
      </c>
    </row>
    <row r="34" customFormat="false" ht="13.15" hidden="false" customHeight="false" outlineLevel="0" collapsed="false">
      <c r="A34" s="20" t="s">
        <v>50</v>
      </c>
      <c r="B34" s="0" t="s">
        <v>342</v>
      </c>
      <c r="C34" s="0" t="s">
        <v>417</v>
      </c>
      <c r="D34" s="0" t="s">
        <v>390</v>
      </c>
      <c r="E34" s="0" t="s">
        <v>418</v>
      </c>
      <c r="F34" s="0" t="s">
        <v>383</v>
      </c>
      <c r="G34" s="0" t="n">
        <v>55</v>
      </c>
      <c r="H34" s="0" t="n">
        <v>9</v>
      </c>
      <c r="I34" s="0" t="n">
        <v>140</v>
      </c>
      <c r="J34" s="0" t="n">
        <v>7.63</v>
      </c>
      <c r="K34" s="45" t="n">
        <v>45526</v>
      </c>
      <c r="L34" s="0" t="n">
        <v>19.184</v>
      </c>
      <c r="M34" s="0" t="n">
        <v>11.554</v>
      </c>
      <c r="N34" s="0" t="n">
        <v>14.25175</v>
      </c>
      <c r="O34" s="0" t="n">
        <v>6.62175</v>
      </c>
      <c r="P34" s="0" t="s">
        <v>322</v>
      </c>
      <c r="Q34" s="0" t="s">
        <v>331</v>
      </c>
      <c r="R34" s="0" t="s">
        <v>365</v>
      </c>
      <c r="S34" s="0" t="n">
        <v>15.1632</v>
      </c>
      <c r="T34" s="0" t="n">
        <v>7.53319999999999</v>
      </c>
      <c r="U34" s="0" t="s">
        <v>322</v>
      </c>
      <c r="V34" s="0" t="s">
        <v>370</v>
      </c>
      <c r="W34" s="0" t="n">
        <v>15</v>
      </c>
      <c r="X34" s="0" t="n">
        <v>7.37</v>
      </c>
      <c r="Y34" s="0" t="n">
        <v>0</v>
      </c>
      <c r="Z34" s="0" t="s">
        <v>8</v>
      </c>
      <c r="AB34" s="58" t="n">
        <f aca="false">M34-AA34</f>
        <v>11.554</v>
      </c>
      <c r="AC34" s="58" t="n">
        <f aca="false">O34-AA34</f>
        <v>6.62175</v>
      </c>
      <c r="AD34" s="58" t="n">
        <f aca="false">AB34/L34%</f>
        <v>60.2272727272727</v>
      </c>
      <c r="AE34" s="58" t="n">
        <f aca="false">AC34/N34%</f>
        <v>46.4627151051625</v>
      </c>
      <c r="AF34" s="58" t="n">
        <f aca="false">T34-AA34</f>
        <v>7.53319999999999</v>
      </c>
      <c r="AG34" s="58" t="n">
        <f aca="false">AF34/S34%</f>
        <v>49.6808061622876</v>
      </c>
      <c r="AH34" s="58" t="n">
        <f aca="false">W34</f>
        <v>15</v>
      </c>
      <c r="AI34" s="58" t="n">
        <f aca="false">J34</f>
        <v>7.63</v>
      </c>
      <c r="AJ34" s="58" t="n">
        <f aca="false">AH34-AI34</f>
        <v>7.37</v>
      </c>
      <c r="AK34" s="58" t="n">
        <f aca="false">AA34</f>
        <v>0</v>
      </c>
      <c r="AL34" s="58" t="n">
        <f aca="false">AJ34-AK34</f>
        <v>7.37</v>
      </c>
      <c r="AM34" s="58" t="n">
        <f aca="false">AL34/AH34%</f>
        <v>49.1333333333333</v>
      </c>
      <c r="AN34" s="0" t="str">
        <f aca="false">IF(ISBLANK(Z34),"","Capped")</f>
        <v>Capped</v>
      </c>
      <c r="AO34" s="0" t="s">
        <v>327</v>
      </c>
      <c r="AP34" s="0" t="str">
        <f aca="false">TRIM(BA34)</f>
        <v>2DDm85-15</v>
      </c>
      <c r="AQ34" s="59" t="e">
        <f aca="false">_xlfn.xlookup(A34,'SYS Allocations'!A:A,'SYS Allocations'!B:B)</f>
        <v>#NAME?</v>
      </c>
      <c r="AR34" s="59" t="e">
        <f aca="false">_xlfn.xlookup(A34,'SYS Allocations'!A:A,'SYS Allocations'!C:C)</f>
        <v>#NAME?</v>
      </c>
      <c r="AS34" s="59" t="e">
        <f aca="false">_xlfn.xlookup(A34,'SYS Allocations'!A:A,'SYS Allocations'!D:D)</f>
        <v>#NAME?</v>
      </c>
      <c r="AT34" s="59" t="e">
        <f aca="false">_xlfn.xlookup(A34,'SYS Allocations'!A:A,'SYS Allocations'!E:E)</f>
        <v>#NAME?</v>
      </c>
      <c r="AU34" s="59" t="e">
        <f aca="false">_xlfn.xlookup(A34,'SYS Allocations'!A:A,'SYS Allocations'!F:F)</f>
        <v>#NAME?</v>
      </c>
      <c r="BA34" s="0" t="str">
        <f aca="false">IFERROR(LEFT(R34,FIND("(",R34,1)-1),R34)</f>
        <v>2DDm85-15</v>
      </c>
    </row>
    <row r="35" customFormat="false" ht="13.15" hidden="false" customHeight="false" outlineLevel="0" collapsed="false">
      <c r="A35" s="20" t="s">
        <v>51</v>
      </c>
      <c r="B35" s="0" t="s">
        <v>419</v>
      </c>
      <c r="C35" s="0" t="s">
        <v>420</v>
      </c>
      <c r="D35" s="0" t="s">
        <v>390</v>
      </c>
      <c r="E35" s="0" t="s">
        <v>421</v>
      </c>
      <c r="F35" s="0" t="s">
        <v>369</v>
      </c>
      <c r="G35" s="0" t="n">
        <v>23</v>
      </c>
      <c r="H35" s="0" t="n">
        <v>6</v>
      </c>
      <c r="I35" s="0" t="n">
        <v>35</v>
      </c>
      <c r="J35" s="0" t="n">
        <v>1.9075</v>
      </c>
      <c r="K35" s="45" t="n">
        <v>45568</v>
      </c>
      <c r="L35" s="0" t="n">
        <v>5.014</v>
      </c>
      <c r="M35" s="0" t="n">
        <v>3.1065</v>
      </c>
      <c r="N35" s="0" t="n">
        <v>5.995</v>
      </c>
      <c r="O35" s="0" t="n">
        <v>4.0875</v>
      </c>
      <c r="P35" s="0" t="s">
        <v>344</v>
      </c>
      <c r="Q35" s="0" t="s">
        <v>352</v>
      </c>
      <c r="R35" s="0" t="s">
        <v>353</v>
      </c>
      <c r="S35" s="0" t="n">
        <v>4.32</v>
      </c>
      <c r="T35" s="0" t="n">
        <v>2.4125</v>
      </c>
      <c r="U35" s="0" t="s">
        <v>422</v>
      </c>
      <c r="V35" s="0" t="s">
        <v>344</v>
      </c>
      <c r="W35" s="0" t="n">
        <v>3.75</v>
      </c>
      <c r="X35" s="0" t="n">
        <v>1.8425</v>
      </c>
      <c r="Y35" s="0" t="n">
        <v>0</v>
      </c>
      <c r="Z35" s="0" t="s">
        <v>423</v>
      </c>
      <c r="AB35" s="58" t="n">
        <f aca="false">M35-AA35</f>
        <v>3.1065</v>
      </c>
      <c r="AC35" s="58" t="n">
        <f aca="false">O35-AA35</f>
        <v>4.0875</v>
      </c>
      <c r="AD35" s="58" t="n">
        <f aca="false">AB35/L35%</f>
        <v>61.9565217391304</v>
      </c>
      <c r="AE35" s="58" t="n">
        <f aca="false">AC35/N35%</f>
        <v>68.1818181818182</v>
      </c>
      <c r="AF35" s="58" t="n">
        <f aca="false">T35-AA35</f>
        <v>2.4125</v>
      </c>
      <c r="AG35" s="58" t="n">
        <f aca="false">AF35/S35%</f>
        <v>55.8449074074074</v>
      </c>
      <c r="AH35" s="58" t="n">
        <f aca="false">W35</f>
        <v>3.75</v>
      </c>
      <c r="AI35" s="58" t="n">
        <f aca="false">J35</f>
        <v>1.9075</v>
      </c>
      <c r="AJ35" s="58" t="n">
        <f aca="false">AH35-AI35</f>
        <v>1.8425</v>
      </c>
      <c r="AK35" s="58" t="n">
        <f aca="false">AA35</f>
        <v>0</v>
      </c>
      <c r="AL35" s="58" t="n">
        <f aca="false">AJ35-AK35</f>
        <v>1.8425</v>
      </c>
      <c r="AM35" s="58" t="n">
        <f aca="false">AL35/AH35%</f>
        <v>49.1333333333333</v>
      </c>
      <c r="AN35" s="0" t="str">
        <f aca="false">IF(ISBLANK(Z35),"","Capped")</f>
        <v>Capped</v>
      </c>
      <c r="AO35" s="0" t="s">
        <v>327</v>
      </c>
      <c r="AP35" s="0" t="str">
        <f aca="false">TRIM(BA35)</f>
        <v>SBS C11F</v>
      </c>
      <c r="AQ35" s="59" t="e">
        <f aca="false">_xlfn.xlookup(A35,'SYS Allocations'!A:A,'SYS Allocations'!B:B)</f>
        <v>#NAME?</v>
      </c>
      <c r="AR35" s="59" t="e">
        <f aca="false">_xlfn.xlookup(A35,'SYS Allocations'!A:A,'SYS Allocations'!C:C)</f>
        <v>#NAME?</v>
      </c>
      <c r="AS35" s="59" t="e">
        <f aca="false">_xlfn.xlookup(A35,'SYS Allocations'!A:A,'SYS Allocations'!D:D)</f>
        <v>#NAME?</v>
      </c>
      <c r="AT35" s="59" t="e">
        <f aca="false">_xlfn.xlookup(A35,'SYS Allocations'!A:A,'SYS Allocations'!E:E)</f>
        <v>#NAME?</v>
      </c>
      <c r="AU35" s="59" t="e">
        <f aca="false">_xlfn.xlookup(A35,'SYS Allocations'!A:A,'SYS Allocations'!F:F)</f>
        <v>#NAME?</v>
      </c>
      <c r="BA35" s="0" t="str">
        <f aca="false">IFERROR(LEFT(R35,FIND("(",R35,1)-1),R35)</f>
        <v>SBS C11F</v>
      </c>
    </row>
    <row r="36" customFormat="false" ht="13.15" hidden="false" customHeight="false" outlineLevel="0" collapsed="false">
      <c r="A36" s="20" t="s">
        <v>52</v>
      </c>
      <c r="B36" s="0" t="s">
        <v>419</v>
      </c>
      <c r="C36" s="0" t="s">
        <v>424</v>
      </c>
      <c r="D36" s="0" t="s">
        <v>319</v>
      </c>
      <c r="E36" s="0" t="s">
        <v>425</v>
      </c>
      <c r="F36" s="0" t="s">
        <v>321</v>
      </c>
      <c r="G36" s="0" t="n">
        <v>36.6</v>
      </c>
      <c r="H36" s="0" t="n">
        <v>9</v>
      </c>
      <c r="I36" s="0" t="n">
        <v>62</v>
      </c>
      <c r="J36" s="0" t="n">
        <v>3.379</v>
      </c>
      <c r="K36" s="45" t="n">
        <v>45659</v>
      </c>
      <c r="L36" s="0" t="n">
        <v>12.76608</v>
      </c>
      <c r="M36" s="0" t="n">
        <v>9.38708</v>
      </c>
      <c r="N36" s="0" t="n">
        <v>9.4721</v>
      </c>
      <c r="O36" s="0" t="n">
        <v>6.0931</v>
      </c>
      <c r="P36" s="0" t="s">
        <v>325</v>
      </c>
      <c r="Q36" s="0" t="s">
        <v>331</v>
      </c>
      <c r="R36" s="0" t="s">
        <v>365</v>
      </c>
      <c r="S36" s="0" t="n">
        <v>10.1088</v>
      </c>
      <c r="T36" s="0" t="n">
        <v>6.72979999999998</v>
      </c>
      <c r="U36" s="0" t="s">
        <v>322</v>
      </c>
      <c r="V36" s="0" t="s">
        <v>333</v>
      </c>
      <c r="W36" s="0" t="n">
        <v>22.5</v>
      </c>
      <c r="X36" s="0" t="n">
        <v>19.121</v>
      </c>
      <c r="Y36" s="0" t="n">
        <v>20</v>
      </c>
      <c r="AB36" s="58" t="n">
        <f aca="false">M36-AA36</f>
        <v>9.38708</v>
      </c>
      <c r="AC36" s="58" t="n">
        <f aca="false">O36-AA36</f>
        <v>6.0931</v>
      </c>
      <c r="AD36" s="58" t="n">
        <f aca="false">AB36/L36%</f>
        <v>73.5314207650273</v>
      </c>
      <c r="AE36" s="58" t="n">
        <f aca="false">AC36/N36%</f>
        <v>64.3268124280782</v>
      </c>
      <c r="AF36" s="58" t="n">
        <f aca="false">T36-AA36</f>
        <v>6.72979999999998</v>
      </c>
      <c r="AG36" s="58" t="n">
        <f aca="false">AF36/S36%</f>
        <v>66.5736783792337</v>
      </c>
      <c r="AH36" s="58" t="n">
        <f aca="false">W36</f>
        <v>22.5</v>
      </c>
      <c r="AI36" s="58" t="n">
        <f aca="false">J36</f>
        <v>3.379</v>
      </c>
      <c r="AJ36" s="58" t="n">
        <f aca="false">AH36-AI36</f>
        <v>19.121</v>
      </c>
      <c r="AK36" s="58" t="n">
        <f aca="false">AA36</f>
        <v>0</v>
      </c>
      <c r="AL36" s="58" t="n">
        <f aca="false">AJ36-AK36</f>
        <v>19.121</v>
      </c>
      <c r="AM36" s="58" t="n">
        <f aca="false">AL36/AH36%</f>
        <v>84.9822222222222</v>
      </c>
      <c r="AN36" s="0" t="str">
        <f aca="false">IF(ISBLANK(Z36),"","Capped")</f>
        <v/>
      </c>
      <c r="AO36" s="0" t="s">
        <v>327</v>
      </c>
      <c r="AP36" s="0" t="str">
        <f aca="false">TRIM(BA36)</f>
        <v>2DDm85-15</v>
      </c>
      <c r="AQ36" s="59" t="e">
        <f aca="false">_xlfn.xlookup(A36,'SYS Allocations'!A:A,'SYS Allocations'!B:B)</f>
        <v>#NAME?</v>
      </c>
      <c r="AR36" s="59" t="e">
        <f aca="false">_xlfn.xlookup(A36,'SYS Allocations'!A:A,'SYS Allocations'!C:C)</f>
        <v>#NAME?</v>
      </c>
      <c r="AS36" s="59" t="e">
        <f aca="false">_xlfn.xlookup(A36,'SYS Allocations'!A:A,'SYS Allocations'!D:D)</f>
        <v>#NAME?</v>
      </c>
      <c r="AT36" s="59" t="e">
        <f aca="false">_xlfn.xlookup(A36,'SYS Allocations'!A:A,'SYS Allocations'!E:E)</f>
        <v>#NAME?</v>
      </c>
      <c r="AU36" s="59" t="e">
        <f aca="false">_xlfn.xlookup(A36,'SYS Allocations'!A:A,'SYS Allocations'!F:F)</f>
        <v>#NAME?</v>
      </c>
      <c r="BA36" s="0" t="str">
        <f aca="false">IFERROR(LEFT(R36,FIND("(",R36,1)-1),R36)</f>
        <v>2DDm85-15</v>
      </c>
    </row>
    <row r="37" customFormat="false" ht="13.15" hidden="false" customHeight="false" outlineLevel="0" collapsed="false">
      <c r="A37" s="20" t="s">
        <v>53</v>
      </c>
      <c r="B37" s="0" t="s">
        <v>361</v>
      </c>
      <c r="C37" s="0" t="s">
        <v>426</v>
      </c>
      <c r="D37" s="0" t="s">
        <v>319</v>
      </c>
      <c r="E37" s="0" t="s">
        <v>427</v>
      </c>
      <c r="F37" s="0" t="s">
        <v>321</v>
      </c>
      <c r="G37" s="0" t="n">
        <v>36.6</v>
      </c>
      <c r="H37" s="0" t="n">
        <v>61</v>
      </c>
      <c r="I37" s="0" t="n">
        <v>1052</v>
      </c>
      <c r="J37" s="0" t="n">
        <v>57.334</v>
      </c>
      <c r="K37" s="45" t="n">
        <v>45659</v>
      </c>
      <c r="L37" s="0" t="n">
        <v>95.7456</v>
      </c>
      <c r="M37" s="0" t="n">
        <v>38.4116</v>
      </c>
      <c r="N37" s="0" t="n">
        <v>86.982</v>
      </c>
      <c r="O37" s="0" t="n">
        <v>29.648</v>
      </c>
      <c r="P37" s="0" t="s">
        <v>322</v>
      </c>
      <c r="Q37" s="0" t="s">
        <v>331</v>
      </c>
      <c r="R37" s="0" t="s">
        <v>345</v>
      </c>
      <c r="S37" s="0" t="n">
        <v>53.3304</v>
      </c>
      <c r="T37" s="0" t="n">
        <v>-4.00360000000002</v>
      </c>
      <c r="U37" s="0" t="s">
        <v>428</v>
      </c>
      <c r="V37" s="0" t="s">
        <v>429</v>
      </c>
      <c r="W37" s="0" t="n">
        <v>371.25</v>
      </c>
      <c r="X37" s="0" t="n">
        <v>313.916</v>
      </c>
      <c r="Y37" s="0" t="n">
        <v>104</v>
      </c>
      <c r="AB37" s="58" t="n">
        <f aca="false">M37-AA37</f>
        <v>38.4116</v>
      </c>
      <c r="AC37" s="58" t="n">
        <f aca="false">O37-AA37</f>
        <v>29.648</v>
      </c>
      <c r="AD37" s="58" t="n">
        <f aca="false">AB37/L37%</f>
        <v>40.1183970856102</v>
      </c>
      <c r="AE37" s="58" t="n">
        <f aca="false">AC37/N37%</f>
        <v>34.0852130325815</v>
      </c>
      <c r="AF37" s="58" t="n">
        <f aca="false">T37-AA37</f>
        <v>-4.00360000000002</v>
      </c>
      <c r="AG37" s="58" t="n">
        <f aca="false">AF37/S37%</f>
        <v>-7.50716289395921</v>
      </c>
      <c r="AH37" s="60" t="n">
        <f aca="false">AVERAGE(W37:W39)</f>
        <v>413.5</v>
      </c>
      <c r="AI37" s="60" t="n">
        <f aca="false">SUM(J37:J39)</f>
        <v>209.6615</v>
      </c>
      <c r="AJ37" s="60" t="n">
        <f aca="false">AH37-AI37</f>
        <v>203.8385</v>
      </c>
      <c r="AK37" s="60" t="n">
        <f aca="false">SUM(AA37:AA39)</f>
        <v>0</v>
      </c>
      <c r="AL37" s="60" t="n">
        <f aca="false">AJ37-AK37</f>
        <v>203.8385</v>
      </c>
      <c r="AM37" s="61" t="n">
        <f aca="false">AL37/AH37%</f>
        <v>49.2958887545345</v>
      </c>
      <c r="AN37" s="0" t="str">
        <f aca="false">IF(ISBLANK(Z37),"","Capped")</f>
        <v/>
      </c>
      <c r="AO37" s="0" t="s">
        <v>327</v>
      </c>
      <c r="AP37" s="0" t="str">
        <f aca="false">TRIM(BA37)</f>
        <v>DDm125-33</v>
      </c>
      <c r="AQ37" s="59" t="e">
        <f aca="false">_xlfn.xlookup(A37,'SYS Allocations'!A:A,'SYS Allocations'!B:B)</f>
        <v>#NAME?</v>
      </c>
      <c r="AR37" s="59" t="e">
        <f aca="false">_xlfn.xlookup(A37,'SYS Allocations'!A:A,'SYS Allocations'!C:C)</f>
        <v>#NAME?</v>
      </c>
      <c r="AS37" s="59" t="e">
        <f aca="false">_xlfn.xlookup(A37,'SYS Allocations'!A:A,'SYS Allocations'!D:D)</f>
        <v>#NAME?</v>
      </c>
      <c r="AT37" s="59" t="e">
        <f aca="false">_xlfn.xlookup(A37,'SYS Allocations'!A:A,'SYS Allocations'!E:E)</f>
        <v>#NAME?</v>
      </c>
      <c r="AU37" s="59" t="e">
        <f aca="false">_xlfn.xlookup(A37,'SYS Allocations'!A:A,'SYS Allocations'!F:F)</f>
        <v>#NAME?</v>
      </c>
      <c r="BA37" s="0" t="str">
        <f aca="false">IFERROR(LEFT(R37,FIND("(",R37,1)-1),R37)</f>
        <v>DDm125-33</v>
      </c>
    </row>
    <row r="38" customFormat="false" ht="13.15" hidden="false" customHeight="false" outlineLevel="0" collapsed="false">
      <c r="A38" s="20" t="s">
        <v>54</v>
      </c>
      <c r="B38" s="0" t="s">
        <v>361</v>
      </c>
      <c r="C38" s="0" t="s">
        <v>426</v>
      </c>
      <c r="D38" s="0" t="s">
        <v>319</v>
      </c>
      <c r="E38" s="0" t="s">
        <v>427</v>
      </c>
      <c r="F38" s="0" t="s">
        <v>321</v>
      </c>
      <c r="G38" s="0" t="n">
        <v>36.6</v>
      </c>
      <c r="H38" s="0" t="n">
        <v>57</v>
      </c>
      <c r="I38" s="0" t="n">
        <v>1312</v>
      </c>
      <c r="J38" s="0" t="n">
        <v>71.504</v>
      </c>
      <c r="K38" s="45" t="n">
        <v>45659</v>
      </c>
      <c r="L38" s="0" t="n">
        <v>89.36256</v>
      </c>
      <c r="M38" s="0" t="n">
        <v>17.85856</v>
      </c>
      <c r="N38" s="0" t="n">
        <v>46.3032</v>
      </c>
      <c r="O38" s="0" t="n">
        <v>-25.2008</v>
      </c>
      <c r="P38" s="0" t="s">
        <v>374</v>
      </c>
      <c r="Q38" s="0" t="s">
        <v>331</v>
      </c>
      <c r="R38" s="0" t="s">
        <v>345</v>
      </c>
      <c r="S38" s="0" t="n">
        <v>106.6608</v>
      </c>
      <c r="T38" s="0" t="n">
        <v>35.1568000000001</v>
      </c>
      <c r="U38" s="0" t="s">
        <v>428</v>
      </c>
      <c r="V38" s="0" t="s">
        <v>429</v>
      </c>
      <c r="W38" s="0" t="n">
        <v>371.25</v>
      </c>
      <c r="X38" s="0" t="n">
        <v>299.746</v>
      </c>
      <c r="Y38" s="0" t="n">
        <v>104</v>
      </c>
      <c r="AB38" s="58" t="n">
        <f aca="false">M38-AA38</f>
        <v>17.85856</v>
      </c>
      <c r="AC38" s="58" t="n">
        <f aca="false">O38-AA38</f>
        <v>-25.2008</v>
      </c>
      <c r="AD38" s="58" t="n">
        <f aca="false">AB38/L38%</f>
        <v>19.984387197502</v>
      </c>
      <c r="AE38" s="58" t="n">
        <f aca="false">AC38/N38%</f>
        <v>-54.4256120527307</v>
      </c>
      <c r="AF38" s="58" t="n">
        <f aca="false">T38-AA38</f>
        <v>35.1568000000001</v>
      </c>
      <c r="AG38" s="58" t="n">
        <f aca="false">AF38/S38%</f>
        <v>32.9613128722081</v>
      </c>
      <c r="AH38" s="60"/>
      <c r="AI38" s="60"/>
      <c r="AJ38" s="60"/>
      <c r="AK38" s="60"/>
      <c r="AL38" s="60"/>
      <c r="AM38" s="61"/>
      <c r="AN38" s="0" t="str">
        <f aca="false">IF(ISBLANK(Z38),"","Capped")</f>
        <v/>
      </c>
      <c r="AO38" s="0" t="s">
        <v>393</v>
      </c>
      <c r="AP38" s="0" t="str">
        <f aca="false">TRIM(BA38)</f>
        <v>DDm125-33</v>
      </c>
      <c r="AQ38" s="59" t="e">
        <f aca="false">_xlfn.xlookup(A38,'SYS Allocations'!A:A,'SYS Allocations'!B:B)</f>
        <v>#NAME?</v>
      </c>
      <c r="AR38" s="59" t="e">
        <f aca="false">_xlfn.xlookup(A38,'SYS Allocations'!A:A,'SYS Allocations'!C:C)</f>
        <v>#NAME?</v>
      </c>
      <c r="AS38" s="59" t="e">
        <f aca="false">_xlfn.xlookup(A38,'SYS Allocations'!A:A,'SYS Allocations'!D:D)</f>
        <v>#NAME?</v>
      </c>
      <c r="AT38" s="59" t="e">
        <f aca="false">_xlfn.xlookup(A38,'SYS Allocations'!A:A,'SYS Allocations'!E:E)</f>
        <v>#NAME?</v>
      </c>
      <c r="AU38" s="59" t="e">
        <f aca="false">_xlfn.xlookup(A38,'SYS Allocations'!A:A,'SYS Allocations'!F:F)</f>
        <v>#NAME?</v>
      </c>
      <c r="BA38" s="0" t="str">
        <f aca="false">IFERROR(LEFT(R38,FIND("(",R38,1)-1),R38)</f>
        <v>DDm125-33</v>
      </c>
    </row>
    <row r="39" customFormat="false" ht="13.15" hidden="false" customHeight="false" outlineLevel="0" collapsed="false">
      <c r="A39" s="20" t="s">
        <v>55</v>
      </c>
      <c r="B39" s="0" t="s">
        <v>361</v>
      </c>
      <c r="C39" s="0" t="s">
        <v>426</v>
      </c>
      <c r="D39" s="0" t="s">
        <v>319</v>
      </c>
      <c r="E39" s="0" t="s">
        <v>430</v>
      </c>
      <c r="F39" s="0" t="s">
        <v>383</v>
      </c>
      <c r="G39" s="0" t="n">
        <v>55</v>
      </c>
      <c r="H39" s="0" t="n">
        <v>102</v>
      </c>
      <c r="I39" s="0" t="n">
        <v>1483</v>
      </c>
      <c r="J39" s="0" t="n">
        <v>80.8235</v>
      </c>
      <c r="K39" s="45" t="n">
        <v>45659</v>
      </c>
      <c r="L39" s="0" t="n">
        <v>242.198</v>
      </c>
      <c r="M39" s="0" t="n">
        <v>161.3745</v>
      </c>
      <c r="N39" s="0" t="n">
        <v>171.9475</v>
      </c>
      <c r="O39" s="0" t="n">
        <v>91.124</v>
      </c>
      <c r="P39" s="0" t="s">
        <v>428</v>
      </c>
      <c r="Q39" s="0" t="s">
        <v>331</v>
      </c>
      <c r="R39" s="0" t="s">
        <v>345</v>
      </c>
      <c r="S39" s="0" t="n">
        <v>213.3216</v>
      </c>
      <c r="T39" s="0" t="n">
        <v>132.4981</v>
      </c>
      <c r="U39" s="0" t="s">
        <v>326</v>
      </c>
      <c r="V39" s="0" t="s">
        <v>431</v>
      </c>
      <c r="W39" s="0" t="n">
        <v>498</v>
      </c>
      <c r="X39" s="0" t="n">
        <v>417.1765</v>
      </c>
      <c r="Y39" s="0" t="n">
        <v>23</v>
      </c>
      <c r="AB39" s="58" t="n">
        <f aca="false">M39-AA39</f>
        <v>161.3745</v>
      </c>
      <c r="AC39" s="58" t="n">
        <f aca="false">O39-AA39</f>
        <v>91.124</v>
      </c>
      <c r="AD39" s="58" t="n">
        <f aca="false">AB39/L39%</f>
        <v>66.6291629162916</v>
      </c>
      <c r="AE39" s="58" t="n">
        <f aca="false">AC39/N39%</f>
        <v>52.9952456418384</v>
      </c>
      <c r="AF39" s="58" t="n">
        <f aca="false">T39-AA39</f>
        <v>132.4981</v>
      </c>
      <c r="AG39" s="58" t="n">
        <f aca="false">AF39/S39%</f>
        <v>62.1119005295291</v>
      </c>
      <c r="AH39" s="60"/>
      <c r="AI39" s="60"/>
      <c r="AJ39" s="60"/>
      <c r="AK39" s="60"/>
      <c r="AL39" s="60"/>
      <c r="AM39" s="61"/>
      <c r="AN39" s="0" t="str">
        <f aca="false">IF(ISBLANK(Z39),"","Capped")</f>
        <v/>
      </c>
      <c r="AO39" s="0" t="s">
        <v>393</v>
      </c>
      <c r="AP39" s="0" t="str">
        <f aca="false">TRIM(BA39)</f>
        <v>DDm125-33</v>
      </c>
      <c r="AQ39" s="59" t="e">
        <f aca="false">_xlfn.xlookup(A39,'SYS Allocations'!A:A,'SYS Allocations'!B:B)</f>
        <v>#NAME?</v>
      </c>
      <c r="AR39" s="59"/>
      <c r="AS39" s="59"/>
      <c r="AT39" s="59"/>
      <c r="AU39" s="59" t="e">
        <f aca="false">_xlfn.xlookup(A39,'SYS Allocations'!A:A,'SYS Allocations'!F:F)</f>
        <v>#NAME?</v>
      </c>
      <c r="BA39" s="0" t="str">
        <f aca="false">IFERROR(LEFT(R39,FIND("(",R39,1)-1),R39)</f>
        <v>DDm125-33</v>
      </c>
    </row>
    <row r="40" customFormat="false" ht="13.15" hidden="false" customHeight="false" outlineLevel="0" collapsed="false">
      <c r="A40" s="20" t="s">
        <v>56</v>
      </c>
      <c r="B40" s="0" t="s">
        <v>361</v>
      </c>
      <c r="C40" s="0" t="s">
        <v>426</v>
      </c>
      <c r="D40" s="0" t="s">
        <v>319</v>
      </c>
      <c r="E40" s="0" t="s">
        <v>427</v>
      </c>
      <c r="F40" s="0" t="s">
        <v>432</v>
      </c>
      <c r="G40" s="0" t="n">
        <v>55</v>
      </c>
      <c r="H40" s="0" t="n">
        <v>102</v>
      </c>
      <c r="I40" s="0" t="n">
        <v>1029</v>
      </c>
      <c r="J40" s="0" t="n">
        <v>56.0805</v>
      </c>
      <c r="K40" s="45" t="n">
        <v>45659</v>
      </c>
      <c r="L40" s="0" t="n">
        <v>242.198</v>
      </c>
      <c r="M40" s="0" t="n">
        <v>186.1175</v>
      </c>
      <c r="N40" s="0" t="n">
        <v>171.9475</v>
      </c>
      <c r="O40" s="0" t="n">
        <v>115.867</v>
      </c>
      <c r="P40" s="0" t="s">
        <v>428</v>
      </c>
      <c r="Q40" s="0" t="s">
        <v>331</v>
      </c>
      <c r="R40" s="0" t="s">
        <v>345</v>
      </c>
      <c r="S40" s="0" t="n">
        <v>213.3216</v>
      </c>
      <c r="T40" s="0" t="n">
        <v>157.2411</v>
      </c>
      <c r="U40" s="0" t="s">
        <v>428</v>
      </c>
      <c r="V40" s="0" t="s">
        <v>429</v>
      </c>
      <c r="W40" s="0" t="n">
        <v>371.25</v>
      </c>
      <c r="X40" s="0" t="n">
        <v>315.1695</v>
      </c>
      <c r="Y40" s="0" t="n">
        <v>104</v>
      </c>
      <c r="AB40" s="58" t="n">
        <f aca="false">M40-AA40</f>
        <v>186.1175</v>
      </c>
      <c r="AC40" s="58" t="n">
        <f aca="false">O40-AA40</f>
        <v>115.867</v>
      </c>
      <c r="AD40" s="58" t="n">
        <f aca="false">AB40/L40%</f>
        <v>76.8451845184518</v>
      </c>
      <c r="AE40" s="58" t="n">
        <f aca="false">AC40/N40%</f>
        <v>67.3851030110935</v>
      </c>
      <c r="AF40" s="58" t="n">
        <f aca="false">T40-AA40</f>
        <v>157.2411</v>
      </c>
      <c r="AG40" s="58" t="n">
        <f aca="false">AF40/S40%</f>
        <v>73.7108197200846</v>
      </c>
      <c r="AH40" s="58" t="n">
        <f aca="false">W40</f>
        <v>371.25</v>
      </c>
      <c r="AI40" s="58" t="n">
        <f aca="false">J40</f>
        <v>56.0805</v>
      </c>
      <c r="AJ40" s="58" t="n">
        <f aca="false">AH40-AI40</f>
        <v>315.1695</v>
      </c>
      <c r="AK40" s="58" t="n">
        <f aca="false">AA40</f>
        <v>0</v>
      </c>
      <c r="AL40" s="58" t="n">
        <f aca="false">AJ40-AK40</f>
        <v>315.1695</v>
      </c>
      <c r="AM40" s="58" t="n">
        <f aca="false">AL40/AH40%</f>
        <v>84.8941414141414</v>
      </c>
      <c r="AN40" s="0" t="str">
        <f aca="false">IF(ISBLANK(Z40),"","Capped")</f>
        <v/>
      </c>
      <c r="AO40" s="0" t="s">
        <v>327</v>
      </c>
      <c r="AP40" s="0" t="str">
        <f aca="false">TRIM(BA40)</f>
        <v>DDm125-33</v>
      </c>
      <c r="AQ40" s="59" t="e">
        <f aca="false">_xlfn.xlookup(A40,'SYS Allocations'!A:A,'SYS Allocations'!B:B)</f>
        <v>#NAME?</v>
      </c>
      <c r="AR40" s="59" t="e">
        <f aca="false">_xlfn.xlookup(A40,'SYS Allocations'!A:A,'SYS Allocations'!C:C)</f>
        <v>#NAME?</v>
      </c>
      <c r="AS40" s="59" t="e">
        <f aca="false">_xlfn.xlookup(A40,'SYS Allocations'!A:A,'SYS Allocations'!D:D)</f>
        <v>#NAME?</v>
      </c>
      <c r="AT40" s="59" t="e">
        <f aca="false">_xlfn.xlookup(A40,'SYS Allocations'!A:A,'SYS Allocations'!E:E)</f>
        <v>#NAME?</v>
      </c>
      <c r="AU40" s="59" t="e">
        <f aca="false">_xlfn.xlookup(A40,'SYS Allocations'!A:A,'SYS Allocations'!F:F)</f>
        <v>#NAME?</v>
      </c>
      <c r="BA40" s="0" t="str">
        <f aca="false">IFERROR(LEFT(R40,FIND("(",R40,1)-1),R40)</f>
        <v>DDm125-33</v>
      </c>
    </row>
    <row r="41" customFormat="false" ht="13.15" hidden="false" customHeight="false" outlineLevel="0" collapsed="false">
      <c r="A41" s="20" t="s">
        <v>57</v>
      </c>
      <c r="B41" s="0" t="s">
        <v>376</v>
      </c>
      <c r="C41" s="0" t="s">
        <v>407</v>
      </c>
      <c r="D41" s="0" t="s">
        <v>433</v>
      </c>
      <c r="E41" s="0" t="s">
        <v>434</v>
      </c>
      <c r="F41" s="0" t="s">
        <v>435</v>
      </c>
      <c r="G41" s="0" t="n">
        <v>100</v>
      </c>
      <c r="H41" s="0" t="n">
        <v>9</v>
      </c>
      <c r="I41" s="0" t="n">
        <v>115</v>
      </c>
      <c r="J41" s="0" t="n">
        <v>6.2675</v>
      </c>
      <c r="K41" s="45" t="n">
        <v>44498.4166666667</v>
      </c>
      <c r="L41" s="0" t="n">
        <v>34.88</v>
      </c>
      <c r="M41" s="0" t="n">
        <v>28.6125</v>
      </c>
      <c r="N41" s="0" t="n">
        <v>26.16</v>
      </c>
      <c r="O41" s="0" t="n">
        <v>19.8925</v>
      </c>
      <c r="P41" s="0" t="s">
        <v>325</v>
      </c>
      <c r="Q41" s="0" t="s">
        <v>331</v>
      </c>
      <c r="R41" s="0" t="s">
        <v>403</v>
      </c>
      <c r="S41" s="0" t="n">
        <v>28.1232</v>
      </c>
      <c r="T41" s="0" t="n">
        <v>21.8557</v>
      </c>
      <c r="U41" s="0" t="s">
        <v>337</v>
      </c>
      <c r="V41" s="0" t="s">
        <v>436</v>
      </c>
      <c r="W41" s="0" t="n">
        <v>67.5</v>
      </c>
      <c r="X41" s="0" t="n">
        <v>61.2325</v>
      </c>
      <c r="Y41" s="0" t="n">
        <v>30</v>
      </c>
      <c r="AB41" s="58" t="n">
        <f aca="false">M41-AA41</f>
        <v>28.6125</v>
      </c>
      <c r="AC41" s="58" t="n">
        <f aca="false">O41-AA41</f>
        <v>19.8925</v>
      </c>
      <c r="AD41" s="58" t="n">
        <f aca="false">AB41/L41%</f>
        <v>82.03125</v>
      </c>
      <c r="AE41" s="58" t="n">
        <f aca="false">AC41/N41%</f>
        <v>76.0416666666667</v>
      </c>
      <c r="AF41" s="58" t="n">
        <f aca="false">T41-AA41</f>
        <v>21.8557</v>
      </c>
      <c r="AG41" s="58" t="n">
        <f aca="false">AF41/S41%</f>
        <v>77.7141292598282</v>
      </c>
      <c r="AH41" s="60" t="n">
        <f aca="false">AVERAGE(W41:W42)</f>
        <v>67.5</v>
      </c>
      <c r="AI41" s="60" t="n">
        <f aca="false">SUM(J41:J42)</f>
        <v>19.5655</v>
      </c>
      <c r="AJ41" s="60" t="n">
        <f aca="false">AH41-AI41</f>
        <v>47.9345</v>
      </c>
      <c r="AK41" s="60" t="n">
        <f aca="false">SUM(AA41:AA42)</f>
        <v>0</v>
      </c>
      <c r="AL41" s="60" t="n">
        <f aca="false">AJ41-AK41</f>
        <v>47.9345</v>
      </c>
      <c r="AM41" s="61" t="n">
        <f aca="false">AL41/AH41%</f>
        <v>71.0140740740741</v>
      </c>
      <c r="AN41" s="0" t="str">
        <f aca="false">IF(ISBLANK(Z41),"","Capped")</f>
        <v/>
      </c>
      <c r="AO41" s="0" t="s">
        <v>393</v>
      </c>
      <c r="AP41" s="0" t="str">
        <f aca="false">TRIM(BA41)</f>
        <v>DDm100-33</v>
      </c>
      <c r="AQ41" s="59" t="e">
        <f aca="false">_xlfn.xlookup(A41,'SYS Allocations'!A:A,'SYS Allocations'!B:B)</f>
        <v>#NAME?</v>
      </c>
      <c r="AR41" s="59" t="e">
        <f aca="false">_xlfn.xlookup(A41,'SYS Allocations'!A:A,'SYS Allocations'!C:C)</f>
        <v>#NAME?</v>
      </c>
      <c r="AS41" s="59" t="e">
        <f aca="false">_xlfn.xlookup(A41,'SYS Allocations'!A:A,'SYS Allocations'!D:D)</f>
        <v>#NAME?</v>
      </c>
      <c r="AT41" s="59" t="e">
        <f aca="false">_xlfn.xlookup(A41,'SYS Allocations'!A:A,'SYS Allocations'!E:E)</f>
        <v>#NAME?</v>
      </c>
      <c r="AU41" s="59" t="e">
        <f aca="false">_xlfn.xlookup(A41,'SYS Allocations'!A:A,'SYS Allocations'!F:F)</f>
        <v>#NAME?</v>
      </c>
      <c r="BA41" s="0" t="str">
        <f aca="false">IFERROR(LEFT(R41,FIND("(",R41,1)-1),R41)</f>
        <v>DDm100-33</v>
      </c>
    </row>
    <row r="42" customFormat="false" ht="13.15" hidden="false" customHeight="false" outlineLevel="0" collapsed="false">
      <c r="A42" s="20" t="s">
        <v>58</v>
      </c>
      <c r="B42" s="0" t="s">
        <v>376</v>
      </c>
      <c r="C42" s="0" t="s">
        <v>407</v>
      </c>
      <c r="D42" s="0" t="s">
        <v>433</v>
      </c>
      <c r="E42" s="0" t="s">
        <v>434</v>
      </c>
      <c r="F42" s="0" t="s">
        <v>435</v>
      </c>
      <c r="G42" s="0" t="n">
        <v>100</v>
      </c>
      <c r="H42" s="0" t="n">
        <v>9</v>
      </c>
      <c r="I42" s="0" t="n">
        <v>244</v>
      </c>
      <c r="J42" s="0" t="n">
        <v>13.298</v>
      </c>
      <c r="K42" s="45" t="n">
        <v>44498.5</v>
      </c>
      <c r="L42" s="0" t="n">
        <v>34.88</v>
      </c>
      <c r="M42" s="0" t="n">
        <v>21.582</v>
      </c>
      <c r="N42" s="0" t="n">
        <v>26.16</v>
      </c>
      <c r="O42" s="0" t="n">
        <v>12.862</v>
      </c>
      <c r="P42" s="0" t="s">
        <v>325</v>
      </c>
      <c r="Q42" s="0" t="s">
        <v>331</v>
      </c>
      <c r="R42" s="0" t="s">
        <v>403</v>
      </c>
      <c r="S42" s="0" t="n">
        <v>28.1232</v>
      </c>
      <c r="T42" s="0" t="n">
        <v>14.8252</v>
      </c>
      <c r="U42" s="0" t="s">
        <v>337</v>
      </c>
      <c r="V42" s="0" t="s">
        <v>436</v>
      </c>
      <c r="W42" s="0" t="n">
        <v>67.5</v>
      </c>
      <c r="X42" s="0" t="n">
        <v>54.202</v>
      </c>
      <c r="Y42" s="0" t="n">
        <v>30</v>
      </c>
      <c r="AB42" s="58" t="n">
        <f aca="false">M42-AA42</f>
        <v>21.582</v>
      </c>
      <c r="AC42" s="58" t="n">
        <f aca="false">O42-AA42</f>
        <v>12.862</v>
      </c>
      <c r="AD42" s="58" t="n">
        <f aca="false">AB42/L42%</f>
        <v>61.875</v>
      </c>
      <c r="AE42" s="58" t="n">
        <f aca="false">AC42/N42%</f>
        <v>49.1666666666667</v>
      </c>
      <c r="AF42" s="58" t="n">
        <f aca="false">T42-AA42</f>
        <v>14.8252</v>
      </c>
      <c r="AG42" s="58" t="n">
        <f aca="false">AF42/S42%</f>
        <v>52.7151959947659</v>
      </c>
      <c r="AH42" s="60"/>
      <c r="AI42" s="60"/>
      <c r="AJ42" s="60"/>
      <c r="AK42" s="60"/>
      <c r="AL42" s="60"/>
      <c r="AM42" s="61"/>
      <c r="AN42" s="0" t="str">
        <f aca="false">IF(ISBLANK(Z42),"","Capped")</f>
        <v/>
      </c>
      <c r="AO42" s="0" t="s">
        <v>393</v>
      </c>
      <c r="AP42" s="0" t="str">
        <f aca="false">TRIM(BA42)</f>
        <v>DDm100-33</v>
      </c>
      <c r="AQ42" s="59" t="e">
        <f aca="false">_xlfn.xlookup(A42,'SYS Allocations'!A:A,'SYS Allocations'!B:B)</f>
        <v>#NAME?</v>
      </c>
      <c r="AR42" s="59" t="e">
        <f aca="false">_xlfn.xlookup(A42,'SYS Allocations'!A:A,'SYS Allocations'!C:C)</f>
        <v>#NAME?</v>
      </c>
      <c r="AS42" s="59" t="e">
        <f aca="false">_xlfn.xlookup(A42,'SYS Allocations'!A:A,'SYS Allocations'!D:D)</f>
        <v>#NAME?</v>
      </c>
      <c r="AT42" s="59" t="e">
        <f aca="false">_xlfn.xlookup(A42,'SYS Allocations'!A:A,'SYS Allocations'!E:E)</f>
        <v>#NAME?</v>
      </c>
      <c r="AU42" s="59" t="e">
        <f aca="false">_xlfn.xlookup(A42,'SYS Allocations'!A:A,'SYS Allocations'!F:F)</f>
        <v>#NAME?</v>
      </c>
      <c r="BA42" s="0" t="str">
        <f aca="false">IFERROR(LEFT(R42,FIND("(",R42,1)-1),R42)</f>
        <v>DDm100-33</v>
      </c>
    </row>
    <row r="43" customFormat="false" ht="13.15" hidden="false" customHeight="false" outlineLevel="0" collapsed="false">
      <c r="A43" s="20" t="s">
        <v>59</v>
      </c>
      <c r="B43" s="0" t="s">
        <v>437</v>
      </c>
      <c r="C43" s="0" t="s">
        <v>438</v>
      </c>
      <c r="D43" s="0" t="s">
        <v>390</v>
      </c>
      <c r="E43" s="0" t="s">
        <v>439</v>
      </c>
      <c r="F43" s="0" t="s">
        <v>440</v>
      </c>
      <c r="G43" s="0" t="n">
        <v>27.8</v>
      </c>
      <c r="H43" s="0" t="n">
        <v>8</v>
      </c>
      <c r="I43" s="0" t="n">
        <v>90</v>
      </c>
      <c r="J43" s="0" t="n">
        <v>4.905</v>
      </c>
      <c r="K43" s="45" t="n">
        <v>45468</v>
      </c>
      <c r="L43" s="0" t="n">
        <v>8.48456</v>
      </c>
      <c r="M43" s="0" t="n">
        <v>3.57956</v>
      </c>
      <c r="N43" s="0" t="n">
        <v>9.193059891</v>
      </c>
      <c r="O43" s="0" t="n">
        <v>4.288059891</v>
      </c>
      <c r="P43" s="0" t="s">
        <v>325</v>
      </c>
      <c r="Q43" s="0" t="s">
        <v>323</v>
      </c>
      <c r="R43" s="0" t="s">
        <v>441</v>
      </c>
      <c r="S43" s="0" t="n">
        <v>2.916</v>
      </c>
      <c r="T43" s="0" t="n">
        <v>-1.989</v>
      </c>
      <c r="U43" s="0" t="s">
        <v>325</v>
      </c>
      <c r="V43" s="0" t="s">
        <v>442</v>
      </c>
      <c r="W43" s="0" t="n">
        <v>11.25</v>
      </c>
      <c r="X43" s="0" t="n">
        <v>6.345</v>
      </c>
      <c r="Y43" s="0" t="n">
        <v>2</v>
      </c>
      <c r="Z43" s="0" t="s">
        <v>8</v>
      </c>
      <c r="AB43" s="58" t="n">
        <f aca="false">M43-AA43</f>
        <v>3.57956</v>
      </c>
      <c r="AC43" s="58" t="n">
        <f aca="false">O43-AA43</f>
        <v>4.288059891</v>
      </c>
      <c r="AD43" s="58" t="n">
        <f aca="false">AB43/L43%</f>
        <v>42.1891058581706</v>
      </c>
      <c r="AE43" s="58" t="n">
        <f aca="false">AC43/N43%</f>
        <v>46.644533396307</v>
      </c>
      <c r="AF43" s="58" t="n">
        <f aca="false">T43-AA43</f>
        <v>-1.989</v>
      </c>
      <c r="AG43" s="58" t="n">
        <f aca="false">AF43/S43%</f>
        <v>-68.2098765432099</v>
      </c>
      <c r="AH43" s="58" t="n">
        <f aca="false">W43</f>
        <v>11.25</v>
      </c>
      <c r="AI43" s="58" t="n">
        <f aca="false">J43</f>
        <v>4.905</v>
      </c>
      <c r="AJ43" s="58" t="n">
        <f aca="false">AH43-AI43</f>
        <v>6.345</v>
      </c>
      <c r="AK43" s="58" t="n">
        <f aca="false">AA43</f>
        <v>0</v>
      </c>
      <c r="AL43" s="58" t="n">
        <f aca="false">AJ43-AK43</f>
        <v>6.345</v>
      </c>
      <c r="AM43" s="58" t="n">
        <f aca="false">AL43/AH43%</f>
        <v>56.4</v>
      </c>
      <c r="AN43" s="0" t="str">
        <f aca="false">IF(ISBLANK(Z43),"","Capped")</f>
        <v>Capped</v>
      </c>
      <c r="AO43" s="0" t="s">
        <v>327</v>
      </c>
      <c r="AP43" s="0" t="str">
        <f aca="false">TRIM(BA43)</f>
        <v>EN160</v>
      </c>
      <c r="AQ43" s="59" t="e">
        <f aca="false">_xlfn.xlookup(A43,'SYS Allocations'!A:A,'SYS Allocations'!B:B)</f>
        <v>#NAME?</v>
      </c>
      <c r="AR43" s="59" t="e">
        <f aca="false">_xlfn.xlookup(A43,'SYS Allocations'!A:A,'SYS Allocations'!C:C)</f>
        <v>#NAME?</v>
      </c>
      <c r="AS43" s="59" t="e">
        <f aca="false">_xlfn.xlookup(A43,'SYS Allocations'!A:A,'SYS Allocations'!D:D)</f>
        <v>#NAME?</v>
      </c>
      <c r="AT43" s="59" t="e">
        <f aca="false">_xlfn.xlookup(A43,'SYS Allocations'!A:A,'SYS Allocations'!E:E)</f>
        <v>#NAME?</v>
      </c>
      <c r="AU43" s="59" t="e">
        <f aca="false">_xlfn.xlookup(A43,'SYS Allocations'!A:A,'SYS Allocations'!F:F)</f>
        <v>#NAME?</v>
      </c>
      <c r="BA43" s="0" t="str">
        <f aca="false">IFERROR(LEFT(R43,FIND("(",R43,1)-1),R43)</f>
        <v>EN160</v>
      </c>
    </row>
    <row r="44" customFormat="false" ht="13.15" hidden="false" customHeight="false" outlineLevel="0" collapsed="false">
      <c r="A44" s="20" t="s">
        <v>60</v>
      </c>
      <c r="B44" s="0" t="s">
        <v>419</v>
      </c>
      <c r="C44" s="0" t="s">
        <v>443</v>
      </c>
      <c r="D44" s="0" t="s">
        <v>319</v>
      </c>
      <c r="E44" s="0" t="s">
        <v>444</v>
      </c>
      <c r="F44" s="0" t="s">
        <v>321</v>
      </c>
      <c r="G44" s="0" t="n">
        <v>36.6</v>
      </c>
      <c r="H44" s="0" t="n">
        <v>6</v>
      </c>
      <c r="I44" s="0" t="n">
        <v>48</v>
      </c>
      <c r="J44" s="0" t="n">
        <v>2.616</v>
      </c>
      <c r="K44" s="45" t="n">
        <v>45659</v>
      </c>
      <c r="L44" s="0" t="n">
        <v>7.9788</v>
      </c>
      <c r="M44" s="0" t="n">
        <v>5.3628</v>
      </c>
      <c r="N44" s="0" t="n">
        <v>6.1585</v>
      </c>
      <c r="O44" s="0" t="n">
        <v>3.5425</v>
      </c>
      <c r="P44" s="0" t="s">
        <v>379</v>
      </c>
      <c r="Q44" s="0" t="s">
        <v>331</v>
      </c>
      <c r="R44" s="0" t="s">
        <v>445</v>
      </c>
      <c r="S44" s="0" t="n">
        <v>6.27479999999998</v>
      </c>
      <c r="T44" s="0" t="n">
        <v>3.65879999999998</v>
      </c>
      <c r="U44" s="0" t="s">
        <v>322</v>
      </c>
      <c r="V44" s="0" t="s">
        <v>446</v>
      </c>
      <c r="W44" s="0" t="n">
        <v>6</v>
      </c>
      <c r="X44" s="0" t="n">
        <v>3.384</v>
      </c>
      <c r="Y44" s="0" t="n">
        <v>6</v>
      </c>
      <c r="AB44" s="58" t="n">
        <f aca="false">M44-AA44</f>
        <v>5.3628</v>
      </c>
      <c r="AC44" s="58" t="n">
        <f aca="false">O44-AA44</f>
        <v>3.5425</v>
      </c>
      <c r="AD44" s="58" t="n">
        <f aca="false">AB44/L44%</f>
        <v>67.2131147540984</v>
      </c>
      <c r="AE44" s="58" t="n">
        <f aca="false">AC44/N44%</f>
        <v>57.5221238938053</v>
      </c>
      <c r="AF44" s="58" t="n">
        <f aca="false">T44-AA44</f>
        <v>3.65879999999998</v>
      </c>
      <c r="AG44" s="58" t="n">
        <f aca="false">AF44/S44%</f>
        <v>58.3094281889461</v>
      </c>
      <c r="AH44" s="58" t="n">
        <f aca="false">W44</f>
        <v>6</v>
      </c>
      <c r="AI44" s="58" t="n">
        <f aca="false">J44</f>
        <v>2.616</v>
      </c>
      <c r="AJ44" s="58" t="n">
        <f aca="false">AH44-AI44</f>
        <v>3.384</v>
      </c>
      <c r="AK44" s="58" t="n">
        <f aca="false">AA44</f>
        <v>0</v>
      </c>
      <c r="AL44" s="58" t="n">
        <f aca="false">AJ44-AK44</f>
        <v>3.384</v>
      </c>
      <c r="AM44" s="58" t="n">
        <f aca="false">AL44/AH44%</f>
        <v>56.4</v>
      </c>
      <c r="AN44" s="0" t="str">
        <f aca="false">IF(ISBLANK(Z44),"","Capped")</f>
        <v/>
      </c>
      <c r="AO44" s="0" t="s">
        <v>327</v>
      </c>
      <c r="AP44" s="0" t="str">
        <f aca="false">TRIM(BA44)</f>
        <v>12V101F</v>
      </c>
      <c r="AQ44" s="59" t="e">
        <f aca="false">_xlfn.xlookup(A44,'SYS Allocations'!A:A,'SYS Allocations'!B:B)</f>
        <v>#NAME?</v>
      </c>
      <c r="AR44" s="59" t="e">
        <f aca="false">_xlfn.xlookup(A44,'SYS Allocations'!A:A,'SYS Allocations'!C:C)</f>
        <v>#NAME?</v>
      </c>
      <c r="AS44" s="59" t="e">
        <f aca="false">_xlfn.xlookup(A44,'SYS Allocations'!A:A,'SYS Allocations'!D:D)</f>
        <v>#NAME?</v>
      </c>
      <c r="AT44" s="59" t="e">
        <f aca="false">_xlfn.xlookup(A44,'SYS Allocations'!A:A,'SYS Allocations'!E:E)</f>
        <v>#NAME?</v>
      </c>
      <c r="AU44" s="59" t="e">
        <f aca="false">_xlfn.xlookup(A44,'SYS Allocations'!A:A,'SYS Allocations'!F:F)</f>
        <v>#NAME?</v>
      </c>
      <c r="BA44" s="0" t="str">
        <f aca="false">IFERROR(LEFT(R44,FIND("(",R44,1)-1),R44)</f>
        <v>12V101F </v>
      </c>
    </row>
    <row r="45" customFormat="false" ht="13.15" hidden="false" customHeight="false" outlineLevel="0" collapsed="false">
      <c r="A45" s="20" t="s">
        <v>61</v>
      </c>
      <c r="B45" s="0" t="s">
        <v>328</v>
      </c>
      <c r="C45" s="0" t="s">
        <v>447</v>
      </c>
      <c r="D45" s="0" t="s">
        <v>319</v>
      </c>
      <c r="E45" s="0" t="s">
        <v>448</v>
      </c>
      <c r="F45" s="0" t="s">
        <v>449</v>
      </c>
      <c r="G45" s="0" t="n">
        <v>20</v>
      </c>
      <c r="H45" s="0" t="n">
        <v>4</v>
      </c>
      <c r="I45" s="0" t="n">
        <v>4</v>
      </c>
      <c r="J45" s="0" t="n">
        <v>0.218</v>
      </c>
      <c r="K45" s="45" t="n">
        <v>45627</v>
      </c>
      <c r="L45" s="0" t="n">
        <v>2.616</v>
      </c>
      <c r="M45" s="0" t="n">
        <v>2.398</v>
      </c>
      <c r="N45" s="0" t="n">
        <v>2.398</v>
      </c>
      <c r="O45" s="0" t="n">
        <v>2.18</v>
      </c>
      <c r="P45" s="0" t="s">
        <v>325</v>
      </c>
      <c r="Q45" s="0" t="s">
        <v>352</v>
      </c>
      <c r="R45" s="0" t="s">
        <v>450</v>
      </c>
      <c r="S45" s="0" t="n">
        <v>1.95264</v>
      </c>
      <c r="T45" s="0" t="n">
        <v>1.73464</v>
      </c>
      <c r="U45" s="0" t="s">
        <v>325</v>
      </c>
      <c r="V45" s="0" t="s">
        <v>354</v>
      </c>
      <c r="W45" s="0" t="n">
        <v>5.025</v>
      </c>
      <c r="X45" s="0" t="n">
        <v>4.807</v>
      </c>
      <c r="Y45" s="0" t="n">
        <v>9</v>
      </c>
      <c r="AB45" s="58" t="n">
        <f aca="false">M45-AA45</f>
        <v>2.398</v>
      </c>
      <c r="AC45" s="58" t="n">
        <f aca="false">O45-AA45</f>
        <v>2.18</v>
      </c>
      <c r="AD45" s="58" t="n">
        <f aca="false">AB45/L45%</f>
        <v>91.6666666666667</v>
      </c>
      <c r="AE45" s="58" t="n">
        <f aca="false">AC45/N45%</f>
        <v>90.9090909090909</v>
      </c>
      <c r="AF45" s="58" t="n">
        <f aca="false">T45-AA45</f>
        <v>1.73464</v>
      </c>
      <c r="AG45" s="58" t="n">
        <f aca="false">AF45/S45%</f>
        <v>88.8356276630613</v>
      </c>
      <c r="AH45" s="58" t="n">
        <f aca="false">W45</f>
        <v>5.025</v>
      </c>
      <c r="AI45" s="58" t="n">
        <f aca="false">J45</f>
        <v>0.218</v>
      </c>
      <c r="AJ45" s="58" t="n">
        <f aca="false">AH45-AI45</f>
        <v>4.807</v>
      </c>
      <c r="AK45" s="58" t="n">
        <f aca="false">AA45</f>
        <v>0</v>
      </c>
      <c r="AL45" s="58" t="n">
        <f aca="false">AJ45-AK45</f>
        <v>4.807</v>
      </c>
      <c r="AM45" s="58" t="n">
        <f aca="false">AL45/AH45%</f>
        <v>95.6616915422886</v>
      </c>
      <c r="AN45" s="0" t="str">
        <f aca="false">IF(ISBLANK(Z45),"","Capped")</f>
        <v/>
      </c>
      <c r="AO45" s="0" t="s">
        <v>327</v>
      </c>
      <c r="AP45" s="0" t="str">
        <f aca="false">TRIM(BA45)</f>
        <v>12V100F</v>
      </c>
      <c r="AQ45" s="59" t="e">
        <f aca="false">_xlfn.xlookup(A45,'SYS Allocations'!A:A,'SYS Allocations'!B:B)</f>
        <v>#NAME?</v>
      </c>
      <c r="AR45" s="59" t="e">
        <f aca="false">_xlfn.xlookup(A45,'SYS Allocations'!A:A,'SYS Allocations'!C:C)</f>
        <v>#NAME?</v>
      </c>
      <c r="AS45" s="59" t="e">
        <f aca="false">_xlfn.xlookup(A45,'SYS Allocations'!A:A,'SYS Allocations'!D:D)</f>
        <v>#NAME?</v>
      </c>
      <c r="AT45" s="59" t="e">
        <f aca="false">_xlfn.xlookup(A45,'SYS Allocations'!A:A,'SYS Allocations'!E:E)</f>
        <v>#NAME?</v>
      </c>
      <c r="AU45" s="59" t="e">
        <f aca="false">_xlfn.xlookup(A45,'SYS Allocations'!A:A,'SYS Allocations'!F:F)</f>
        <v>#NAME?</v>
      </c>
      <c r="BA45" s="0" t="str">
        <f aca="false">IFERROR(LEFT(R45,FIND("(",R45,1)-1),R45)</f>
        <v>12V100F</v>
      </c>
    </row>
    <row r="46" customFormat="false" ht="13.15" hidden="false" customHeight="false" outlineLevel="0" collapsed="false">
      <c r="A46" s="20" t="s">
        <v>62</v>
      </c>
      <c r="B46" s="0" t="s">
        <v>348</v>
      </c>
      <c r="C46" s="0" t="s">
        <v>451</v>
      </c>
      <c r="D46" s="0" t="s">
        <v>319</v>
      </c>
      <c r="E46" s="0" t="s">
        <v>452</v>
      </c>
      <c r="F46" s="0" t="s">
        <v>321</v>
      </c>
      <c r="G46" s="0" t="n">
        <v>36.6</v>
      </c>
      <c r="H46" s="0" t="n">
        <v>2</v>
      </c>
      <c r="I46" s="0" t="n">
        <v>13</v>
      </c>
      <c r="J46" s="0" t="n">
        <v>0.7085</v>
      </c>
      <c r="K46" s="45" t="n">
        <v>45659</v>
      </c>
      <c r="L46" s="0" t="n">
        <v>1.59576</v>
      </c>
      <c r="M46" s="0" t="n">
        <v>0.88726</v>
      </c>
      <c r="N46" s="0" t="n">
        <v>-0.1144501635</v>
      </c>
      <c r="O46" s="0" t="n">
        <v>-0.8229501635</v>
      </c>
      <c r="P46" s="0" t="s">
        <v>322</v>
      </c>
      <c r="Q46" s="0" t="s">
        <v>352</v>
      </c>
      <c r="R46" s="0" t="s">
        <v>359</v>
      </c>
      <c r="S46" s="0" t="n">
        <v>4.212</v>
      </c>
      <c r="T46" s="0" t="n">
        <v>3.5035</v>
      </c>
      <c r="U46" s="0" t="s">
        <v>422</v>
      </c>
      <c r="V46" s="0" t="s">
        <v>344</v>
      </c>
      <c r="W46" s="0" t="n">
        <v>3.75</v>
      </c>
      <c r="X46" s="0" t="n">
        <v>3.0415</v>
      </c>
      <c r="Y46" s="0" t="n">
        <v>1</v>
      </c>
      <c r="AB46" s="58" t="n">
        <f aca="false">M46-AA46</f>
        <v>0.88726</v>
      </c>
      <c r="AC46" s="58" t="n">
        <f aca="false">O46-AA46</f>
        <v>-0.8229501635</v>
      </c>
      <c r="AD46" s="58" t="n">
        <f aca="false">AB46/L46%</f>
        <v>55.6010928961749</v>
      </c>
      <c r="AE46" s="58" t="n">
        <f aca="false">AC46/N46%</f>
        <v>719.046734695141</v>
      </c>
      <c r="AF46" s="58" t="n">
        <f aca="false">T46-AA46</f>
        <v>3.5035</v>
      </c>
      <c r="AG46" s="58" t="n">
        <f aca="false">AF46/S46%</f>
        <v>83.179012345679</v>
      </c>
      <c r="AH46" s="58" t="n">
        <f aca="false">W46</f>
        <v>3.75</v>
      </c>
      <c r="AI46" s="58" t="n">
        <f aca="false">J46</f>
        <v>0.7085</v>
      </c>
      <c r="AJ46" s="58" t="n">
        <f aca="false">AH46-AI46</f>
        <v>3.0415</v>
      </c>
      <c r="AK46" s="58" t="n">
        <f aca="false">AA46</f>
        <v>0</v>
      </c>
      <c r="AL46" s="58" t="n">
        <f aca="false">AJ46-AK46</f>
        <v>3.0415</v>
      </c>
      <c r="AM46" s="58" t="n">
        <f aca="false">AL46/AH46%</f>
        <v>81.1066666666667</v>
      </c>
      <c r="AN46" s="0" t="str">
        <f aca="false">IF(ISBLANK(Z46),"","Capped")</f>
        <v/>
      </c>
      <c r="AO46" s="0" t="s">
        <v>327</v>
      </c>
      <c r="AP46" s="0" t="str">
        <f aca="false">TRIM(BA46)</f>
        <v>12V155F</v>
      </c>
      <c r="AQ46" s="59" t="e">
        <f aca="false">_xlfn.xlookup(A46,'SYS Allocations'!A:A,'SYS Allocations'!B:B)</f>
        <v>#NAME?</v>
      </c>
      <c r="AR46" s="59" t="e">
        <f aca="false">_xlfn.xlookup(A46,'SYS Allocations'!A:A,'SYS Allocations'!C:C)</f>
        <v>#NAME?</v>
      </c>
      <c r="AS46" s="59" t="e">
        <f aca="false">_xlfn.xlookup(A46,'SYS Allocations'!A:A,'SYS Allocations'!D:D)</f>
        <v>#NAME?</v>
      </c>
      <c r="AT46" s="59" t="e">
        <f aca="false">_xlfn.xlookup(A46,'SYS Allocations'!A:A,'SYS Allocations'!E:E)</f>
        <v>#NAME?</v>
      </c>
      <c r="AU46" s="59" t="e">
        <f aca="false">_xlfn.xlookup(A46,'SYS Allocations'!A:A,'SYS Allocations'!F:F)</f>
        <v>#NAME?</v>
      </c>
      <c r="BA46" s="0" t="str">
        <f aca="false">IFERROR(LEFT(R46,FIND("(",R46,1)-1),R46)</f>
        <v>12V155F</v>
      </c>
    </row>
    <row r="47" customFormat="false" ht="13.15" hidden="false" customHeight="false" outlineLevel="0" collapsed="false">
      <c r="A47" s="20" t="s">
        <v>63</v>
      </c>
      <c r="B47" s="0" t="s">
        <v>361</v>
      </c>
      <c r="C47" s="0" t="s">
        <v>453</v>
      </c>
      <c r="D47" s="0" t="s">
        <v>319</v>
      </c>
      <c r="E47" s="0" t="s">
        <v>454</v>
      </c>
      <c r="F47" s="0" t="s">
        <v>321</v>
      </c>
      <c r="G47" s="0" t="n">
        <v>36.6</v>
      </c>
      <c r="H47" s="0" t="n">
        <v>24</v>
      </c>
      <c r="I47" s="0" t="n">
        <v>285</v>
      </c>
      <c r="J47" s="0" t="n">
        <v>15.5325</v>
      </c>
      <c r="K47" s="45" t="n">
        <v>45436</v>
      </c>
      <c r="L47" s="0" t="n">
        <v>36.70248</v>
      </c>
      <c r="M47" s="0" t="n">
        <v>21.16998</v>
      </c>
      <c r="N47" s="0" t="n">
        <v>28.4381</v>
      </c>
      <c r="O47" s="0" t="n">
        <v>12.9056</v>
      </c>
      <c r="P47" s="0" t="s">
        <v>325</v>
      </c>
      <c r="Q47" s="0" t="s">
        <v>331</v>
      </c>
      <c r="R47" s="0" t="s">
        <v>403</v>
      </c>
      <c r="S47" s="0" t="n">
        <v>28.1232</v>
      </c>
      <c r="T47" s="0" t="n">
        <v>12.5907</v>
      </c>
      <c r="U47" s="0" t="s">
        <v>322</v>
      </c>
      <c r="V47" s="0" t="s">
        <v>455</v>
      </c>
      <c r="W47" s="0" t="n">
        <v>33</v>
      </c>
      <c r="X47" s="0" t="n">
        <v>17.4675</v>
      </c>
      <c r="Y47" s="0" t="n">
        <v>57</v>
      </c>
      <c r="AB47" s="58" t="n">
        <f aca="false">M47-AA47</f>
        <v>21.16998</v>
      </c>
      <c r="AC47" s="58" t="n">
        <f aca="false">O47-AA47</f>
        <v>12.9056</v>
      </c>
      <c r="AD47" s="58" t="n">
        <f aca="false">AB47/L47%</f>
        <v>57.679971489665</v>
      </c>
      <c r="AE47" s="58" t="n">
        <f aca="false">AC47/N47%</f>
        <v>45.3813721732465</v>
      </c>
      <c r="AF47" s="58" t="n">
        <f aca="false">T47-AA47</f>
        <v>12.5907</v>
      </c>
      <c r="AG47" s="58" t="n">
        <f aca="false">AF47/S47%</f>
        <v>44.7697986004438</v>
      </c>
      <c r="AH47" s="58" t="n">
        <f aca="false">W47</f>
        <v>33</v>
      </c>
      <c r="AI47" s="58" t="n">
        <f aca="false">J47</f>
        <v>15.5325</v>
      </c>
      <c r="AJ47" s="58" t="n">
        <f aca="false">AH47-AI47</f>
        <v>17.4675</v>
      </c>
      <c r="AK47" s="58" t="n">
        <f aca="false">AA47</f>
        <v>0</v>
      </c>
      <c r="AL47" s="58" t="n">
        <f aca="false">AJ47-AK47</f>
        <v>17.4675</v>
      </c>
      <c r="AM47" s="58" t="n">
        <f aca="false">AL47/AH47%</f>
        <v>52.9318181818182</v>
      </c>
      <c r="AN47" s="0" t="str">
        <f aca="false">IF(ISBLANK(Z47),"","Capped")</f>
        <v/>
      </c>
      <c r="AO47" s="0" t="s">
        <v>327</v>
      </c>
      <c r="AP47" s="0" t="str">
        <f aca="false">TRIM(BA47)</f>
        <v>DDm100-33</v>
      </c>
      <c r="AQ47" s="59" t="e">
        <f aca="false">_xlfn.xlookup(A47,'SYS Allocations'!A:A,'SYS Allocations'!B:B)</f>
        <v>#NAME?</v>
      </c>
      <c r="AR47" s="59" t="e">
        <f aca="false">_xlfn.xlookup(A47,'SYS Allocations'!A:A,'SYS Allocations'!C:C)</f>
        <v>#NAME?</v>
      </c>
      <c r="AS47" s="59" t="e">
        <f aca="false">_xlfn.xlookup(A47,'SYS Allocations'!A:A,'SYS Allocations'!D:D)</f>
        <v>#NAME?</v>
      </c>
      <c r="AT47" s="59" t="e">
        <f aca="false">_xlfn.xlookup(A47,'SYS Allocations'!A:A,'SYS Allocations'!E:E)</f>
        <v>#NAME?</v>
      </c>
      <c r="AU47" s="59" t="e">
        <f aca="false">_xlfn.xlookup(A47,'SYS Allocations'!A:A,'SYS Allocations'!F:F)</f>
        <v>#NAME?</v>
      </c>
      <c r="BA47" s="0" t="str">
        <f aca="false">IFERROR(LEFT(R47,FIND("(",R47,1)-1),R47)</f>
        <v>DDm100-33</v>
      </c>
    </row>
    <row r="48" customFormat="false" ht="13.15" hidden="false" customHeight="false" outlineLevel="0" collapsed="false">
      <c r="A48" s="20" t="s">
        <v>64</v>
      </c>
      <c r="B48" s="0" t="s">
        <v>376</v>
      </c>
      <c r="C48" s="0" t="s">
        <v>407</v>
      </c>
      <c r="D48" s="0" t="s">
        <v>319</v>
      </c>
      <c r="E48" s="0" t="s">
        <v>456</v>
      </c>
      <c r="F48" s="0" t="s">
        <v>432</v>
      </c>
      <c r="G48" s="0" t="n">
        <v>55</v>
      </c>
      <c r="H48" s="0" t="n">
        <v>75</v>
      </c>
      <c r="I48" s="0" t="n">
        <v>945</v>
      </c>
      <c r="J48" s="0" t="n">
        <v>51.5025</v>
      </c>
      <c r="K48" s="45" t="n">
        <v>45575</v>
      </c>
      <c r="L48" s="0" t="n">
        <v>177.452</v>
      </c>
      <c r="M48" s="0" t="n">
        <v>125.9495</v>
      </c>
      <c r="N48" s="0" t="n">
        <v>123.715</v>
      </c>
      <c r="O48" s="0" t="n">
        <v>72.2125</v>
      </c>
      <c r="P48" s="0" t="s">
        <v>358</v>
      </c>
      <c r="Q48" s="0" t="s">
        <v>331</v>
      </c>
      <c r="R48" s="0" t="s">
        <v>345</v>
      </c>
      <c r="S48" s="0" t="n">
        <v>159.9912</v>
      </c>
      <c r="T48" s="0" t="n">
        <v>108.4887</v>
      </c>
      <c r="U48" s="0" t="s">
        <v>337</v>
      </c>
      <c r="V48" s="0" t="s">
        <v>457</v>
      </c>
      <c r="W48" s="0" t="n">
        <v>101.25</v>
      </c>
      <c r="X48" s="0" t="n">
        <v>49.7475</v>
      </c>
      <c r="Y48" s="0" t="n">
        <v>31</v>
      </c>
      <c r="AB48" s="58" t="n">
        <f aca="false">M48-AA48</f>
        <v>125.9495</v>
      </c>
      <c r="AC48" s="58" t="n">
        <f aca="false">O48-AA48</f>
        <v>72.2125</v>
      </c>
      <c r="AD48" s="58" t="n">
        <f aca="false">AB48/L48%</f>
        <v>70.9766584766585</v>
      </c>
      <c r="AE48" s="58" t="n">
        <f aca="false">AC48/N48%</f>
        <v>58.3700440528634</v>
      </c>
      <c r="AF48" s="58" t="n">
        <f aca="false">T48-AA48</f>
        <v>108.4887</v>
      </c>
      <c r="AG48" s="58" t="n">
        <f aca="false">AF48/S48%</f>
        <v>67.8091670041852</v>
      </c>
      <c r="AH48" s="61" t="n">
        <f aca="false">AVERAGE(W48:W49)</f>
        <v>101.25</v>
      </c>
      <c r="AI48" s="61" t="n">
        <f aca="false">SUM(J48:J49)</f>
        <v>102.8415</v>
      </c>
      <c r="AJ48" s="61" t="n">
        <f aca="false">AH48-AI48</f>
        <v>-1.5915</v>
      </c>
      <c r="AK48" s="61" t="n">
        <f aca="false">SUM(AA48:AA49)</f>
        <v>0</v>
      </c>
      <c r="AL48" s="61" t="n">
        <f aca="false">AJ48-AK48</f>
        <v>-1.5915</v>
      </c>
      <c r="AM48" s="61" t="n">
        <f aca="false">AL48/AH48%</f>
        <v>-1.57185185185185</v>
      </c>
      <c r="AN48" s="0" t="str">
        <f aca="false">IF(ISBLANK(Z48),"","Capped")</f>
        <v/>
      </c>
      <c r="AO48" s="0" t="s">
        <v>393</v>
      </c>
      <c r="AP48" s="0" t="str">
        <f aca="false">TRIM(BA48)</f>
        <v>DDm125-33</v>
      </c>
      <c r="AQ48" s="59" t="e">
        <f aca="false">_xlfn.xlookup(A48,'SYS Allocations'!A:A,'SYS Allocations'!B:B)</f>
        <v>#NAME?</v>
      </c>
      <c r="AR48" s="59" t="e">
        <f aca="false">_xlfn.xlookup(A48,'SYS Allocations'!A:A,'SYS Allocations'!C:C)</f>
        <v>#NAME?</v>
      </c>
      <c r="AS48" s="59" t="e">
        <f aca="false">_xlfn.xlookup(A48,'SYS Allocations'!A:A,'SYS Allocations'!D:D)</f>
        <v>#NAME?</v>
      </c>
      <c r="AT48" s="59" t="e">
        <f aca="false">_xlfn.xlookup(A48,'SYS Allocations'!A:A,'SYS Allocations'!E:E)</f>
        <v>#NAME?</v>
      </c>
      <c r="AU48" s="59" t="e">
        <f aca="false">_xlfn.xlookup(A48,'SYS Allocations'!A:A,'SYS Allocations'!F:F)</f>
        <v>#NAME?</v>
      </c>
      <c r="BA48" s="0" t="str">
        <f aca="false">IFERROR(LEFT(R48,FIND("(",R48,1)-1),R48)</f>
        <v>DDm125-33</v>
      </c>
    </row>
    <row r="49" customFormat="false" ht="13.15" hidden="false" customHeight="false" outlineLevel="0" collapsed="false">
      <c r="A49" s="20" t="s">
        <v>65</v>
      </c>
      <c r="B49" s="0" t="s">
        <v>376</v>
      </c>
      <c r="C49" s="0" t="s">
        <v>407</v>
      </c>
      <c r="D49" s="0" t="s">
        <v>319</v>
      </c>
      <c r="E49" s="0" t="s">
        <v>456</v>
      </c>
      <c r="F49" s="0" t="s">
        <v>432</v>
      </c>
      <c r="G49" s="0" t="n">
        <v>55</v>
      </c>
      <c r="H49" s="0" t="n">
        <v>75</v>
      </c>
      <c r="I49" s="0" t="n">
        <v>942</v>
      </c>
      <c r="J49" s="0" t="n">
        <v>51.339</v>
      </c>
      <c r="K49" s="45" t="n">
        <v>45575</v>
      </c>
      <c r="L49" s="0" t="n">
        <v>177.452</v>
      </c>
      <c r="M49" s="0" t="n">
        <v>126.113</v>
      </c>
      <c r="N49" s="0" t="n">
        <v>123.715</v>
      </c>
      <c r="O49" s="0" t="n">
        <v>72.376</v>
      </c>
      <c r="P49" s="0" t="s">
        <v>358</v>
      </c>
      <c r="Q49" s="0" t="s">
        <v>331</v>
      </c>
      <c r="R49" s="0" t="s">
        <v>345</v>
      </c>
      <c r="S49" s="0" t="n">
        <v>159.9912</v>
      </c>
      <c r="T49" s="0" t="n">
        <v>108.6522</v>
      </c>
      <c r="U49" s="0" t="s">
        <v>337</v>
      </c>
      <c r="V49" s="0" t="s">
        <v>457</v>
      </c>
      <c r="W49" s="0" t="n">
        <v>101.25</v>
      </c>
      <c r="X49" s="0" t="n">
        <v>49.911</v>
      </c>
      <c r="Y49" s="0" t="n">
        <v>31</v>
      </c>
      <c r="AB49" s="58" t="n">
        <f aca="false">M49-AA49</f>
        <v>126.113</v>
      </c>
      <c r="AC49" s="58" t="n">
        <f aca="false">O49-AA49</f>
        <v>72.376</v>
      </c>
      <c r="AD49" s="58" t="n">
        <f aca="false">AB49/L49%</f>
        <v>71.0687960687961</v>
      </c>
      <c r="AE49" s="58" t="n">
        <f aca="false">AC49/N49%</f>
        <v>58.5022026431718</v>
      </c>
      <c r="AF49" s="58" t="n">
        <f aca="false">T49-AA49</f>
        <v>108.6522</v>
      </c>
      <c r="AG49" s="58" t="n">
        <f aca="false">AF49/S49%</f>
        <v>67.9113601248069</v>
      </c>
      <c r="AH49" s="61"/>
      <c r="AI49" s="61"/>
      <c r="AJ49" s="61"/>
      <c r="AK49" s="61"/>
      <c r="AL49" s="61"/>
      <c r="AM49" s="61"/>
      <c r="AN49" s="0" t="str">
        <f aca="false">IF(ISBLANK(Z49),"","Capped")</f>
        <v/>
      </c>
      <c r="AO49" s="0" t="s">
        <v>393</v>
      </c>
      <c r="AP49" s="0" t="str">
        <f aca="false">TRIM(BA49)</f>
        <v>DDm125-33</v>
      </c>
      <c r="AQ49" s="59" t="e">
        <f aca="false">_xlfn.xlookup(A49,'SYS Allocations'!A:A,'SYS Allocations'!B:B)</f>
        <v>#NAME?</v>
      </c>
      <c r="AR49" s="59" t="e">
        <f aca="false">_xlfn.xlookup(A49,'SYS Allocations'!A:A,'SYS Allocations'!C:C)</f>
        <v>#NAME?</v>
      </c>
      <c r="AS49" s="59" t="e">
        <f aca="false">_xlfn.xlookup(A49,'SYS Allocations'!A:A,'SYS Allocations'!D:D)</f>
        <v>#NAME?</v>
      </c>
      <c r="AT49" s="59" t="e">
        <f aca="false">_xlfn.xlookup(A49,'SYS Allocations'!A:A,'SYS Allocations'!E:E)</f>
        <v>#NAME?</v>
      </c>
      <c r="AU49" s="59" t="e">
        <f aca="false">_xlfn.xlookup(A49,'SYS Allocations'!A:A,'SYS Allocations'!F:F)</f>
        <v>#NAME?</v>
      </c>
      <c r="BA49" s="0" t="str">
        <f aca="false">IFERROR(LEFT(R49,FIND("(",R49,1)-1),R49)</f>
        <v>DDm125-33</v>
      </c>
    </row>
    <row r="50" customFormat="false" ht="13.15" hidden="false" customHeight="false" outlineLevel="0" collapsed="false">
      <c r="A50" s="20" t="s">
        <v>66</v>
      </c>
      <c r="B50" s="0" t="s">
        <v>376</v>
      </c>
      <c r="C50" s="0" t="s">
        <v>407</v>
      </c>
      <c r="D50" s="0" t="s">
        <v>319</v>
      </c>
      <c r="E50" s="0" t="s">
        <v>458</v>
      </c>
      <c r="F50" s="0" t="s">
        <v>383</v>
      </c>
      <c r="G50" s="0" t="n">
        <v>55</v>
      </c>
      <c r="H50" s="0" t="n">
        <v>88</v>
      </c>
      <c r="I50" s="0" t="n">
        <v>1232</v>
      </c>
      <c r="J50" s="0" t="n">
        <v>67.144</v>
      </c>
      <c r="K50" s="45" t="n">
        <v>45628</v>
      </c>
      <c r="L50" s="0" t="n">
        <v>208.626</v>
      </c>
      <c r="M50" s="0" t="n">
        <v>141.482</v>
      </c>
      <c r="N50" s="0" t="n">
        <v>198.6525</v>
      </c>
      <c r="O50" s="0" t="n">
        <v>131.5085</v>
      </c>
      <c r="P50" s="0" t="s">
        <v>374</v>
      </c>
      <c r="Q50" s="0" t="s">
        <v>331</v>
      </c>
      <c r="R50" s="0" t="s">
        <v>412</v>
      </c>
      <c r="S50" s="0" t="n">
        <v>96.1372800000002</v>
      </c>
      <c r="T50" s="0" t="n">
        <v>28.9932800000002</v>
      </c>
      <c r="U50" s="0" t="s">
        <v>360</v>
      </c>
      <c r="V50" s="0" t="s">
        <v>459</v>
      </c>
      <c r="W50" s="0" t="n">
        <v>405</v>
      </c>
      <c r="X50" s="0" t="n">
        <v>337.856</v>
      </c>
      <c r="Y50" s="0" t="n">
        <v>130</v>
      </c>
      <c r="AB50" s="58" t="n">
        <f aca="false">M50-AA50</f>
        <v>141.482</v>
      </c>
      <c r="AC50" s="58" t="n">
        <f aca="false">O50-AA50</f>
        <v>131.5085</v>
      </c>
      <c r="AD50" s="58" t="n">
        <f aca="false">AB50/L50%</f>
        <v>67.816091954023</v>
      </c>
      <c r="AE50" s="58" t="n">
        <f aca="false">AC50/N50%</f>
        <v>66.2002743484225</v>
      </c>
      <c r="AF50" s="58" t="n">
        <f aca="false">T50-AA50</f>
        <v>28.9932800000002</v>
      </c>
      <c r="AG50" s="58" t="n">
        <f aca="false">AF50/S50%</f>
        <v>30.1582070971845</v>
      </c>
      <c r="AH50" s="61" t="n">
        <f aca="false">AVERAGE(W50:W51)</f>
        <v>405</v>
      </c>
      <c r="AI50" s="61" t="n">
        <f aca="false">SUM(J50:J51)</f>
        <v>139.738</v>
      </c>
      <c r="AJ50" s="61" t="n">
        <f aca="false">AH50-AI50</f>
        <v>265.262</v>
      </c>
      <c r="AK50" s="61" t="n">
        <f aca="false">SUM(AA50:AA51)</f>
        <v>0</v>
      </c>
      <c r="AL50" s="61" t="n">
        <f aca="false">AJ50-AK50</f>
        <v>265.262</v>
      </c>
      <c r="AM50" s="61" t="n">
        <f aca="false">AL50/AH50%</f>
        <v>65.4967901234568</v>
      </c>
      <c r="AN50" s="0" t="str">
        <f aca="false">IF(ISBLANK(Z50),"","Capped")</f>
        <v/>
      </c>
      <c r="AO50" s="0" t="s">
        <v>393</v>
      </c>
      <c r="AP50" s="0" t="str">
        <f aca="false">TRIM(BA50)</f>
        <v>2CP2000</v>
      </c>
      <c r="AQ50" s="59" t="e">
        <f aca="false">_xlfn.xlookup(A50,'SYS Allocations'!A:A,'SYS Allocations'!B:B)</f>
        <v>#NAME?</v>
      </c>
      <c r="AR50" s="59" t="e">
        <f aca="false">_xlfn.xlookup(A50,'SYS Allocations'!A:A,'SYS Allocations'!C:C)</f>
        <v>#NAME?</v>
      </c>
      <c r="AS50" s="59" t="e">
        <f aca="false">_xlfn.xlookup(A50,'SYS Allocations'!A:A,'SYS Allocations'!D:D)</f>
        <v>#NAME?</v>
      </c>
      <c r="AT50" s="59" t="e">
        <f aca="false">_xlfn.xlookup(A50,'SYS Allocations'!A:A,'SYS Allocations'!E:E)</f>
        <v>#NAME?</v>
      </c>
      <c r="AU50" s="59" t="e">
        <f aca="false">_xlfn.xlookup(A50,'SYS Allocations'!A:A,'SYS Allocations'!F:F)</f>
        <v>#NAME?</v>
      </c>
      <c r="BA50" s="0" t="str">
        <f aca="false">IFERROR(LEFT(R50,FIND("(",R50,1)-1),R50)</f>
        <v>2CP2000</v>
      </c>
    </row>
    <row r="51" customFormat="false" ht="13.15" hidden="false" customHeight="false" outlineLevel="0" collapsed="false">
      <c r="A51" s="20" t="s">
        <v>67</v>
      </c>
      <c r="B51" s="0" t="s">
        <v>376</v>
      </c>
      <c r="C51" s="0" t="s">
        <v>407</v>
      </c>
      <c r="D51" s="0" t="s">
        <v>319</v>
      </c>
      <c r="E51" s="0" t="s">
        <v>458</v>
      </c>
      <c r="F51" s="0" t="s">
        <v>383</v>
      </c>
      <c r="G51" s="0" t="n">
        <v>55</v>
      </c>
      <c r="H51" s="0" t="n">
        <v>88</v>
      </c>
      <c r="I51" s="0" t="n">
        <v>1332</v>
      </c>
      <c r="J51" s="0" t="n">
        <v>72.594</v>
      </c>
      <c r="K51" s="45" t="n">
        <v>45628</v>
      </c>
      <c r="L51" s="0" t="n">
        <v>208.626</v>
      </c>
      <c r="M51" s="0" t="n">
        <v>136.032</v>
      </c>
      <c r="N51" s="0" t="n">
        <v>198.6525</v>
      </c>
      <c r="O51" s="0" t="n">
        <v>126.0585</v>
      </c>
      <c r="P51" s="0" t="s">
        <v>374</v>
      </c>
      <c r="Q51" s="0" t="s">
        <v>331</v>
      </c>
      <c r="R51" s="0" t="s">
        <v>412</v>
      </c>
      <c r="S51" s="0" t="n">
        <v>96.1372800000002</v>
      </c>
      <c r="T51" s="0" t="n">
        <v>23.5432800000002</v>
      </c>
      <c r="U51" s="0" t="s">
        <v>360</v>
      </c>
      <c r="V51" s="0" t="s">
        <v>459</v>
      </c>
      <c r="W51" s="0" t="n">
        <v>405</v>
      </c>
      <c r="X51" s="0" t="n">
        <v>332.406</v>
      </c>
      <c r="Y51" s="0" t="n">
        <v>130</v>
      </c>
      <c r="AB51" s="58" t="n">
        <f aca="false">M51-AA51</f>
        <v>136.032</v>
      </c>
      <c r="AC51" s="58" t="n">
        <f aca="false">O51-AA51</f>
        <v>126.0585</v>
      </c>
      <c r="AD51" s="58" t="n">
        <f aca="false">AB51/L51%</f>
        <v>65.2037617554859</v>
      </c>
      <c r="AE51" s="58" t="n">
        <f aca="false">AC51/N51%</f>
        <v>63.4567901234568</v>
      </c>
      <c r="AF51" s="58" t="n">
        <f aca="false">T51-AA51</f>
        <v>23.5432800000002</v>
      </c>
      <c r="AG51" s="58" t="n">
        <f aca="false">AF51/S51%</f>
        <v>24.4892304005274</v>
      </c>
      <c r="AH51" s="61"/>
      <c r="AI51" s="61"/>
      <c r="AJ51" s="61"/>
      <c r="AK51" s="61"/>
      <c r="AL51" s="61"/>
      <c r="AM51" s="61"/>
      <c r="AN51" s="0" t="str">
        <f aca="false">IF(ISBLANK(Z51),"","Capped")</f>
        <v/>
      </c>
      <c r="AO51" s="0" t="s">
        <v>393</v>
      </c>
      <c r="AP51" s="0" t="str">
        <f aca="false">TRIM(BA51)</f>
        <v>2CP2000</v>
      </c>
      <c r="AQ51" s="59" t="e">
        <f aca="false">_xlfn.xlookup(A51,'SYS Allocations'!A:A,'SYS Allocations'!B:B)</f>
        <v>#NAME?</v>
      </c>
      <c r="AR51" s="59" t="e">
        <f aca="false">_xlfn.xlookup(A51,'SYS Allocations'!A:A,'SYS Allocations'!C:C)</f>
        <v>#NAME?</v>
      </c>
      <c r="AS51" s="59" t="e">
        <f aca="false">_xlfn.xlookup(A51,'SYS Allocations'!A:A,'SYS Allocations'!D:D)</f>
        <v>#NAME?</v>
      </c>
      <c r="AT51" s="59" t="e">
        <f aca="false">_xlfn.xlookup(A51,'SYS Allocations'!A:A,'SYS Allocations'!E:E)</f>
        <v>#NAME?</v>
      </c>
      <c r="AU51" s="59" t="e">
        <f aca="false">_xlfn.xlookup(A51,'SYS Allocations'!A:A,'SYS Allocations'!F:F)</f>
        <v>#NAME?</v>
      </c>
      <c r="BA51" s="0" t="str">
        <f aca="false">IFERROR(LEFT(R51,FIND("(",R51,1)-1),R51)</f>
        <v>2CP2000</v>
      </c>
    </row>
    <row r="52" customFormat="false" ht="13.15" hidden="false" customHeight="false" outlineLevel="0" collapsed="false">
      <c r="A52" s="20" t="s">
        <v>68</v>
      </c>
      <c r="B52" s="0" t="s">
        <v>342</v>
      </c>
      <c r="C52" s="0" t="s">
        <v>460</v>
      </c>
      <c r="D52" s="0" t="s">
        <v>390</v>
      </c>
      <c r="E52" s="0" t="s">
        <v>461</v>
      </c>
      <c r="F52" s="0" t="s">
        <v>321</v>
      </c>
      <c r="G52" s="0" t="n">
        <v>36.6</v>
      </c>
      <c r="H52" s="0" t="n">
        <v>63</v>
      </c>
      <c r="I52" s="0" t="n">
        <v>1196</v>
      </c>
      <c r="J52" s="0" t="n">
        <v>65.182</v>
      </c>
      <c r="K52" s="45" t="n">
        <v>45659</v>
      </c>
      <c r="L52" s="0" t="n">
        <v>98.93712</v>
      </c>
      <c r="M52" s="0" t="n">
        <v>33.75512</v>
      </c>
      <c r="N52" s="0" t="n">
        <v>80.0714</v>
      </c>
      <c r="O52" s="0" t="n">
        <v>14.8894</v>
      </c>
      <c r="P52" s="0" t="s">
        <v>344</v>
      </c>
      <c r="Q52" s="0" t="s">
        <v>331</v>
      </c>
      <c r="R52" s="0" t="s">
        <v>403</v>
      </c>
      <c r="S52" s="0" t="n">
        <v>70.308</v>
      </c>
      <c r="T52" s="0" t="n">
        <v>5.12600000000002</v>
      </c>
      <c r="U52" s="0" t="s">
        <v>344</v>
      </c>
      <c r="V52" s="0" t="s">
        <v>462</v>
      </c>
      <c r="W52" s="0" t="n">
        <v>139.5</v>
      </c>
      <c r="X52" s="0" t="n">
        <v>74.318</v>
      </c>
      <c r="Y52" s="0" t="n">
        <v>18</v>
      </c>
      <c r="Z52" s="0" t="s">
        <v>275</v>
      </c>
      <c r="AB52" s="58" t="n">
        <f aca="false">M52-AA52</f>
        <v>33.75512</v>
      </c>
      <c r="AC52" s="58" t="n">
        <f aca="false">O52-AA52</f>
        <v>14.8894</v>
      </c>
      <c r="AD52" s="58" t="n">
        <f aca="false">AB52/L52%</f>
        <v>34.1177507491627</v>
      </c>
      <c r="AE52" s="58" t="n">
        <f aca="false">AC52/N52%</f>
        <v>18.595153825211</v>
      </c>
      <c r="AF52" s="58" t="n">
        <f aca="false">T52-AA52</f>
        <v>5.12600000000002</v>
      </c>
      <c r="AG52" s="58" t="n">
        <f aca="false">AF52/S52%</f>
        <v>7.29077772088528</v>
      </c>
      <c r="AH52" s="58" t="n">
        <f aca="false">W52</f>
        <v>139.5</v>
      </c>
      <c r="AI52" s="58" t="n">
        <f aca="false">J52</f>
        <v>65.182</v>
      </c>
      <c r="AJ52" s="58" t="n">
        <f aca="false">AH52-AI52</f>
        <v>74.318</v>
      </c>
      <c r="AK52" s="58" t="n">
        <f aca="false">AA52</f>
        <v>0</v>
      </c>
      <c r="AL52" s="58" t="n">
        <f aca="false">AJ52-AK52</f>
        <v>74.318</v>
      </c>
      <c r="AM52" s="58" t="n">
        <f aca="false">AL52/AH52%</f>
        <v>53.2745519713262</v>
      </c>
      <c r="AN52" s="0" t="str">
        <f aca="false">IF(ISBLANK(Z52),"","Capped")</f>
        <v>Capped</v>
      </c>
      <c r="AO52" s="0" t="s">
        <v>327</v>
      </c>
      <c r="AP52" s="0" t="str">
        <f aca="false">TRIM(BA52)</f>
        <v>DDm100-33</v>
      </c>
      <c r="AQ52" s="59" t="e">
        <f aca="false">_xlfn.xlookup(A52,'SYS Allocations'!A:A,'SYS Allocations'!B:B)</f>
        <v>#NAME?</v>
      </c>
      <c r="AR52" s="59" t="e">
        <f aca="false">_xlfn.xlookup(A52,'SYS Allocations'!A:A,'SYS Allocations'!C:C)</f>
        <v>#NAME?</v>
      </c>
      <c r="AS52" s="59" t="e">
        <f aca="false">_xlfn.xlookup(A52,'SYS Allocations'!A:A,'SYS Allocations'!D:D)</f>
        <v>#NAME?</v>
      </c>
      <c r="AT52" s="59" t="e">
        <f aca="false">_xlfn.xlookup(A52,'SYS Allocations'!A:A,'SYS Allocations'!E:E)</f>
        <v>#NAME?</v>
      </c>
      <c r="AU52" s="59" t="e">
        <f aca="false">_xlfn.xlookup(A52,'SYS Allocations'!A:A,'SYS Allocations'!F:F)</f>
        <v>#NAME?</v>
      </c>
      <c r="BA52" s="0" t="str">
        <f aca="false">IFERROR(LEFT(R52,FIND("(",R52,1)-1),R52)</f>
        <v>DDm100-33</v>
      </c>
    </row>
    <row r="53" customFormat="false" ht="13.15" hidden="false" customHeight="false" outlineLevel="0" collapsed="false">
      <c r="A53" s="20" t="s">
        <v>69</v>
      </c>
      <c r="B53" s="0" t="s">
        <v>342</v>
      </c>
      <c r="C53" s="0" t="s">
        <v>460</v>
      </c>
      <c r="D53" s="0" t="s">
        <v>390</v>
      </c>
      <c r="E53" s="0" t="s">
        <v>461</v>
      </c>
      <c r="F53" s="0" t="s">
        <v>321</v>
      </c>
      <c r="G53" s="0" t="n">
        <v>36.6</v>
      </c>
      <c r="H53" s="0" t="n">
        <v>69</v>
      </c>
      <c r="I53" s="0" t="n">
        <v>682</v>
      </c>
      <c r="J53" s="0" t="n">
        <v>37.169</v>
      </c>
      <c r="K53" s="45" t="n">
        <v>45659</v>
      </c>
      <c r="L53" s="0" t="n">
        <v>108.51168</v>
      </c>
      <c r="M53" s="0" t="n">
        <v>71.34268</v>
      </c>
      <c r="N53" s="0" t="n">
        <v>81.1396</v>
      </c>
      <c r="O53" s="0" t="n">
        <v>43.9706</v>
      </c>
      <c r="P53" s="0" t="s">
        <v>344</v>
      </c>
      <c r="Q53" s="0" t="s">
        <v>331</v>
      </c>
      <c r="R53" s="0" t="s">
        <v>345</v>
      </c>
      <c r="S53" s="0" t="n">
        <v>88.8840000000002</v>
      </c>
      <c r="T53" s="0" t="n">
        <v>51.7150000000002</v>
      </c>
      <c r="U53" s="0" t="s">
        <v>344</v>
      </c>
      <c r="V53" s="0" t="s">
        <v>462</v>
      </c>
      <c r="W53" s="0" t="n">
        <v>139.5</v>
      </c>
      <c r="X53" s="0" t="n">
        <v>102.331</v>
      </c>
      <c r="Y53" s="0" t="n">
        <v>18</v>
      </c>
      <c r="Z53" s="0" t="s">
        <v>275</v>
      </c>
      <c r="AB53" s="58" t="n">
        <f aca="false">M53-AA53</f>
        <v>71.34268</v>
      </c>
      <c r="AC53" s="58" t="n">
        <f aca="false">O53-AA53</f>
        <v>43.9706</v>
      </c>
      <c r="AD53" s="58" t="n">
        <f aca="false">AB53/L53%</f>
        <v>65.7465445194471</v>
      </c>
      <c r="AE53" s="58" t="n">
        <f aca="false">AC53/N53%</f>
        <v>54.1912950026867</v>
      </c>
      <c r="AF53" s="58" t="n">
        <f aca="false">T53-AA53</f>
        <v>51.7150000000002</v>
      </c>
      <c r="AG53" s="58" t="n">
        <f aca="false">AF53/S53%</f>
        <v>58.1825750416274</v>
      </c>
      <c r="AH53" s="58" t="n">
        <f aca="false">W53</f>
        <v>139.5</v>
      </c>
      <c r="AI53" s="58" t="n">
        <f aca="false">J53</f>
        <v>37.169</v>
      </c>
      <c r="AJ53" s="58" t="n">
        <f aca="false">AH53-AI53</f>
        <v>102.331</v>
      </c>
      <c r="AK53" s="58" t="n">
        <f aca="false">AA53</f>
        <v>0</v>
      </c>
      <c r="AL53" s="58" t="n">
        <f aca="false">AJ53-AK53</f>
        <v>102.331</v>
      </c>
      <c r="AM53" s="58" t="n">
        <f aca="false">AL53/AH53%</f>
        <v>73.3555555555556</v>
      </c>
      <c r="AN53" s="0" t="str">
        <f aca="false">IF(ISBLANK(Z53),"","Capped")</f>
        <v>Capped</v>
      </c>
      <c r="AO53" s="0" t="s">
        <v>327</v>
      </c>
      <c r="AP53" s="0" t="str">
        <f aca="false">TRIM(BA53)</f>
        <v>DDm125-33</v>
      </c>
      <c r="AQ53" s="59" t="e">
        <f aca="false">_xlfn.xlookup(A53,'SYS Allocations'!A:A,'SYS Allocations'!B:B)</f>
        <v>#NAME?</v>
      </c>
      <c r="AR53" s="59" t="e">
        <f aca="false">_xlfn.xlookup(A53,'SYS Allocations'!A:A,'SYS Allocations'!C:C)</f>
        <v>#NAME?</v>
      </c>
      <c r="AS53" s="59" t="e">
        <f aca="false">_xlfn.xlookup(A53,'SYS Allocations'!A:A,'SYS Allocations'!D:D)</f>
        <v>#NAME?</v>
      </c>
      <c r="AT53" s="59" t="e">
        <f aca="false">_xlfn.xlookup(A53,'SYS Allocations'!A:A,'SYS Allocations'!E:E)</f>
        <v>#NAME?</v>
      </c>
      <c r="AU53" s="59" t="e">
        <f aca="false">_xlfn.xlookup(A53,'SYS Allocations'!A:A,'SYS Allocations'!F:F)</f>
        <v>#NAME?</v>
      </c>
      <c r="BA53" s="0" t="str">
        <f aca="false">IFERROR(LEFT(R53,FIND("(",R53,1)-1),R53)</f>
        <v>DDm125-33</v>
      </c>
    </row>
    <row r="54" customFormat="false" ht="13.15" hidden="false" customHeight="false" outlineLevel="0" collapsed="false">
      <c r="A54" s="20" t="s">
        <v>70</v>
      </c>
      <c r="B54" s="0" t="s">
        <v>371</v>
      </c>
      <c r="C54" s="0" t="s">
        <v>372</v>
      </c>
      <c r="D54" s="0" t="s">
        <v>390</v>
      </c>
      <c r="E54" s="0" t="s">
        <v>463</v>
      </c>
      <c r="F54" s="0" t="s">
        <v>383</v>
      </c>
      <c r="G54" s="0" t="n">
        <v>55</v>
      </c>
      <c r="H54" s="0" t="n">
        <v>29</v>
      </c>
      <c r="I54" s="0" t="n">
        <v>657</v>
      </c>
      <c r="J54" s="0" t="n">
        <v>35.8065</v>
      </c>
      <c r="K54" s="45" t="n">
        <v>45659</v>
      </c>
      <c r="L54" s="0" t="n">
        <v>67.144</v>
      </c>
      <c r="M54" s="0" t="n">
        <v>31.3375</v>
      </c>
      <c r="N54" s="0" t="n">
        <v>49.05</v>
      </c>
      <c r="O54" s="0" t="n">
        <v>13.2435</v>
      </c>
      <c r="P54" s="0" t="s">
        <v>337</v>
      </c>
      <c r="Q54" s="0" t="s">
        <v>331</v>
      </c>
      <c r="R54" s="0" t="s">
        <v>403</v>
      </c>
      <c r="S54" s="0" t="n">
        <v>56.2464000000001</v>
      </c>
      <c r="T54" s="0" t="n">
        <v>20.4399000000001</v>
      </c>
      <c r="U54" s="0" t="s">
        <v>344</v>
      </c>
      <c r="V54" s="0" t="s">
        <v>464</v>
      </c>
      <c r="W54" s="0" t="n">
        <v>87.75</v>
      </c>
      <c r="X54" s="0" t="n">
        <v>51.9435</v>
      </c>
      <c r="Y54" s="0" t="n">
        <v>45</v>
      </c>
      <c r="Z54" s="0" t="s">
        <v>465</v>
      </c>
      <c r="AB54" s="58" t="n">
        <f aca="false">M54-AA54</f>
        <v>31.3375</v>
      </c>
      <c r="AC54" s="58" t="n">
        <f aca="false">O54-AA54</f>
        <v>13.2435</v>
      </c>
      <c r="AD54" s="58" t="n">
        <f aca="false">AB54/L54%</f>
        <v>46.6720779220779</v>
      </c>
      <c r="AE54" s="58" t="n">
        <f aca="false">AC54/N54%</f>
        <v>27</v>
      </c>
      <c r="AF54" s="58" t="n">
        <f aca="false">T54-AA54</f>
        <v>20.4399000000001</v>
      </c>
      <c r="AG54" s="58" t="n">
        <f aca="false">AF54/S54%</f>
        <v>36.3399257552485</v>
      </c>
      <c r="AH54" s="58" t="n">
        <f aca="false">W54</f>
        <v>87.75</v>
      </c>
      <c r="AI54" s="58" t="n">
        <f aca="false">J54</f>
        <v>35.8065</v>
      </c>
      <c r="AJ54" s="58" t="n">
        <f aca="false">AH54-AI54</f>
        <v>51.9435</v>
      </c>
      <c r="AK54" s="58" t="n">
        <f aca="false">AA54</f>
        <v>0</v>
      </c>
      <c r="AL54" s="58" t="n">
        <f aca="false">AJ54-AK54</f>
        <v>51.9435</v>
      </c>
      <c r="AM54" s="58" t="n">
        <f aca="false">AL54/AH54%</f>
        <v>59.1948717948718</v>
      </c>
      <c r="AN54" s="0" t="str">
        <f aca="false">IF(ISBLANK(Z54),"","Capped")</f>
        <v>Capped</v>
      </c>
      <c r="AO54" s="0" t="s">
        <v>327</v>
      </c>
      <c r="AP54" s="0" t="str">
        <f aca="false">TRIM(BA54)</f>
        <v>DDm100-33</v>
      </c>
      <c r="AQ54" s="59" t="e">
        <f aca="false">_xlfn.xlookup(A54,'SYS Allocations'!A:A,'SYS Allocations'!B:B)</f>
        <v>#NAME?</v>
      </c>
      <c r="AR54" s="59" t="e">
        <f aca="false">_xlfn.xlookup(A54,'SYS Allocations'!A:A,'SYS Allocations'!C:C)</f>
        <v>#NAME?</v>
      </c>
      <c r="AS54" s="59" t="e">
        <f aca="false">_xlfn.xlookup(A54,'SYS Allocations'!A:A,'SYS Allocations'!D:D)</f>
        <v>#NAME?</v>
      </c>
      <c r="AT54" s="59" t="e">
        <f aca="false">_xlfn.xlookup(A54,'SYS Allocations'!A:A,'SYS Allocations'!E:E)</f>
        <v>#NAME?</v>
      </c>
      <c r="AU54" s="59" t="e">
        <f aca="false">_xlfn.xlookup(A54,'SYS Allocations'!A:A,'SYS Allocations'!F:F)</f>
        <v>#NAME?</v>
      </c>
      <c r="BA54" s="0" t="str">
        <f aca="false">IFERROR(LEFT(R54,FIND("(",R54,1)-1),R54)</f>
        <v>DDm100-33</v>
      </c>
    </row>
    <row r="55" customFormat="false" ht="13.15" hidden="false" customHeight="false" outlineLevel="0" collapsed="false">
      <c r="A55" s="20" t="s">
        <v>71</v>
      </c>
      <c r="B55" s="0" t="s">
        <v>371</v>
      </c>
      <c r="C55" s="0" t="s">
        <v>372</v>
      </c>
      <c r="D55" s="0" t="s">
        <v>390</v>
      </c>
      <c r="E55" s="0" t="s">
        <v>466</v>
      </c>
      <c r="F55" s="0" t="s">
        <v>321</v>
      </c>
      <c r="G55" s="0" t="n">
        <v>36.6</v>
      </c>
      <c r="H55" s="0" t="n">
        <v>60</v>
      </c>
      <c r="I55" s="0" t="n">
        <v>1029</v>
      </c>
      <c r="J55" s="0" t="n">
        <v>56.0805</v>
      </c>
      <c r="K55" s="45" t="n">
        <v>45507</v>
      </c>
      <c r="L55" s="0" t="n">
        <v>94.14984</v>
      </c>
      <c r="M55" s="0" t="n">
        <v>38.06934</v>
      </c>
      <c r="N55" s="0" t="n">
        <v>74.0873</v>
      </c>
      <c r="O55" s="0" t="n">
        <v>18.0068</v>
      </c>
      <c r="P55" s="0" t="s">
        <v>337</v>
      </c>
      <c r="Q55" s="0" t="s">
        <v>331</v>
      </c>
      <c r="R55" s="0" t="s">
        <v>345</v>
      </c>
      <c r="S55" s="0" t="n">
        <v>71.1072000000002</v>
      </c>
      <c r="T55" s="0" t="n">
        <v>15.0267000000002</v>
      </c>
      <c r="U55" s="0" t="s">
        <v>446</v>
      </c>
      <c r="V55" s="0" t="s">
        <v>467</v>
      </c>
      <c r="W55" s="0" t="n">
        <v>94.5</v>
      </c>
      <c r="X55" s="0" t="n">
        <v>38.4195</v>
      </c>
      <c r="Y55" s="0" t="n">
        <v>14</v>
      </c>
      <c r="Z55" s="0" t="s">
        <v>275</v>
      </c>
      <c r="AB55" s="58" t="n">
        <f aca="false">M55-AA55</f>
        <v>38.06934</v>
      </c>
      <c r="AC55" s="58" t="n">
        <f aca="false">O55-AA55</f>
        <v>18.0068</v>
      </c>
      <c r="AD55" s="58" t="n">
        <f aca="false">AB55/L55%</f>
        <v>40.4348430119478</v>
      </c>
      <c r="AE55" s="58" t="n">
        <f aca="false">AC55/N55%</f>
        <v>24.3048403707518</v>
      </c>
      <c r="AF55" s="58" t="n">
        <f aca="false">T55-AA55</f>
        <v>15.0267000000002</v>
      </c>
      <c r="AG55" s="58" t="n">
        <f aca="false">AF55/S55%</f>
        <v>21.132459160254</v>
      </c>
      <c r="AH55" s="58" t="n">
        <f aca="false">W55</f>
        <v>94.5</v>
      </c>
      <c r="AI55" s="58" t="n">
        <f aca="false">J55</f>
        <v>56.0805</v>
      </c>
      <c r="AJ55" s="58" t="n">
        <f aca="false">AH55-AI55</f>
        <v>38.4195</v>
      </c>
      <c r="AK55" s="58" t="n">
        <f aca="false">AA55</f>
        <v>0</v>
      </c>
      <c r="AL55" s="58" t="n">
        <f aca="false">AJ55-AK55</f>
        <v>38.4195</v>
      </c>
      <c r="AM55" s="58" t="n">
        <f aca="false">AL55/AH55%</f>
        <v>40.6555555555556</v>
      </c>
      <c r="AN55" s="0" t="str">
        <f aca="false">IF(ISBLANK(Z55),"","Capped")</f>
        <v>Capped</v>
      </c>
      <c r="AO55" s="0" t="s">
        <v>327</v>
      </c>
      <c r="AP55" s="0" t="str">
        <f aca="false">TRIM(BA55)</f>
        <v>DDm125-33</v>
      </c>
      <c r="AQ55" s="59" t="e">
        <f aca="false">_xlfn.xlookup(A55,'SYS Allocations'!A:A,'SYS Allocations'!B:B)</f>
        <v>#NAME?</v>
      </c>
      <c r="AR55" s="59" t="e">
        <f aca="false">_xlfn.xlookup(A55,'SYS Allocations'!A:A,'SYS Allocations'!C:C)</f>
        <v>#NAME?</v>
      </c>
      <c r="AS55" s="59" t="e">
        <f aca="false">_xlfn.xlookup(A55,'SYS Allocations'!A:A,'SYS Allocations'!D:D)</f>
        <v>#NAME?</v>
      </c>
      <c r="AT55" s="59" t="e">
        <f aca="false">_xlfn.xlookup(A55,'SYS Allocations'!A:A,'SYS Allocations'!E:E)</f>
        <v>#NAME?</v>
      </c>
      <c r="AU55" s="59" t="e">
        <f aca="false">_xlfn.xlookup(A55,'SYS Allocations'!A:A,'SYS Allocations'!F:F)</f>
        <v>#NAME?</v>
      </c>
      <c r="BA55" s="0" t="str">
        <f aca="false">IFERROR(LEFT(R55,FIND("(",R55,1)-1),R55)</f>
        <v>DDm125-33</v>
      </c>
    </row>
    <row r="56" customFormat="false" ht="13.15" hidden="false" customHeight="false" outlineLevel="0" collapsed="false">
      <c r="A56" s="20" t="s">
        <v>72</v>
      </c>
      <c r="B56" s="0" t="s">
        <v>371</v>
      </c>
      <c r="C56" s="0" t="s">
        <v>372</v>
      </c>
      <c r="D56" s="0" t="s">
        <v>319</v>
      </c>
      <c r="E56" s="0" t="s">
        <v>468</v>
      </c>
      <c r="F56" s="0" t="s">
        <v>321</v>
      </c>
      <c r="G56" s="0" t="n">
        <v>36.6</v>
      </c>
      <c r="H56" s="0" t="n">
        <v>56</v>
      </c>
      <c r="I56" s="0" t="n">
        <v>630</v>
      </c>
      <c r="J56" s="0" t="n">
        <v>34.335</v>
      </c>
      <c r="K56" s="45" t="n">
        <v>45568</v>
      </c>
      <c r="L56" s="0" t="n">
        <v>87.7668</v>
      </c>
      <c r="M56" s="0" t="n">
        <v>53.4318</v>
      </c>
      <c r="N56" s="0" t="n">
        <v>55.2085</v>
      </c>
      <c r="O56" s="0" t="n">
        <v>20.8735</v>
      </c>
      <c r="P56" s="0" t="s">
        <v>344</v>
      </c>
      <c r="Q56" s="0" t="s">
        <v>331</v>
      </c>
      <c r="R56" s="0" t="s">
        <v>345</v>
      </c>
      <c r="S56" s="0" t="n">
        <v>88.8840000000002</v>
      </c>
      <c r="T56" s="0" t="n">
        <v>54.5490000000002</v>
      </c>
      <c r="U56" s="0" t="s">
        <v>344</v>
      </c>
      <c r="V56" s="0" t="s">
        <v>469</v>
      </c>
      <c r="W56" s="0" t="n">
        <v>106.5</v>
      </c>
      <c r="X56" s="0" t="n">
        <v>72.165</v>
      </c>
      <c r="Y56" s="0" t="n">
        <v>20</v>
      </c>
      <c r="AB56" s="58" t="n">
        <f aca="false">M56-AA56</f>
        <v>53.4318</v>
      </c>
      <c r="AC56" s="58" t="n">
        <f aca="false">O56-AA56</f>
        <v>20.8735</v>
      </c>
      <c r="AD56" s="58" t="n">
        <f aca="false">AB56/L56%</f>
        <v>60.8792846497765</v>
      </c>
      <c r="AE56" s="58" t="n">
        <f aca="false">AC56/N56%</f>
        <v>37.8084896347483</v>
      </c>
      <c r="AF56" s="58" t="n">
        <f aca="false">T56-AA56</f>
        <v>54.5490000000002</v>
      </c>
      <c r="AG56" s="58" t="n">
        <f aca="false">AF56/S56%</f>
        <v>61.3710004050224</v>
      </c>
      <c r="AH56" s="58" t="n">
        <f aca="false">W56</f>
        <v>106.5</v>
      </c>
      <c r="AI56" s="58" t="n">
        <f aca="false">J56</f>
        <v>34.335</v>
      </c>
      <c r="AJ56" s="58" t="n">
        <f aca="false">AH56-AI56</f>
        <v>72.165</v>
      </c>
      <c r="AK56" s="58" t="n">
        <f aca="false">AA56</f>
        <v>0</v>
      </c>
      <c r="AL56" s="58" t="n">
        <f aca="false">AJ56-AK56</f>
        <v>72.165</v>
      </c>
      <c r="AM56" s="58" t="n">
        <f aca="false">AL56/AH56%</f>
        <v>67.7605633802817</v>
      </c>
      <c r="AN56" s="0" t="str">
        <f aca="false">IF(ISBLANK(Z56),"","Capped")</f>
        <v/>
      </c>
      <c r="AO56" s="0" t="s">
        <v>327</v>
      </c>
      <c r="AP56" s="0" t="str">
        <f aca="false">TRIM(BA56)</f>
        <v>DDm125-33</v>
      </c>
      <c r="AQ56" s="59" t="e">
        <f aca="false">_xlfn.xlookup(A56,'SYS Allocations'!A:A,'SYS Allocations'!B:B)</f>
        <v>#NAME?</v>
      </c>
      <c r="AR56" s="59" t="e">
        <f aca="false">_xlfn.xlookup(A56,'SYS Allocations'!A:A,'SYS Allocations'!C:C)</f>
        <v>#NAME?</v>
      </c>
      <c r="AS56" s="59" t="e">
        <f aca="false">_xlfn.xlookup(A56,'SYS Allocations'!A:A,'SYS Allocations'!D:D)</f>
        <v>#NAME?</v>
      </c>
      <c r="AT56" s="59" t="e">
        <f aca="false">_xlfn.xlookup(A56,'SYS Allocations'!A:A,'SYS Allocations'!E:E)</f>
        <v>#NAME?</v>
      </c>
      <c r="AU56" s="59" t="e">
        <f aca="false">_xlfn.xlookup(A56,'SYS Allocations'!A:A,'SYS Allocations'!F:F)</f>
        <v>#NAME?</v>
      </c>
      <c r="BA56" s="0" t="str">
        <f aca="false">IFERROR(LEFT(R56,FIND("(",R56,1)-1),R56)</f>
        <v>DDm125-33</v>
      </c>
    </row>
    <row r="57" customFormat="false" ht="13.15" hidden="false" customHeight="false" outlineLevel="0" collapsed="false">
      <c r="A57" s="20" t="s">
        <v>73</v>
      </c>
      <c r="B57" s="0" t="s">
        <v>437</v>
      </c>
      <c r="C57" s="0" t="s">
        <v>470</v>
      </c>
      <c r="D57" s="0" t="s">
        <v>319</v>
      </c>
      <c r="E57" s="0" t="s">
        <v>471</v>
      </c>
      <c r="F57" s="0" t="s">
        <v>321</v>
      </c>
      <c r="G57" s="0" t="n">
        <v>36.6</v>
      </c>
      <c r="H57" s="0" t="n">
        <v>33</v>
      </c>
      <c r="I57" s="0" t="n">
        <v>268</v>
      </c>
      <c r="J57" s="0" t="n">
        <v>14.606</v>
      </c>
      <c r="K57" s="45" t="n">
        <v>45581</v>
      </c>
      <c r="L57" s="0" t="n">
        <v>51.06432</v>
      </c>
      <c r="M57" s="0" t="n">
        <v>36.45832</v>
      </c>
      <c r="N57" s="0" t="n">
        <v>34.1824</v>
      </c>
      <c r="O57" s="0" t="n">
        <v>19.5764</v>
      </c>
      <c r="P57" s="0" t="s">
        <v>337</v>
      </c>
      <c r="Q57" s="0" t="s">
        <v>331</v>
      </c>
      <c r="R57" s="0" t="s">
        <v>472</v>
      </c>
      <c r="S57" s="0" t="n">
        <v>45.9648</v>
      </c>
      <c r="T57" s="0" t="n">
        <v>31.3588</v>
      </c>
      <c r="U57" s="0" t="s">
        <v>322</v>
      </c>
      <c r="V57" s="0" t="s">
        <v>473</v>
      </c>
      <c r="W57" s="0" t="n">
        <v>60</v>
      </c>
      <c r="X57" s="0" t="n">
        <v>45.394</v>
      </c>
      <c r="Y57" s="0" t="n">
        <v>59</v>
      </c>
      <c r="AB57" s="58" t="n">
        <f aca="false">M57-AA57</f>
        <v>36.45832</v>
      </c>
      <c r="AC57" s="58" t="n">
        <f aca="false">O57-AA57</f>
        <v>19.5764</v>
      </c>
      <c r="AD57" s="58" t="n">
        <f aca="false">AB57/L57%</f>
        <v>71.3968579234973</v>
      </c>
      <c r="AE57" s="58" t="n">
        <f aca="false">AC57/N57%</f>
        <v>57.2704081632653</v>
      </c>
      <c r="AF57" s="58" t="n">
        <f aca="false">T57-AA57</f>
        <v>31.3588</v>
      </c>
      <c r="AG57" s="58" t="n">
        <f aca="false">AF57/S57%</f>
        <v>68.2235101642996</v>
      </c>
      <c r="AH57" s="58" t="n">
        <f aca="false">W57</f>
        <v>60</v>
      </c>
      <c r="AI57" s="58" t="n">
        <f aca="false">J57</f>
        <v>14.606</v>
      </c>
      <c r="AJ57" s="58" t="n">
        <f aca="false">AH57-AI57</f>
        <v>45.394</v>
      </c>
      <c r="AK57" s="58" t="n">
        <f aca="false">AA57</f>
        <v>0</v>
      </c>
      <c r="AL57" s="58" t="n">
        <f aca="false">AJ57-AK57</f>
        <v>45.394</v>
      </c>
      <c r="AM57" s="58" t="n">
        <f aca="false">AL57/AH57%</f>
        <v>75.6566666666667</v>
      </c>
      <c r="AN57" s="0" t="str">
        <f aca="false">IF(ISBLANK(Z57),"","Capped")</f>
        <v/>
      </c>
      <c r="AO57" s="0" t="s">
        <v>327</v>
      </c>
      <c r="AP57" s="0" t="str">
        <f aca="false">TRIM(BA57)</f>
        <v>DDm85-33</v>
      </c>
      <c r="AQ57" s="59" t="e">
        <f aca="false">_xlfn.xlookup(A57,'SYS Allocations'!A:A,'SYS Allocations'!B:B)</f>
        <v>#NAME?</v>
      </c>
      <c r="AR57" s="59" t="e">
        <f aca="false">_xlfn.xlookup(A57,'SYS Allocations'!A:A,'SYS Allocations'!C:C)</f>
        <v>#NAME?</v>
      </c>
      <c r="AS57" s="59" t="e">
        <f aca="false">_xlfn.xlookup(A57,'SYS Allocations'!A:A,'SYS Allocations'!D:D)</f>
        <v>#NAME?</v>
      </c>
      <c r="AT57" s="59" t="e">
        <f aca="false">_xlfn.xlookup(A57,'SYS Allocations'!A:A,'SYS Allocations'!E:E)</f>
        <v>#NAME?</v>
      </c>
      <c r="AU57" s="59" t="e">
        <f aca="false">_xlfn.xlookup(A57,'SYS Allocations'!A:A,'SYS Allocations'!F:F)</f>
        <v>#NAME?</v>
      </c>
      <c r="BA57" s="0" t="str">
        <f aca="false">IFERROR(LEFT(R57,FIND("(",R57,1)-1),R57)</f>
        <v>DDm85-33</v>
      </c>
    </row>
    <row r="58" customFormat="false" ht="13.15" hidden="false" customHeight="false" outlineLevel="0" collapsed="false">
      <c r="A58" s="20" t="s">
        <v>74</v>
      </c>
      <c r="B58" s="0" t="s">
        <v>376</v>
      </c>
      <c r="C58" s="0" t="s">
        <v>474</v>
      </c>
      <c r="D58" s="0" t="s">
        <v>390</v>
      </c>
      <c r="E58" s="0" t="s">
        <v>475</v>
      </c>
      <c r="F58" s="0" t="s">
        <v>321</v>
      </c>
      <c r="G58" s="0" t="n">
        <v>36.6</v>
      </c>
      <c r="H58" s="0" t="n">
        <v>8</v>
      </c>
      <c r="I58" s="0" t="n">
        <v>75</v>
      </c>
      <c r="J58" s="0" t="n">
        <v>4.0875</v>
      </c>
      <c r="K58" s="45" t="n">
        <v>45659</v>
      </c>
      <c r="L58" s="0" t="n">
        <v>11.17032</v>
      </c>
      <c r="M58" s="0" t="n">
        <v>7.08282</v>
      </c>
      <c r="N58" s="0" t="n">
        <v>8.5129</v>
      </c>
      <c r="O58" s="0" t="n">
        <v>4.4254</v>
      </c>
      <c r="P58" s="0" t="s">
        <v>326</v>
      </c>
      <c r="Q58" s="0" t="s">
        <v>331</v>
      </c>
      <c r="R58" s="0" t="s">
        <v>445</v>
      </c>
      <c r="S58" s="0" t="n">
        <v>8.96399999999997</v>
      </c>
      <c r="T58" s="0" t="n">
        <v>4.87649999999997</v>
      </c>
      <c r="U58" s="0" t="s">
        <v>325</v>
      </c>
      <c r="V58" s="0" t="s">
        <v>476</v>
      </c>
      <c r="W58" s="0" t="n">
        <v>6.9</v>
      </c>
      <c r="X58" s="0" t="n">
        <v>2.8125</v>
      </c>
      <c r="Y58" s="0" t="n">
        <v>1</v>
      </c>
      <c r="Z58" s="0" t="s">
        <v>8</v>
      </c>
      <c r="AB58" s="58" t="n">
        <f aca="false">M58-AA58</f>
        <v>7.08282</v>
      </c>
      <c r="AC58" s="58" t="n">
        <f aca="false">O58-AA58</f>
        <v>4.4254</v>
      </c>
      <c r="AD58" s="58" t="n">
        <f aca="false">AB58/L58%</f>
        <v>63.4074941451991</v>
      </c>
      <c r="AE58" s="58" t="n">
        <f aca="false">AC58/N58%</f>
        <v>51.9846350832266</v>
      </c>
      <c r="AF58" s="58" t="n">
        <f aca="false">T58-AA58</f>
        <v>4.87649999999997</v>
      </c>
      <c r="AG58" s="58" t="n">
        <f aca="false">AF58/S58%</f>
        <v>54.4009370816598</v>
      </c>
      <c r="AH58" s="58" t="n">
        <f aca="false">W58</f>
        <v>6.9</v>
      </c>
      <c r="AI58" s="58" t="n">
        <f aca="false">J58</f>
        <v>4.0875</v>
      </c>
      <c r="AJ58" s="58" t="n">
        <f aca="false">AH58-AI58</f>
        <v>2.8125</v>
      </c>
      <c r="AK58" s="58" t="n">
        <f aca="false">AA58</f>
        <v>0</v>
      </c>
      <c r="AL58" s="58" t="n">
        <f aca="false">AJ58-AK58</f>
        <v>2.8125</v>
      </c>
      <c r="AM58" s="58" t="n">
        <f aca="false">AL58/AH58%</f>
        <v>40.7608695652174</v>
      </c>
      <c r="AN58" s="0" t="str">
        <f aca="false">IF(ISBLANK(Z58),"","Capped")</f>
        <v>Capped</v>
      </c>
      <c r="AO58" s="0" t="s">
        <v>327</v>
      </c>
      <c r="AP58" s="0" t="str">
        <f aca="false">TRIM(BA58)</f>
        <v>12V101F</v>
      </c>
      <c r="AQ58" s="59" t="e">
        <f aca="false">_xlfn.xlookup(A58,'SYS Allocations'!A:A,'SYS Allocations'!B:B)</f>
        <v>#NAME?</v>
      </c>
      <c r="AR58" s="59" t="e">
        <f aca="false">_xlfn.xlookup(A58,'SYS Allocations'!A:A,'SYS Allocations'!C:C)</f>
        <v>#NAME?</v>
      </c>
      <c r="AS58" s="59" t="e">
        <f aca="false">_xlfn.xlookup(A58,'SYS Allocations'!A:A,'SYS Allocations'!D:D)</f>
        <v>#NAME?</v>
      </c>
      <c r="AT58" s="59" t="e">
        <f aca="false">_xlfn.xlookup(A58,'SYS Allocations'!A:A,'SYS Allocations'!E:E)</f>
        <v>#NAME?</v>
      </c>
      <c r="AU58" s="59" t="e">
        <f aca="false">_xlfn.xlookup(A58,'SYS Allocations'!A:A,'SYS Allocations'!F:F)</f>
        <v>#NAME?</v>
      </c>
      <c r="BA58" s="0" t="str">
        <f aca="false">IFERROR(LEFT(R58,FIND("(",R58,1)-1),R58)</f>
        <v>12V101F </v>
      </c>
    </row>
    <row r="59" customFormat="false" ht="13.15" hidden="false" customHeight="false" outlineLevel="0" collapsed="false">
      <c r="A59" s="20" t="s">
        <v>75</v>
      </c>
      <c r="B59" s="0" t="s">
        <v>328</v>
      </c>
      <c r="C59" s="0" t="s">
        <v>477</v>
      </c>
      <c r="D59" s="0" t="s">
        <v>319</v>
      </c>
      <c r="E59" s="0" t="s">
        <v>478</v>
      </c>
      <c r="F59" s="0" t="s">
        <v>321</v>
      </c>
      <c r="G59" s="0" t="n">
        <v>36.6</v>
      </c>
      <c r="H59" s="0" t="n">
        <v>19</v>
      </c>
      <c r="I59" s="0" t="n">
        <v>143</v>
      </c>
      <c r="J59" s="0" t="n">
        <v>7.7935</v>
      </c>
      <c r="K59" s="45" t="n">
        <v>45659</v>
      </c>
      <c r="L59" s="0" t="n">
        <v>28.72368</v>
      </c>
      <c r="M59" s="0" t="n">
        <v>20.93018</v>
      </c>
      <c r="N59" s="0" t="n">
        <v>18.4646</v>
      </c>
      <c r="O59" s="0" t="n">
        <v>10.6711</v>
      </c>
      <c r="P59" s="0" t="s">
        <v>325</v>
      </c>
      <c r="Q59" s="0" t="s">
        <v>331</v>
      </c>
      <c r="R59" s="0" t="s">
        <v>403</v>
      </c>
      <c r="S59" s="0" t="n">
        <v>28.1232</v>
      </c>
      <c r="T59" s="0" t="n">
        <v>20.3297</v>
      </c>
      <c r="U59" s="0" t="s">
        <v>337</v>
      </c>
      <c r="V59" s="0" t="s">
        <v>436</v>
      </c>
      <c r="W59" s="0" t="n">
        <v>67.5</v>
      </c>
      <c r="X59" s="0" t="n">
        <v>59.7065</v>
      </c>
      <c r="Y59" s="0" t="n">
        <v>3</v>
      </c>
      <c r="AB59" s="58" t="n">
        <f aca="false">M59-AA59</f>
        <v>20.93018</v>
      </c>
      <c r="AC59" s="58" t="n">
        <f aca="false">O59-AA59</f>
        <v>10.6711</v>
      </c>
      <c r="AD59" s="58" t="n">
        <f aca="false">AB59/L59%</f>
        <v>72.8673345476624</v>
      </c>
      <c r="AE59" s="58" t="n">
        <f aca="false">AC59/N59%</f>
        <v>57.7922077922078</v>
      </c>
      <c r="AF59" s="58" t="n">
        <f aca="false">T59-AA59</f>
        <v>20.3297</v>
      </c>
      <c r="AG59" s="58" t="n">
        <f aca="false">AF59/S59%</f>
        <v>72.2880042100472</v>
      </c>
      <c r="AH59" s="58" t="n">
        <f aca="false">W59</f>
        <v>67.5</v>
      </c>
      <c r="AI59" s="58" t="n">
        <f aca="false">J59</f>
        <v>7.7935</v>
      </c>
      <c r="AJ59" s="58" t="n">
        <f aca="false">AH59-AI59</f>
        <v>59.7065</v>
      </c>
      <c r="AK59" s="58" t="n">
        <f aca="false">AA59</f>
        <v>0</v>
      </c>
      <c r="AL59" s="58" t="n">
        <f aca="false">AJ59-AK59</f>
        <v>59.7065</v>
      </c>
      <c r="AM59" s="58" t="n">
        <f aca="false">AL59/AH59%</f>
        <v>88.4540740740741</v>
      </c>
      <c r="AN59" s="0" t="str">
        <f aca="false">IF(ISBLANK(Z59),"","Capped")</f>
        <v/>
      </c>
      <c r="AO59" s="0" t="s">
        <v>327</v>
      </c>
      <c r="AP59" s="0" t="str">
        <f aca="false">TRIM(BA59)</f>
        <v>DDm100-33</v>
      </c>
      <c r="AQ59" s="59" t="e">
        <f aca="false">_xlfn.xlookup(A59,'SYS Allocations'!A:A,'SYS Allocations'!B:B)</f>
        <v>#NAME?</v>
      </c>
      <c r="AR59" s="59" t="e">
        <f aca="false">_xlfn.xlookup(A59,'SYS Allocations'!A:A,'SYS Allocations'!C:C)</f>
        <v>#NAME?</v>
      </c>
      <c r="AS59" s="59" t="e">
        <f aca="false">_xlfn.xlookup(A59,'SYS Allocations'!A:A,'SYS Allocations'!D:D)</f>
        <v>#NAME?</v>
      </c>
      <c r="AT59" s="59" t="e">
        <f aca="false">_xlfn.xlookup(A59,'SYS Allocations'!A:A,'SYS Allocations'!E:E)</f>
        <v>#NAME?</v>
      </c>
      <c r="AU59" s="59" t="e">
        <f aca="false">_xlfn.xlookup(A59,'SYS Allocations'!A:A,'SYS Allocations'!F:F)</f>
        <v>#NAME?</v>
      </c>
      <c r="BA59" s="0" t="str">
        <f aca="false">IFERROR(LEFT(R59,FIND("(",R59,1)-1),R59)</f>
        <v>DDm100-33</v>
      </c>
    </row>
    <row r="60" customFormat="false" ht="13.15" hidden="false" customHeight="false" outlineLevel="0" collapsed="false">
      <c r="A60" s="20" t="s">
        <v>76</v>
      </c>
      <c r="B60" s="0" t="s">
        <v>400</v>
      </c>
      <c r="C60" s="0" t="s">
        <v>479</v>
      </c>
      <c r="D60" s="0" t="s">
        <v>319</v>
      </c>
      <c r="E60" s="0" t="s">
        <v>480</v>
      </c>
      <c r="F60" s="0" t="s">
        <v>364</v>
      </c>
      <c r="G60" s="0" t="n">
        <v>75</v>
      </c>
      <c r="H60" s="0" t="n">
        <v>2</v>
      </c>
      <c r="I60" s="0" t="n">
        <v>5</v>
      </c>
      <c r="J60" s="0" t="n">
        <v>0.2725</v>
      </c>
      <c r="K60" s="45" t="n">
        <v>45454</v>
      </c>
      <c r="L60" s="0" t="n">
        <v>3.27</v>
      </c>
      <c r="M60" s="0" t="n">
        <v>2.9975</v>
      </c>
      <c r="N60" s="0" t="n">
        <v>1.9075</v>
      </c>
      <c r="O60" s="0" t="n">
        <v>1.635</v>
      </c>
      <c r="P60" s="0" t="s">
        <v>337</v>
      </c>
      <c r="Q60" s="0" t="s">
        <v>331</v>
      </c>
      <c r="R60" s="0" t="s">
        <v>445</v>
      </c>
      <c r="S60" s="0" t="n">
        <v>3.5856</v>
      </c>
      <c r="T60" s="0" t="n">
        <v>3.3131</v>
      </c>
      <c r="U60" s="0" t="s">
        <v>337</v>
      </c>
      <c r="V60" s="0" t="s">
        <v>442</v>
      </c>
      <c r="W60" s="0" t="n">
        <v>11.25</v>
      </c>
      <c r="X60" s="0" t="n">
        <v>10.9775</v>
      </c>
      <c r="Y60" s="0" t="n">
        <v>4</v>
      </c>
      <c r="AB60" s="58" t="n">
        <f aca="false">M60-AA60</f>
        <v>2.9975</v>
      </c>
      <c r="AC60" s="58" t="n">
        <f aca="false">O60-AA60</f>
        <v>1.635</v>
      </c>
      <c r="AD60" s="58" t="n">
        <f aca="false">AB60/L60%</f>
        <v>91.6666666666667</v>
      </c>
      <c r="AE60" s="58" t="n">
        <f aca="false">AC60/N60%</f>
        <v>85.7142857142857</v>
      </c>
      <c r="AF60" s="58" t="n">
        <f aca="false">T60-AA60</f>
        <v>3.3131</v>
      </c>
      <c r="AG60" s="58" t="n">
        <f aca="false">AF60/S60%</f>
        <v>92.4001561802767</v>
      </c>
      <c r="AH60" s="58" t="n">
        <f aca="false">W60</f>
        <v>11.25</v>
      </c>
      <c r="AI60" s="58" t="n">
        <f aca="false">J60</f>
        <v>0.2725</v>
      </c>
      <c r="AJ60" s="58" t="n">
        <f aca="false">AH60-AI60</f>
        <v>10.9775</v>
      </c>
      <c r="AK60" s="58" t="n">
        <f aca="false">AA60</f>
        <v>0</v>
      </c>
      <c r="AL60" s="58" t="n">
        <f aca="false">AJ60-AK60</f>
        <v>10.9775</v>
      </c>
      <c r="AM60" s="58" t="n">
        <f aca="false">AL60/AH60%</f>
        <v>97.5777777777778</v>
      </c>
      <c r="AN60" s="0" t="str">
        <f aca="false">IF(ISBLANK(Z60),"","Capped")</f>
        <v/>
      </c>
      <c r="AO60" s="0" t="s">
        <v>327</v>
      </c>
      <c r="AP60" s="0" t="str">
        <f aca="false">TRIM(BA60)</f>
        <v>12V101F</v>
      </c>
      <c r="AQ60" s="59" t="e">
        <f aca="false">_xlfn.xlookup(A60,'SYS Allocations'!A:A,'SYS Allocations'!B:B)</f>
        <v>#NAME?</v>
      </c>
      <c r="AR60" s="59" t="e">
        <f aca="false">_xlfn.xlookup(A60,'SYS Allocations'!A:A,'SYS Allocations'!C:C)</f>
        <v>#NAME?</v>
      </c>
      <c r="AS60" s="59" t="e">
        <f aca="false">_xlfn.xlookup(A60,'SYS Allocations'!A:A,'SYS Allocations'!D:D)</f>
        <v>#NAME?</v>
      </c>
      <c r="AT60" s="59" t="e">
        <f aca="false">_xlfn.xlookup(A60,'SYS Allocations'!A:A,'SYS Allocations'!E:E)</f>
        <v>#NAME?</v>
      </c>
      <c r="AU60" s="59" t="e">
        <f aca="false">_xlfn.xlookup(A60,'SYS Allocations'!A:A,'SYS Allocations'!F:F)</f>
        <v>#NAME?</v>
      </c>
      <c r="BA60" s="0" t="str">
        <f aca="false">IFERROR(LEFT(R60,FIND("(",R60,1)-1),R60)</f>
        <v>12V101F </v>
      </c>
    </row>
    <row r="61" customFormat="false" ht="13.15" hidden="false" customHeight="false" outlineLevel="0" collapsed="false">
      <c r="A61" s="20" t="s">
        <v>77</v>
      </c>
      <c r="B61" s="0" t="s">
        <v>317</v>
      </c>
      <c r="C61" s="0" t="s">
        <v>481</v>
      </c>
      <c r="D61" s="0" t="s">
        <v>390</v>
      </c>
      <c r="E61" s="0" t="s">
        <v>482</v>
      </c>
      <c r="F61" s="0" t="s">
        <v>364</v>
      </c>
      <c r="G61" s="0" t="n">
        <v>75</v>
      </c>
      <c r="H61" s="0" t="n">
        <v>6</v>
      </c>
      <c r="I61" s="0" t="n">
        <v>125</v>
      </c>
      <c r="J61" s="0" t="n">
        <v>6.8125</v>
      </c>
      <c r="K61" s="45" t="n">
        <v>45397</v>
      </c>
      <c r="L61" s="0" t="n">
        <v>16.35</v>
      </c>
      <c r="M61" s="0" t="n">
        <v>9.5375</v>
      </c>
      <c r="N61" s="0" t="n">
        <v>10.70925</v>
      </c>
      <c r="O61" s="0" t="n">
        <v>3.89675</v>
      </c>
      <c r="P61" s="0" t="s">
        <v>322</v>
      </c>
      <c r="Q61" s="0" t="s">
        <v>331</v>
      </c>
      <c r="R61" s="0" t="s">
        <v>365</v>
      </c>
      <c r="S61" s="0" t="n">
        <v>15.1632</v>
      </c>
      <c r="T61" s="0" t="n">
        <v>8.35069999999999</v>
      </c>
      <c r="U61" s="0" t="s">
        <v>322</v>
      </c>
      <c r="V61" s="0" t="s">
        <v>333</v>
      </c>
      <c r="W61" s="0" t="n">
        <v>22.5</v>
      </c>
      <c r="X61" s="0" t="n">
        <v>15.6875</v>
      </c>
      <c r="Y61" s="0" t="n">
        <v>1</v>
      </c>
      <c r="Z61" s="0" t="s">
        <v>8</v>
      </c>
      <c r="AB61" s="58" t="n">
        <f aca="false">M61-AA61</f>
        <v>9.5375</v>
      </c>
      <c r="AC61" s="58" t="n">
        <f aca="false">O61-AA61</f>
        <v>3.89675</v>
      </c>
      <c r="AD61" s="58" t="n">
        <f aca="false">AB61/L61%</f>
        <v>58.3333333333333</v>
      </c>
      <c r="AE61" s="58" t="n">
        <f aca="false">AC61/N61%</f>
        <v>36.3867684478371</v>
      </c>
      <c r="AF61" s="58" t="n">
        <f aca="false">T61-AA61</f>
        <v>8.35069999999999</v>
      </c>
      <c r="AG61" s="58" t="n">
        <f aca="false">AF61/S61%</f>
        <v>55.0721483591853</v>
      </c>
      <c r="AH61" s="58" t="n">
        <f aca="false">W61</f>
        <v>22.5</v>
      </c>
      <c r="AI61" s="58" t="n">
        <f aca="false">J61</f>
        <v>6.8125</v>
      </c>
      <c r="AJ61" s="58" t="n">
        <f aca="false">AH61-AI61</f>
        <v>15.6875</v>
      </c>
      <c r="AK61" s="58" t="n">
        <f aca="false">AA61</f>
        <v>0</v>
      </c>
      <c r="AL61" s="58" t="n">
        <f aca="false">AJ61-AK61</f>
        <v>15.6875</v>
      </c>
      <c r="AM61" s="58" t="n">
        <f aca="false">AL61/AH61%</f>
        <v>69.7222222222222</v>
      </c>
      <c r="AN61" s="0" t="str">
        <f aca="false">IF(ISBLANK(Z61),"","Capped")</f>
        <v>Capped</v>
      </c>
      <c r="AO61" s="0" t="s">
        <v>327</v>
      </c>
      <c r="AP61" s="0" t="str">
        <f aca="false">TRIM(BA61)</f>
        <v>2DDm85-15</v>
      </c>
      <c r="AQ61" s="59" t="e">
        <f aca="false">_xlfn.xlookup(A61,'SYS Allocations'!A:A,'SYS Allocations'!B:B)</f>
        <v>#NAME?</v>
      </c>
      <c r="AR61" s="59" t="e">
        <f aca="false">_xlfn.xlookup(A61,'SYS Allocations'!A:A,'SYS Allocations'!C:C)</f>
        <v>#NAME?</v>
      </c>
      <c r="AS61" s="59" t="e">
        <f aca="false">_xlfn.xlookup(A61,'SYS Allocations'!A:A,'SYS Allocations'!D:D)</f>
        <v>#NAME?</v>
      </c>
      <c r="AT61" s="59" t="e">
        <f aca="false">_xlfn.xlookup(A61,'SYS Allocations'!A:A,'SYS Allocations'!E:E)</f>
        <v>#NAME?</v>
      </c>
      <c r="AU61" s="59" t="e">
        <f aca="false">_xlfn.xlookup(A61,'SYS Allocations'!A:A,'SYS Allocations'!F:F)</f>
        <v>#NAME?</v>
      </c>
      <c r="BA61" s="0" t="str">
        <f aca="false">IFERROR(LEFT(R61,FIND("(",R61,1)-1),R61)</f>
        <v>2DDm85-15</v>
      </c>
    </row>
    <row r="62" customFormat="false" ht="13.15" hidden="false" customHeight="false" outlineLevel="0" collapsed="false">
      <c r="A62" s="20" t="s">
        <v>78</v>
      </c>
      <c r="B62" s="0" t="s">
        <v>317</v>
      </c>
      <c r="C62" s="0" t="s">
        <v>481</v>
      </c>
      <c r="D62" s="0" t="s">
        <v>319</v>
      </c>
      <c r="E62" s="0" t="s">
        <v>483</v>
      </c>
      <c r="F62" s="0" t="s">
        <v>321</v>
      </c>
      <c r="G62" s="0" t="n">
        <v>36.6</v>
      </c>
      <c r="H62" s="0" t="n">
        <v>9</v>
      </c>
      <c r="I62" s="0" t="n">
        <v>84</v>
      </c>
      <c r="J62" s="0" t="n">
        <v>4.578</v>
      </c>
      <c r="K62" s="45" t="n">
        <v>45342</v>
      </c>
      <c r="L62" s="0" t="n">
        <v>12.76608</v>
      </c>
      <c r="M62" s="0" t="n">
        <v>8.18808</v>
      </c>
      <c r="N62" s="0" t="n">
        <v>9.4721</v>
      </c>
      <c r="O62" s="0" t="n">
        <v>4.8941</v>
      </c>
      <c r="P62" s="0" t="s">
        <v>325</v>
      </c>
      <c r="Q62" s="0" t="s">
        <v>331</v>
      </c>
      <c r="R62" s="0" t="s">
        <v>365</v>
      </c>
      <c r="S62" s="0" t="n">
        <v>10.1088</v>
      </c>
      <c r="T62" s="0" t="n">
        <v>5.53079999999998</v>
      </c>
      <c r="U62" s="0" t="s">
        <v>325</v>
      </c>
      <c r="V62" s="0" t="s">
        <v>442</v>
      </c>
      <c r="W62" s="0" t="n">
        <v>11.25</v>
      </c>
      <c r="X62" s="0" t="n">
        <v>6.672</v>
      </c>
      <c r="Y62" s="0" t="n">
        <v>12</v>
      </c>
      <c r="AB62" s="58" t="n">
        <f aca="false">M62-AA62</f>
        <v>8.18808</v>
      </c>
      <c r="AC62" s="58" t="n">
        <f aca="false">O62-AA62</f>
        <v>4.8941</v>
      </c>
      <c r="AD62" s="58" t="n">
        <f aca="false">AB62/L62%</f>
        <v>64.1393442622951</v>
      </c>
      <c r="AE62" s="58" t="n">
        <f aca="false">AC62/N62%</f>
        <v>51.668584579977</v>
      </c>
      <c r="AF62" s="58" t="n">
        <f aca="false">T62-AA62</f>
        <v>5.53079999999998</v>
      </c>
      <c r="AG62" s="58" t="n">
        <f aca="false">AF62/S62%</f>
        <v>54.7127255460587</v>
      </c>
      <c r="AH62" s="58" t="n">
        <f aca="false">W62</f>
        <v>11.25</v>
      </c>
      <c r="AI62" s="58" t="n">
        <f aca="false">J62</f>
        <v>4.578</v>
      </c>
      <c r="AJ62" s="58" t="n">
        <f aca="false">AH62-AI62</f>
        <v>6.672</v>
      </c>
      <c r="AK62" s="58" t="n">
        <f aca="false">AA62</f>
        <v>0</v>
      </c>
      <c r="AL62" s="58" t="n">
        <f aca="false">AJ62-AK62</f>
        <v>6.672</v>
      </c>
      <c r="AM62" s="58" t="n">
        <f aca="false">AL62/AH62%</f>
        <v>59.3066666666667</v>
      </c>
      <c r="AN62" s="0" t="str">
        <f aca="false">IF(ISBLANK(Z62),"","Capped")</f>
        <v/>
      </c>
      <c r="AO62" s="0" t="s">
        <v>327</v>
      </c>
      <c r="AP62" s="0" t="str">
        <f aca="false">TRIM(BA62)</f>
        <v>2DDm85-15</v>
      </c>
      <c r="AQ62" s="59" t="e">
        <f aca="false">_xlfn.xlookup(A62,'SYS Allocations'!A:A,'SYS Allocations'!B:B)</f>
        <v>#NAME?</v>
      </c>
      <c r="AR62" s="59" t="e">
        <f aca="false">_xlfn.xlookup(A62,'SYS Allocations'!A:A,'SYS Allocations'!C:C)</f>
        <v>#NAME?</v>
      </c>
      <c r="AS62" s="59" t="e">
        <f aca="false">_xlfn.xlookup(A62,'SYS Allocations'!A:A,'SYS Allocations'!D:D)</f>
        <v>#NAME?</v>
      </c>
      <c r="AT62" s="59" t="e">
        <f aca="false">_xlfn.xlookup(A62,'SYS Allocations'!A:A,'SYS Allocations'!E:E)</f>
        <v>#NAME?</v>
      </c>
      <c r="AU62" s="59" t="e">
        <f aca="false">_xlfn.xlookup(A62,'SYS Allocations'!A:A,'SYS Allocations'!F:F)</f>
        <v>#NAME?</v>
      </c>
      <c r="BA62" s="0" t="str">
        <f aca="false">IFERROR(LEFT(R62,FIND("(",R62,1)-1),R62)</f>
        <v>2DDm85-15</v>
      </c>
    </row>
    <row r="63" customFormat="false" ht="13.15" hidden="false" customHeight="false" outlineLevel="0" collapsed="false">
      <c r="A63" s="20" t="s">
        <v>79</v>
      </c>
      <c r="B63" s="0" t="s">
        <v>355</v>
      </c>
      <c r="C63" s="0" t="s">
        <v>484</v>
      </c>
      <c r="D63" s="0" t="s">
        <v>319</v>
      </c>
      <c r="E63" s="0" t="s">
        <v>485</v>
      </c>
      <c r="F63" s="0" t="s">
        <v>321</v>
      </c>
      <c r="G63" s="0" t="n">
        <v>36.6</v>
      </c>
      <c r="H63" s="0" t="n">
        <v>15</v>
      </c>
      <c r="I63" s="0" t="n">
        <v>120</v>
      </c>
      <c r="J63" s="0" t="n">
        <v>6.54</v>
      </c>
      <c r="K63" s="45" t="n">
        <v>45565</v>
      </c>
      <c r="L63" s="0" t="n">
        <v>22.34064</v>
      </c>
      <c r="M63" s="0" t="n">
        <v>15.80064</v>
      </c>
      <c r="N63" s="0" t="n">
        <v>14.0283</v>
      </c>
      <c r="O63" s="0" t="n">
        <v>7.4883</v>
      </c>
      <c r="P63" s="0" t="s">
        <v>344</v>
      </c>
      <c r="Q63" s="0" t="s">
        <v>331</v>
      </c>
      <c r="R63" s="0" t="s">
        <v>486</v>
      </c>
      <c r="S63" s="0" t="n">
        <v>21.816</v>
      </c>
      <c r="T63" s="0" t="n">
        <v>15.276</v>
      </c>
      <c r="U63" s="0" t="s">
        <v>337</v>
      </c>
      <c r="V63" s="0" t="s">
        <v>487</v>
      </c>
      <c r="W63" s="0" t="n">
        <v>16.875</v>
      </c>
      <c r="X63" s="0" t="n">
        <v>10.335</v>
      </c>
      <c r="Y63" s="0" t="n">
        <v>13</v>
      </c>
      <c r="AB63" s="58" t="n">
        <f aca="false">M63-AA63</f>
        <v>15.80064</v>
      </c>
      <c r="AC63" s="58" t="n">
        <f aca="false">O63-AA63</f>
        <v>7.4883</v>
      </c>
      <c r="AD63" s="58" t="n">
        <f aca="false">AB63/L63%</f>
        <v>70.7259953161592</v>
      </c>
      <c r="AE63" s="58" t="n">
        <f aca="false">AC63/N63%</f>
        <v>53.3799533799534</v>
      </c>
      <c r="AF63" s="58" t="n">
        <f aca="false">T63-AA63</f>
        <v>15.276</v>
      </c>
      <c r="AG63" s="58" t="n">
        <f aca="false">AF63/S63%</f>
        <v>70.02200220022</v>
      </c>
      <c r="AH63" s="58" t="n">
        <f aca="false">W63</f>
        <v>16.875</v>
      </c>
      <c r="AI63" s="58" t="n">
        <f aca="false">J63</f>
        <v>6.54</v>
      </c>
      <c r="AJ63" s="58" t="n">
        <f aca="false">AH63-AI63</f>
        <v>10.335</v>
      </c>
      <c r="AK63" s="58" t="n">
        <f aca="false">AA63</f>
        <v>0</v>
      </c>
      <c r="AL63" s="58" t="n">
        <f aca="false">AJ63-AK63</f>
        <v>10.335</v>
      </c>
      <c r="AM63" s="58" t="n">
        <f aca="false">AL63/AH63%</f>
        <v>61.2444444444444</v>
      </c>
      <c r="AN63" s="0" t="str">
        <f aca="false">IF(ISBLANK(Z63),"","Capped")</f>
        <v/>
      </c>
      <c r="AO63" s="0" t="s">
        <v>327</v>
      </c>
      <c r="AP63" s="0" t="str">
        <f aca="false">TRIM(BA63)</f>
        <v>2DDm85-13</v>
      </c>
      <c r="AQ63" s="59" t="e">
        <f aca="false">_xlfn.xlookup(A63,'SYS Allocations'!A:A,'SYS Allocations'!B:B)</f>
        <v>#NAME?</v>
      </c>
      <c r="AR63" s="59" t="e">
        <f aca="false">_xlfn.xlookup(A63,'SYS Allocations'!A:A,'SYS Allocations'!C:C)</f>
        <v>#NAME?</v>
      </c>
      <c r="AS63" s="59" t="e">
        <f aca="false">_xlfn.xlookup(A63,'SYS Allocations'!A:A,'SYS Allocations'!D:D)</f>
        <v>#NAME?</v>
      </c>
      <c r="AT63" s="59" t="e">
        <f aca="false">_xlfn.xlookup(A63,'SYS Allocations'!A:A,'SYS Allocations'!E:E)</f>
        <v>#NAME?</v>
      </c>
      <c r="AU63" s="59" t="e">
        <f aca="false">_xlfn.xlookup(A63,'SYS Allocations'!A:A,'SYS Allocations'!F:F)</f>
        <v>#NAME?</v>
      </c>
      <c r="BA63" s="0" t="str">
        <f aca="false">IFERROR(LEFT(R63,FIND("(",R63,1)-1),R63)</f>
        <v>2DDm85-13</v>
      </c>
    </row>
    <row r="64" customFormat="false" ht="13.15" hidden="false" customHeight="false" outlineLevel="0" collapsed="false">
      <c r="A64" s="20" t="s">
        <v>80</v>
      </c>
      <c r="B64" s="0" t="s">
        <v>488</v>
      </c>
      <c r="C64" s="0" t="s">
        <v>489</v>
      </c>
      <c r="D64" s="0" t="s">
        <v>319</v>
      </c>
      <c r="E64" s="0" t="s">
        <v>490</v>
      </c>
      <c r="F64" s="0" t="s">
        <v>321</v>
      </c>
      <c r="G64" s="0" t="n">
        <v>36.6</v>
      </c>
      <c r="H64" s="0" t="n">
        <v>27</v>
      </c>
      <c r="I64" s="0" t="n">
        <v>312</v>
      </c>
      <c r="J64" s="0" t="n">
        <v>17.004</v>
      </c>
      <c r="K64" s="45" t="n">
        <v>45659</v>
      </c>
      <c r="L64" s="0" t="n">
        <v>41.48976</v>
      </c>
      <c r="M64" s="0" t="n">
        <v>24.48576</v>
      </c>
      <c r="N64" s="0" t="n">
        <v>30.0622</v>
      </c>
      <c r="O64" s="0" t="n">
        <v>13.0582</v>
      </c>
      <c r="P64" s="0" t="s">
        <v>325</v>
      </c>
      <c r="Q64" s="0" t="s">
        <v>331</v>
      </c>
      <c r="R64" s="0" t="s">
        <v>345</v>
      </c>
      <c r="S64" s="0" t="n">
        <v>35.5536</v>
      </c>
      <c r="T64" s="0" t="n">
        <v>18.5496</v>
      </c>
      <c r="U64" s="0" t="s">
        <v>322</v>
      </c>
      <c r="V64" s="0" t="s">
        <v>333</v>
      </c>
      <c r="W64" s="0" t="n">
        <v>22.5</v>
      </c>
      <c r="X64" s="0" t="n">
        <v>5.496</v>
      </c>
      <c r="Y64" s="0" t="n">
        <v>15</v>
      </c>
      <c r="AB64" s="58" t="n">
        <f aca="false">M64-AA64</f>
        <v>24.48576</v>
      </c>
      <c r="AC64" s="58" t="n">
        <f aca="false">O64-AA64</f>
        <v>13.0582</v>
      </c>
      <c r="AD64" s="58" t="n">
        <f aca="false">AB64/L64%</f>
        <v>59.0163934426229</v>
      </c>
      <c r="AE64" s="58" t="n">
        <f aca="false">AC64/N64%</f>
        <v>43.437273386512</v>
      </c>
      <c r="AF64" s="58" t="n">
        <f aca="false">T64-AA64</f>
        <v>18.5496</v>
      </c>
      <c r="AG64" s="58" t="n">
        <f aca="false">AF64/S64%</f>
        <v>52.1736195490752</v>
      </c>
      <c r="AH64" s="58" t="n">
        <f aca="false">W64</f>
        <v>22.5</v>
      </c>
      <c r="AI64" s="58" t="n">
        <f aca="false">J64</f>
        <v>17.004</v>
      </c>
      <c r="AJ64" s="58" t="n">
        <f aca="false">AH64-AI64</f>
        <v>5.496</v>
      </c>
      <c r="AK64" s="58" t="n">
        <f aca="false">AA64</f>
        <v>0</v>
      </c>
      <c r="AL64" s="58" t="n">
        <f aca="false">AJ64-AK64</f>
        <v>5.496</v>
      </c>
      <c r="AM64" s="58" t="n">
        <f aca="false">AL64/AH64%</f>
        <v>24.4266666666667</v>
      </c>
      <c r="AN64" s="0" t="str">
        <f aca="false">IF(ISBLANK(Z64),"","Capped")</f>
        <v/>
      </c>
      <c r="AO64" s="0" t="s">
        <v>327</v>
      </c>
      <c r="AP64" s="0" t="str">
        <f aca="false">TRIM(BA64)</f>
        <v>DDm125-33</v>
      </c>
      <c r="AQ64" s="59" t="e">
        <f aca="false">_xlfn.xlookup(A64,'SYS Allocations'!A:A,'SYS Allocations'!B:B)</f>
        <v>#NAME?</v>
      </c>
      <c r="AR64" s="59" t="e">
        <f aca="false">_xlfn.xlookup(A64,'SYS Allocations'!A:A,'SYS Allocations'!C:C)</f>
        <v>#NAME?</v>
      </c>
      <c r="AS64" s="59" t="e">
        <f aca="false">_xlfn.xlookup(A64,'SYS Allocations'!A:A,'SYS Allocations'!D:D)</f>
        <v>#NAME?</v>
      </c>
      <c r="AT64" s="59" t="e">
        <f aca="false">_xlfn.xlookup(A64,'SYS Allocations'!A:A,'SYS Allocations'!E:E)</f>
        <v>#NAME?</v>
      </c>
      <c r="AU64" s="59" t="e">
        <f aca="false">_xlfn.xlookup(A64,'SYS Allocations'!A:A,'SYS Allocations'!F:F)</f>
        <v>#NAME?</v>
      </c>
      <c r="BA64" s="0" t="str">
        <f aca="false">IFERROR(LEFT(R64,FIND("(",R64,1)-1),R64)</f>
        <v>DDm125-33</v>
      </c>
    </row>
    <row r="65" customFormat="false" ht="13.15" hidden="false" customHeight="false" outlineLevel="0" collapsed="false">
      <c r="A65" s="20" t="s">
        <v>81</v>
      </c>
      <c r="B65" s="0" t="s">
        <v>376</v>
      </c>
      <c r="C65" s="0" t="s">
        <v>491</v>
      </c>
      <c r="D65" s="0" t="s">
        <v>319</v>
      </c>
      <c r="E65" s="0" t="s">
        <v>492</v>
      </c>
      <c r="F65" s="0" t="s">
        <v>321</v>
      </c>
      <c r="G65" s="0" t="n">
        <v>36.6</v>
      </c>
      <c r="H65" s="0" t="n">
        <v>5</v>
      </c>
      <c r="I65" s="0" t="n">
        <v>1</v>
      </c>
      <c r="J65" s="0" t="n">
        <v>0.0545</v>
      </c>
      <c r="K65" s="45" t="n">
        <v>45531</v>
      </c>
      <c r="L65" s="0" t="n">
        <v>6.38304</v>
      </c>
      <c r="M65" s="0" t="n">
        <v>6.32854</v>
      </c>
      <c r="N65" s="0" t="n">
        <v>4.4908</v>
      </c>
      <c r="O65" s="0" t="n">
        <v>4.4363</v>
      </c>
      <c r="P65" s="0" t="s">
        <v>446</v>
      </c>
      <c r="Q65" s="0" t="s">
        <v>352</v>
      </c>
      <c r="R65" s="0" t="s">
        <v>450</v>
      </c>
      <c r="S65" s="0" t="n">
        <v>7.81056000000001</v>
      </c>
      <c r="T65" s="0" t="n">
        <v>7.75606000000001</v>
      </c>
      <c r="U65" s="0" t="s">
        <v>325</v>
      </c>
      <c r="V65" s="0" t="s">
        <v>446</v>
      </c>
      <c r="W65" s="0" t="n">
        <v>6</v>
      </c>
      <c r="X65" s="0" t="n">
        <v>5.9455</v>
      </c>
      <c r="Y65" s="0" t="n">
        <v>8</v>
      </c>
      <c r="AB65" s="58" t="n">
        <f aca="false">M65-AA65</f>
        <v>6.32854</v>
      </c>
      <c r="AC65" s="58" t="n">
        <f aca="false">O65-AA65</f>
        <v>4.4363</v>
      </c>
      <c r="AD65" s="58" t="n">
        <f aca="false">AB65/L65%</f>
        <v>99.146174863388</v>
      </c>
      <c r="AE65" s="58" t="n">
        <f aca="false">AC65/N65%</f>
        <v>98.7864077669903</v>
      </c>
      <c r="AF65" s="58" t="n">
        <f aca="false">T65-AA65</f>
        <v>7.75606000000001</v>
      </c>
      <c r="AG65" s="58" t="n">
        <f aca="false">AF65/S65%</f>
        <v>99.3022267289413</v>
      </c>
      <c r="AH65" s="58" t="n">
        <f aca="false">W65</f>
        <v>6</v>
      </c>
      <c r="AI65" s="58" t="n">
        <f aca="false">J65</f>
        <v>0.0545</v>
      </c>
      <c r="AJ65" s="58" t="n">
        <f aca="false">AH65-AI65</f>
        <v>5.9455</v>
      </c>
      <c r="AK65" s="58" t="n">
        <f aca="false">AA65</f>
        <v>0</v>
      </c>
      <c r="AL65" s="58" t="n">
        <f aca="false">AJ65-AK65</f>
        <v>5.9455</v>
      </c>
      <c r="AM65" s="58" t="n">
        <f aca="false">AL65/AH65%</f>
        <v>99.0916666666667</v>
      </c>
      <c r="AN65" s="0" t="str">
        <f aca="false">IF(ISBLANK(Z65),"","Capped")</f>
        <v/>
      </c>
      <c r="AO65" s="0" t="s">
        <v>327</v>
      </c>
      <c r="AP65" s="0" t="str">
        <f aca="false">TRIM(BA65)</f>
        <v>12V100F</v>
      </c>
      <c r="AQ65" s="59" t="e">
        <f aca="false">_xlfn.xlookup(A65,'SYS Allocations'!A:A,'SYS Allocations'!B:B)</f>
        <v>#NAME?</v>
      </c>
      <c r="AR65" s="59" t="e">
        <f aca="false">_xlfn.xlookup(A65,'SYS Allocations'!A:A,'SYS Allocations'!C:C)</f>
        <v>#NAME?</v>
      </c>
      <c r="AS65" s="59" t="e">
        <f aca="false">_xlfn.xlookup(A65,'SYS Allocations'!A:A,'SYS Allocations'!D:D)</f>
        <v>#NAME?</v>
      </c>
      <c r="AT65" s="59" t="e">
        <f aca="false">_xlfn.xlookup(A65,'SYS Allocations'!A:A,'SYS Allocations'!E:E)</f>
        <v>#NAME?</v>
      </c>
      <c r="AU65" s="59" t="e">
        <f aca="false">_xlfn.xlookup(A65,'SYS Allocations'!A:A,'SYS Allocations'!F:F)</f>
        <v>#NAME?</v>
      </c>
      <c r="BA65" s="0" t="str">
        <f aca="false">IFERROR(LEFT(R65,FIND("(",R65,1)-1),R65)</f>
        <v>12V100F</v>
      </c>
    </row>
    <row r="66" customFormat="false" ht="13.15" hidden="false" customHeight="false" outlineLevel="0" collapsed="false">
      <c r="A66" s="20" t="s">
        <v>82</v>
      </c>
      <c r="B66" s="0" t="s">
        <v>317</v>
      </c>
      <c r="C66" s="0" t="s">
        <v>493</v>
      </c>
      <c r="D66" s="0" t="s">
        <v>319</v>
      </c>
      <c r="E66" s="0" t="s">
        <v>494</v>
      </c>
      <c r="F66" s="0" t="s">
        <v>321</v>
      </c>
      <c r="G66" s="0" t="n">
        <v>36.6</v>
      </c>
      <c r="H66" s="0" t="n">
        <v>16</v>
      </c>
      <c r="I66" s="0" t="n">
        <v>206</v>
      </c>
      <c r="J66" s="0" t="n">
        <v>11.227</v>
      </c>
      <c r="K66" s="45" t="n">
        <v>45351</v>
      </c>
      <c r="L66" s="0" t="n">
        <v>23.9364</v>
      </c>
      <c r="M66" s="0" t="n">
        <v>12.7094</v>
      </c>
      <c r="N66" s="0" t="n">
        <v>0.2725</v>
      </c>
      <c r="O66" s="0" t="n">
        <v>-10.9545</v>
      </c>
      <c r="P66" s="0" t="s">
        <v>337</v>
      </c>
      <c r="Q66" s="0" t="s">
        <v>331</v>
      </c>
      <c r="R66" s="0" t="s">
        <v>472</v>
      </c>
      <c r="S66" s="0" t="n">
        <v>45.9648</v>
      </c>
      <c r="T66" s="0" t="n">
        <v>34.7378</v>
      </c>
      <c r="U66" s="0" t="s">
        <v>325</v>
      </c>
      <c r="V66" s="0" t="s">
        <v>495</v>
      </c>
      <c r="W66" s="0" t="n">
        <v>16.5</v>
      </c>
      <c r="X66" s="0" t="n">
        <v>5.273</v>
      </c>
      <c r="Y66" s="0" t="n">
        <v>6</v>
      </c>
      <c r="AB66" s="58" t="n">
        <f aca="false">M66-AA66</f>
        <v>12.7094</v>
      </c>
      <c r="AC66" s="58" t="n">
        <f aca="false">O66-AA66</f>
        <v>-10.9545</v>
      </c>
      <c r="AD66" s="58" t="n">
        <f aca="false">AB66/L66%</f>
        <v>53.0965391621129</v>
      </c>
      <c r="AE66" s="58" t="n">
        <f aca="false">AC66/N66%</f>
        <v>-4020</v>
      </c>
      <c r="AF66" s="58" t="n">
        <f aca="false">T66-AA66</f>
        <v>34.7378</v>
      </c>
      <c r="AG66" s="58" t="n">
        <f aca="false">AF66/S66%</f>
        <v>75.5747876636035</v>
      </c>
      <c r="AH66" s="58" t="n">
        <f aca="false">W66</f>
        <v>16.5</v>
      </c>
      <c r="AI66" s="58" t="n">
        <f aca="false">J66</f>
        <v>11.227</v>
      </c>
      <c r="AJ66" s="58" t="n">
        <f aca="false">AH66-AI66</f>
        <v>5.273</v>
      </c>
      <c r="AK66" s="58" t="n">
        <f aca="false">AA66</f>
        <v>0</v>
      </c>
      <c r="AL66" s="58" t="n">
        <f aca="false">AJ66-AK66</f>
        <v>5.273</v>
      </c>
      <c r="AM66" s="58" t="n">
        <f aca="false">AL66/AH66%</f>
        <v>31.9575757575758</v>
      </c>
      <c r="AN66" s="0" t="str">
        <f aca="false">IF(ISBLANK(Z66),"","Capped")</f>
        <v/>
      </c>
      <c r="AO66" s="0" t="s">
        <v>327</v>
      </c>
      <c r="AP66" s="0" t="str">
        <f aca="false">TRIM(BA66)</f>
        <v>DDm85-33</v>
      </c>
      <c r="AQ66" s="59" t="e">
        <f aca="false">_xlfn.xlookup(A66,'SYS Allocations'!A:A,'SYS Allocations'!B:B)</f>
        <v>#NAME?</v>
      </c>
      <c r="AR66" s="59" t="e">
        <f aca="false">_xlfn.xlookup(A66,'SYS Allocations'!A:A,'SYS Allocations'!C:C)</f>
        <v>#NAME?</v>
      </c>
      <c r="AS66" s="59" t="e">
        <f aca="false">_xlfn.xlookup(A66,'SYS Allocations'!A:A,'SYS Allocations'!D:D)</f>
        <v>#NAME?</v>
      </c>
      <c r="AT66" s="59" t="e">
        <f aca="false">_xlfn.xlookup(A66,'SYS Allocations'!A:A,'SYS Allocations'!E:E)</f>
        <v>#NAME?</v>
      </c>
      <c r="AU66" s="59" t="e">
        <f aca="false">_xlfn.xlookup(A66,'SYS Allocations'!A:A,'SYS Allocations'!F:F)</f>
        <v>#NAME?</v>
      </c>
      <c r="BA66" s="0" t="str">
        <f aca="false">IFERROR(LEFT(R66,FIND("(",R66,1)-1),R66)</f>
        <v>DDm85-33</v>
      </c>
    </row>
    <row r="67" customFormat="false" ht="13.15" hidden="false" customHeight="false" outlineLevel="0" collapsed="false">
      <c r="A67" s="20" t="s">
        <v>83</v>
      </c>
      <c r="B67" s="0" t="s">
        <v>394</v>
      </c>
      <c r="C67" s="0" t="s">
        <v>496</v>
      </c>
      <c r="D67" s="0" t="s">
        <v>390</v>
      </c>
      <c r="E67" s="0" t="s">
        <v>497</v>
      </c>
      <c r="F67" s="0" t="s">
        <v>321</v>
      </c>
      <c r="G67" s="0" t="n">
        <v>36.6</v>
      </c>
      <c r="H67" s="0" t="n">
        <v>11</v>
      </c>
      <c r="I67" s="0" t="n">
        <v>76</v>
      </c>
      <c r="J67" s="0" t="n">
        <v>4.142</v>
      </c>
      <c r="K67" s="45" t="n">
        <v>45659</v>
      </c>
      <c r="L67" s="0" t="n">
        <v>15.9576</v>
      </c>
      <c r="M67" s="0" t="n">
        <v>11.8156</v>
      </c>
      <c r="N67" s="0" t="n">
        <v>14.388</v>
      </c>
      <c r="O67" s="0" t="n">
        <v>10.246</v>
      </c>
      <c r="P67" s="0" t="s">
        <v>325</v>
      </c>
      <c r="Q67" s="0" t="s">
        <v>331</v>
      </c>
      <c r="R67" s="0" t="s">
        <v>486</v>
      </c>
      <c r="S67" s="0" t="n">
        <v>8.72640000000003</v>
      </c>
      <c r="T67" s="0" t="n">
        <v>4.58440000000002</v>
      </c>
      <c r="U67" s="0" t="s">
        <v>325</v>
      </c>
      <c r="V67" s="0" t="s">
        <v>446</v>
      </c>
      <c r="W67" s="0" t="n">
        <v>6</v>
      </c>
      <c r="X67" s="0" t="n">
        <v>1.858</v>
      </c>
      <c r="Y67" s="0" t="n">
        <v>0</v>
      </c>
      <c r="Z67" s="0" t="s">
        <v>8</v>
      </c>
      <c r="AB67" s="58" t="n">
        <f aca="false">M67-AA67</f>
        <v>11.8156</v>
      </c>
      <c r="AC67" s="58" t="n">
        <f aca="false">O67-AA67</f>
        <v>10.246</v>
      </c>
      <c r="AD67" s="58" t="n">
        <f aca="false">AB67/L67%</f>
        <v>74.0437158469945</v>
      </c>
      <c r="AE67" s="58" t="n">
        <f aca="false">AC67/N67%</f>
        <v>71.2121212121212</v>
      </c>
      <c r="AF67" s="58" t="n">
        <f aca="false">T67-AA67</f>
        <v>4.58440000000002</v>
      </c>
      <c r="AG67" s="58" t="n">
        <f aca="false">AF67/S67%</f>
        <v>52.5348368170151</v>
      </c>
      <c r="AH67" s="58" t="n">
        <f aca="false">W67</f>
        <v>6</v>
      </c>
      <c r="AI67" s="58" t="n">
        <f aca="false">J67</f>
        <v>4.142</v>
      </c>
      <c r="AJ67" s="58" t="n">
        <f aca="false">AH67-AI67</f>
        <v>1.858</v>
      </c>
      <c r="AK67" s="58" t="n">
        <f aca="false">AA67</f>
        <v>0</v>
      </c>
      <c r="AL67" s="58" t="n">
        <f aca="false">AJ67-AK67</f>
        <v>1.858</v>
      </c>
      <c r="AM67" s="58" t="n">
        <f aca="false">AL67/AH67%</f>
        <v>30.9666666666667</v>
      </c>
      <c r="AN67" s="0" t="str">
        <f aca="false">IF(ISBLANK(Z67),"","Capped")</f>
        <v>Capped</v>
      </c>
      <c r="AO67" s="0" t="s">
        <v>327</v>
      </c>
      <c r="AP67" s="0" t="str">
        <f aca="false">TRIM(BA67)</f>
        <v>2DDm85-13</v>
      </c>
      <c r="AQ67" s="59" t="e">
        <f aca="false">_xlfn.xlookup(A67,'SYS Allocations'!A:A,'SYS Allocations'!B:B)</f>
        <v>#NAME?</v>
      </c>
      <c r="AR67" s="59" t="e">
        <f aca="false">_xlfn.xlookup(A67,'SYS Allocations'!A:A,'SYS Allocations'!C:C)</f>
        <v>#NAME?</v>
      </c>
      <c r="AS67" s="59" t="e">
        <f aca="false">_xlfn.xlookup(A67,'SYS Allocations'!A:A,'SYS Allocations'!D:D)</f>
        <v>#NAME?</v>
      </c>
      <c r="AT67" s="59" t="e">
        <f aca="false">_xlfn.xlookup(A67,'SYS Allocations'!A:A,'SYS Allocations'!E:E)</f>
        <v>#NAME?</v>
      </c>
      <c r="AU67" s="59" t="e">
        <f aca="false">_xlfn.xlookup(A67,'SYS Allocations'!A:A,'SYS Allocations'!F:F)</f>
        <v>#NAME?</v>
      </c>
      <c r="BA67" s="0" t="str">
        <f aca="false">IFERROR(LEFT(R67,FIND("(",R67,1)-1),R67)</f>
        <v>2DDm85-13</v>
      </c>
    </row>
    <row r="68" customFormat="false" ht="13.15" hidden="false" customHeight="false" outlineLevel="0" collapsed="false">
      <c r="A68" s="20" t="s">
        <v>84</v>
      </c>
      <c r="B68" s="0" t="s">
        <v>371</v>
      </c>
      <c r="C68" s="0" t="s">
        <v>498</v>
      </c>
      <c r="D68" s="0" t="s">
        <v>319</v>
      </c>
      <c r="E68" s="0" t="s">
        <v>499</v>
      </c>
      <c r="F68" s="0" t="s">
        <v>321</v>
      </c>
      <c r="G68" s="0" t="n">
        <v>36.6</v>
      </c>
      <c r="H68" s="0" t="n">
        <v>7</v>
      </c>
      <c r="I68" s="0" t="n">
        <v>41</v>
      </c>
      <c r="J68" s="0" t="n">
        <v>2.2345</v>
      </c>
      <c r="K68" s="45" t="n">
        <v>45659</v>
      </c>
      <c r="L68" s="0" t="n">
        <v>9.57456</v>
      </c>
      <c r="M68" s="0" t="n">
        <v>7.34006</v>
      </c>
      <c r="N68" s="0" t="n">
        <v>5.4827</v>
      </c>
      <c r="O68" s="0" t="n">
        <v>3.2482</v>
      </c>
      <c r="P68" s="0" t="s">
        <v>325</v>
      </c>
      <c r="Q68" s="0" t="s">
        <v>331</v>
      </c>
      <c r="R68" s="0" t="s">
        <v>365</v>
      </c>
      <c r="S68" s="0" t="n">
        <v>10.1088</v>
      </c>
      <c r="T68" s="0" t="n">
        <v>7.87429999999998</v>
      </c>
      <c r="U68" s="0" t="s">
        <v>325</v>
      </c>
      <c r="V68" s="0" t="s">
        <v>442</v>
      </c>
      <c r="W68" s="0" t="n">
        <v>11.25</v>
      </c>
      <c r="X68" s="0" t="n">
        <v>9.0155</v>
      </c>
      <c r="Y68" s="0" t="n">
        <v>25</v>
      </c>
      <c r="AB68" s="58" t="n">
        <f aca="false">M68-AA68</f>
        <v>7.34006</v>
      </c>
      <c r="AC68" s="58" t="n">
        <f aca="false">O68-AA68</f>
        <v>3.2482</v>
      </c>
      <c r="AD68" s="58" t="n">
        <f aca="false">AB68/L68%</f>
        <v>76.6621129326047</v>
      </c>
      <c r="AE68" s="58" t="n">
        <f aca="false">AC68/N68%</f>
        <v>59.2445328031809</v>
      </c>
      <c r="AF68" s="58" t="n">
        <f aca="false">T68-AA68</f>
        <v>7.87429999999998</v>
      </c>
      <c r="AG68" s="58" t="n">
        <f aca="false">AF68/S68%</f>
        <v>77.895496992719</v>
      </c>
      <c r="AH68" s="58" t="n">
        <f aca="false">W68</f>
        <v>11.25</v>
      </c>
      <c r="AI68" s="58" t="n">
        <f aca="false">J68</f>
        <v>2.2345</v>
      </c>
      <c r="AJ68" s="58" t="n">
        <f aca="false">AH68-AI68</f>
        <v>9.0155</v>
      </c>
      <c r="AK68" s="58" t="n">
        <f aca="false">AA68</f>
        <v>0</v>
      </c>
      <c r="AL68" s="58" t="n">
        <f aca="false">AJ68-AK68</f>
        <v>9.0155</v>
      </c>
      <c r="AM68" s="58" t="n">
        <f aca="false">AL68/AH68%</f>
        <v>80.1377777777778</v>
      </c>
      <c r="AN68" s="0" t="str">
        <f aca="false">IF(ISBLANK(Z68),"","Capped")</f>
        <v/>
      </c>
      <c r="AO68" s="0" t="s">
        <v>327</v>
      </c>
      <c r="AP68" s="0" t="str">
        <f aca="false">TRIM(BA68)</f>
        <v>2DDm85-15</v>
      </c>
      <c r="AQ68" s="59" t="e">
        <f aca="false">_xlfn.xlookup(A68,'SYS Allocations'!A:A,'SYS Allocations'!B:B)</f>
        <v>#NAME?</v>
      </c>
      <c r="AR68" s="59" t="e">
        <f aca="false">_xlfn.xlookup(A68,'SYS Allocations'!A:A,'SYS Allocations'!C:C)</f>
        <v>#NAME?</v>
      </c>
      <c r="AS68" s="59" t="e">
        <f aca="false">_xlfn.xlookup(A68,'SYS Allocations'!A:A,'SYS Allocations'!D:D)</f>
        <v>#NAME?</v>
      </c>
      <c r="AT68" s="59" t="e">
        <f aca="false">_xlfn.xlookup(A68,'SYS Allocations'!A:A,'SYS Allocations'!E:E)</f>
        <v>#NAME?</v>
      </c>
      <c r="AU68" s="59" t="e">
        <f aca="false">_xlfn.xlookup(A68,'SYS Allocations'!A:A,'SYS Allocations'!F:F)</f>
        <v>#NAME?</v>
      </c>
      <c r="BA68" s="0" t="str">
        <f aca="false">IFERROR(LEFT(R68,FIND("(",R68,1)-1),R68)</f>
        <v>2DDm85-15</v>
      </c>
    </row>
    <row r="69" customFormat="false" ht="13.15" hidden="false" customHeight="false" outlineLevel="0" collapsed="false">
      <c r="A69" s="20" t="s">
        <v>85</v>
      </c>
      <c r="B69" s="0" t="s">
        <v>342</v>
      </c>
      <c r="C69" s="0" t="s">
        <v>342</v>
      </c>
      <c r="D69" s="0" t="s">
        <v>390</v>
      </c>
      <c r="E69" s="0" t="s">
        <v>500</v>
      </c>
      <c r="F69" s="0" t="s">
        <v>364</v>
      </c>
      <c r="G69" s="0" t="n">
        <v>75</v>
      </c>
      <c r="H69" s="0" t="n">
        <v>28</v>
      </c>
      <c r="I69" s="0" t="n">
        <v>780</v>
      </c>
      <c r="J69" s="0" t="n">
        <v>42.51</v>
      </c>
      <c r="K69" s="45" t="n">
        <v>45211</v>
      </c>
      <c r="L69" s="0" t="n">
        <v>88.29</v>
      </c>
      <c r="M69" s="0" t="n">
        <v>45.78</v>
      </c>
      <c r="N69" s="0" t="n">
        <v>77.6625</v>
      </c>
      <c r="O69" s="0" t="n">
        <v>35.1525</v>
      </c>
      <c r="P69" s="0" t="s">
        <v>322</v>
      </c>
      <c r="Q69" s="0" t="s">
        <v>331</v>
      </c>
      <c r="R69" s="0" t="s">
        <v>345</v>
      </c>
      <c r="S69" s="0" t="n">
        <v>53.3304</v>
      </c>
      <c r="T69" s="0" t="n">
        <v>10.8204</v>
      </c>
      <c r="U69" s="0" t="s">
        <v>358</v>
      </c>
      <c r="V69" s="0" t="s">
        <v>501</v>
      </c>
      <c r="W69" s="0" t="n">
        <v>180</v>
      </c>
      <c r="X69" s="0" t="n">
        <v>137.49</v>
      </c>
      <c r="Y69" s="0" t="n">
        <v>18</v>
      </c>
      <c r="Z69" s="0" t="s">
        <v>8</v>
      </c>
      <c r="AB69" s="58" t="n">
        <f aca="false">M69-AA69</f>
        <v>45.78</v>
      </c>
      <c r="AC69" s="58" t="n">
        <f aca="false">O69-AA69</f>
        <v>35.1525</v>
      </c>
      <c r="AD69" s="58" t="n">
        <f aca="false">AB69/L69%</f>
        <v>51.8518518518519</v>
      </c>
      <c r="AE69" s="58" t="n">
        <f aca="false">AC69/N69%</f>
        <v>45.2631578947369</v>
      </c>
      <c r="AF69" s="58" t="n">
        <f aca="false">T69-AA69</f>
        <v>10.8204</v>
      </c>
      <c r="AG69" s="58" t="n">
        <f aca="false">AF69/S69%</f>
        <v>20.2893659151253</v>
      </c>
      <c r="AH69" s="60" t="n">
        <f aca="false">AVERAGE(W69:W70)</f>
        <v>180</v>
      </c>
      <c r="AI69" s="60" t="n">
        <f aca="false">SUM(J69:J70)</f>
        <v>135.6505</v>
      </c>
      <c r="AJ69" s="60" t="n">
        <f aca="false">AH69-AI69</f>
        <v>44.3495</v>
      </c>
      <c r="AK69" s="60" t="n">
        <f aca="false">SUM(AA69:AA70)</f>
        <v>0</v>
      </c>
      <c r="AL69" s="60" t="n">
        <f aca="false">AJ69-AK69</f>
        <v>44.3495</v>
      </c>
      <c r="AM69" s="61" t="n">
        <f aca="false">AL69/AH69%</f>
        <v>24.6386111111111</v>
      </c>
      <c r="AN69" s="0" t="str">
        <f aca="false">IF(ISBLANK(Z69),"","Capped")</f>
        <v>Capped</v>
      </c>
      <c r="AO69" s="0" t="s">
        <v>327</v>
      </c>
      <c r="AP69" s="0" t="str">
        <f aca="false">TRIM(BA69)</f>
        <v>DDm125-33</v>
      </c>
      <c r="AQ69" s="59" t="e">
        <f aca="false">_xlfn.xlookup(A69,'SYS Allocations'!A:A,'SYS Allocations'!B:B)</f>
        <v>#NAME?</v>
      </c>
      <c r="AR69" s="59" t="e">
        <f aca="false">_xlfn.xlookup(A69,'SYS Allocations'!A:A,'SYS Allocations'!C:C)</f>
        <v>#NAME?</v>
      </c>
      <c r="AS69" s="59" t="e">
        <f aca="false">_xlfn.xlookup(A69,'SYS Allocations'!A:A,'SYS Allocations'!D:D)</f>
        <v>#NAME?</v>
      </c>
      <c r="AT69" s="59" t="e">
        <f aca="false">_xlfn.xlookup(A69,'SYS Allocations'!A:A,'SYS Allocations'!E:E)</f>
        <v>#NAME?</v>
      </c>
      <c r="AU69" s="59" t="e">
        <f aca="false">_xlfn.xlookup(A69,'SYS Allocations'!A:A,'SYS Allocations'!F:F)</f>
        <v>#NAME?</v>
      </c>
      <c r="BA69" s="0" t="str">
        <f aca="false">IFERROR(LEFT(R69,FIND("(",R69,1)-1),R69)</f>
        <v>DDm125-33</v>
      </c>
    </row>
    <row r="70" customFormat="false" ht="13.15" hidden="false" customHeight="false" outlineLevel="0" collapsed="false">
      <c r="A70" s="20" t="s">
        <v>86</v>
      </c>
      <c r="B70" s="0" t="s">
        <v>342</v>
      </c>
      <c r="C70" s="0" t="s">
        <v>342</v>
      </c>
      <c r="D70" s="0" t="s">
        <v>390</v>
      </c>
      <c r="E70" s="0" t="s">
        <v>500</v>
      </c>
      <c r="F70" s="0" t="s">
        <v>383</v>
      </c>
      <c r="G70" s="0" t="n">
        <v>55</v>
      </c>
      <c r="H70" s="0" t="n">
        <v>54</v>
      </c>
      <c r="I70" s="0" t="n">
        <v>1709</v>
      </c>
      <c r="J70" s="0" t="n">
        <v>93.1405</v>
      </c>
      <c r="K70" s="45" t="n">
        <v>45579</v>
      </c>
      <c r="L70" s="0" t="n">
        <v>127.094</v>
      </c>
      <c r="M70" s="0" t="n">
        <v>33.9535</v>
      </c>
      <c r="N70" s="0" t="n">
        <v>93.4675</v>
      </c>
      <c r="O70" s="0" t="n">
        <v>0.327</v>
      </c>
      <c r="P70" s="0" t="s">
        <v>374</v>
      </c>
      <c r="Q70" s="0" t="s">
        <v>331</v>
      </c>
      <c r="R70" s="0" t="s">
        <v>345</v>
      </c>
      <c r="S70" s="0" t="n">
        <v>106.6608</v>
      </c>
      <c r="T70" s="0" t="n">
        <v>13.5203000000001</v>
      </c>
      <c r="U70" s="0" t="s">
        <v>358</v>
      </c>
      <c r="V70" s="0" t="s">
        <v>501</v>
      </c>
      <c r="W70" s="0" t="n">
        <v>180</v>
      </c>
      <c r="X70" s="0" t="n">
        <v>86.8595</v>
      </c>
      <c r="Y70" s="0" t="n">
        <v>18</v>
      </c>
      <c r="Z70" s="0" t="s">
        <v>8</v>
      </c>
      <c r="AB70" s="58" t="n">
        <f aca="false">M70-AA70</f>
        <v>33.9535</v>
      </c>
      <c r="AC70" s="58" t="n">
        <f aca="false">O70-AA70</f>
        <v>0.327</v>
      </c>
      <c r="AD70" s="58" t="n">
        <f aca="false">AB70/L70%</f>
        <v>26.7152658662093</v>
      </c>
      <c r="AE70" s="58" t="n">
        <f aca="false">AC70/N70%</f>
        <v>0.349854227405248</v>
      </c>
      <c r="AF70" s="58" t="n">
        <f aca="false">T70-AA70</f>
        <v>13.5203000000001</v>
      </c>
      <c r="AG70" s="58" t="n">
        <f aca="false">AF70/S70%</f>
        <v>12.6759784288137</v>
      </c>
      <c r="AH70" s="60"/>
      <c r="AI70" s="60"/>
      <c r="AJ70" s="60"/>
      <c r="AK70" s="60"/>
      <c r="AL70" s="60"/>
      <c r="AM70" s="61"/>
      <c r="AN70" s="0" t="str">
        <f aca="false">IF(ISBLANK(Z70),"","Capped")</f>
        <v>Capped</v>
      </c>
      <c r="AO70" s="0" t="s">
        <v>327</v>
      </c>
      <c r="AP70" s="0" t="str">
        <f aca="false">TRIM(BA70)</f>
        <v>DDm125-33</v>
      </c>
      <c r="AQ70" s="59" t="e">
        <f aca="false">_xlfn.xlookup(A70,'SYS Allocations'!A:A,'SYS Allocations'!B:B)</f>
        <v>#NAME?</v>
      </c>
      <c r="AR70" s="59" t="e">
        <f aca="false">_xlfn.xlookup(A70,'SYS Allocations'!A:A,'SYS Allocations'!C:C)</f>
        <v>#NAME?</v>
      </c>
      <c r="AS70" s="59" t="e">
        <f aca="false">_xlfn.xlookup(A70,'SYS Allocations'!A:A,'SYS Allocations'!D:D)</f>
        <v>#NAME?</v>
      </c>
      <c r="AT70" s="59" t="e">
        <f aca="false">_xlfn.xlookup(A70,'SYS Allocations'!A:A,'SYS Allocations'!E:E)</f>
        <v>#NAME?</v>
      </c>
      <c r="AU70" s="59" t="e">
        <f aca="false">_xlfn.xlookup(A70,'SYS Allocations'!A:A,'SYS Allocations'!F:F)</f>
        <v>#NAME?</v>
      </c>
      <c r="BA70" s="0" t="str">
        <f aca="false">IFERROR(LEFT(R70,FIND("(",R70,1)-1),R70)</f>
        <v>DDm125-33</v>
      </c>
    </row>
    <row r="71" customFormat="false" ht="13.15" hidden="false" customHeight="false" outlineLevel="0" collapsed="false">
      <c r="A71" s="20" t="s">
        <v>87</v>
      </c>
      <c r="B71" s="0" t="s">
        <v>342</v>
      </c>
      <c r="C71" s="0" t="s">
        <v>342</v>
      </c>
      <c r="D71" s="0" t="s">
        <v>319</v>
      </c>
      <c r="E71" s="0" t="s">
        <v>502</v>
      </c>
      <c r="F71" s="0" t="s">
        <v>321</v>
      </c>
      <c r="G71" s="0" t="n">
        <v>36.6</v>
      </c>
      <c r="H71" s="0" t="n">
        <v>39</v>
      </c>
      <c r="I71" s="0" t="n">
        <v>314</v>
      </c>
      <c r="J71" s="0" t="n">
        <v>17.113</v>
      </c>
      <c r="K71" s="45" t="n">
        <v>45492</v>
      </c>
      <c r="L71" s="0" t="n">
        <v>60.63888</v>
      </c>
      <c r="M71" s="0" t="n">
        <v>43.52588</v>
      </c>
      <c r="N71" s="0" t="n">
        <v>43.0986</v>
      </c>
      <c r="O71" s="0" t="n">
        <v>25.9856</v>
      </c>
      <c r="P71" s="0" t="s">
        <v>322</v>
      </c>
      <c r="Q71" s="0" t="s">
        <v>331</v>
      </c>
      <c r="R71" s="0" t="s">
        <v>345</v>
      </c>
      <c r="S71" s="0" t="n">
        <v>53.3304</v>
      </c>
      <c r="T71" s="0" t="n">
        <v>36.2174</v>
      </c>
      <c r="U71" s="0" t="s">
        <v>374</v>
      </c>
      <c r="V71" s="0" t="s">
        <v>503</v>
      </c>
      <c r="W71" s="0" t="n">
        <v>196.5</v>
      </c>
      <c r="X71" s="0" t="n">
        <v>179.387</v>
      </c>
      <c r="Y71" s="0" t="n">
        <v>65</v>
      </c>
      <c r="AB71" s="58" t="n">
        <f aca="false">M71-AA71</f>
        <v>43.52588</v>
      </c>
      <c r="AC71" s="58" t="n">
        <f aca="false">O71-AA71</f>
        <v>25.9856</v>
      </c>
      <c r="AD71" s="58" t="n">
        <f aca="false">AB71/L71%</f>
        <v>71.7788323267184</v>
      </c>
      <c r="AE71" s="58" t="n">
        <f aca="false">AC71/N71%</f>
        <v>60.2933737986849</v>
      </c>
      <c r="AF71" s="58" t="n">
        <f aca="false">T71-AA71</f>
        <v>36.2174</v>
      </c>
      <c r="AG71" s="58" t="n">
        <f aca="false">AF71/S71%</f>
        <v>67.9113601248069</v>
      </c>
      <c r="AH71" s="60" t="n">
        <f aca="false">AVERAGE(W71:W72)</f>
        <v>196.5</v>
      </c>
      <c r="AI71" s="60" t="n">
        <f aca="false">SUM(J71:J72)</f>
        <v>34.117</v>
      </c>
      <c r="AJ71" s="60" t="n">
        <f aca="false">AH71-AI71</f>
        <v>162.383</v>
      </c>
      <c r="AK71" s="60" t="n">
        <f aca="false">SUM(AA71:AA72)</f>
        <v>0</v>
      </c>
      <c r="AL71" s="60" t="n">
        <f aca="false">AJ71-AK71</f>
        <v>162.383</v>
      </c>
      <c r="AM71" s="61" t="n">
        <f aca="false">AL71/AH71%</f>
        <v>82.6376590330789</v>
      </c>
      <c r="AN71" s="0" t="str">
        <f aca="false">IF(ISBLANK(Z71),"","Capped")</f>
        <v/>
      </c>
      <c r="AO71" s="0" t="s">
        <v>393</v>
      </c>
      <c r="AP71" s="0" t="str">
        <f aca="false">TRIM(BA71)</f>
        <v>DDm125-33</v>
      </c>
      <c r="AQ71" s="59" t="e">
        <f aca="false">_xlfn.xlookup(A71,'SYS Allocations'!A:A,'SYS Allocations'!B:B)</f>
        <v>#NAME?</v>
      </c>
      <c r="AR71" s="59" t="e">
        <f aca="false">_xlfn.xlookup(A71,'SYS Allocations'!A:A,'SYS Allocations'!C:C)</f>
        <v>#NAME?</v>
      </c>
      <c r="AS71" s="59" t="e">
        <f aca="false">_xlfn.xlookup(A71,'SYS Allocations'!A:A,'SYS Allocations'!D:D)</f>
        <v>#NAME?</v>
      </c>
      <c r="AT71" s="59" t="e">
        <f aca="false">_xlfn.xlookup(A71,'SYS Allocations'!A:A,'SYS Allocations'!E:E)</f>
        <v>#NAME?</v>
      </c>
      <c r="AU71" s="59" t="e">
        <f aca="false">_xlfn.xlookup(A71,'SYS Allocations'!A:A,'SYS Allocations'!F:F)</f>
        <v>#NAME?</v>
      </c>
      <c r="BA71" s="0" t="str">
        <f aca="false">IFERROR(LEFT(R71,FIND("(",R71,1)-1),R71)</f>
        <v>DDm125-33</v>
      </c>
    </row>
    <row r="72" customFormat="false" ht="13.15" hidden="false" customHeight="false" outlineLevel="0" collapsed="false">
      <c r="A72" s="20" t="s">
        <v>88</v>
      </c>
      <c r="B72" s="0" t="s">
        <v>342</v>
      </c>
      <c r="C72" s="0" t="s">
        <v>342</v>
      </c>
      <c r="D72" s="0" t="s">
        <v>319</v>
      </c>
      <c r="E72" s="0" t="s">
        <v>502</v>
      </c>
      <c r="F72" s="0" t="s">
        <v>321</v>
      </c>
      <c r="G72" s="0" t="n">
        <v>36.6</v>
      </c>
      <c r="H72" s="0" t="n">
        <v>39</v>
      </c>
      <c r="I72" s="0" t="n">
        <v>312</v>
      </c>
      <c r="J72" s="0" t="n">
        <v>17.004</v>
      </c>
      <c r="K72" s="45" t="n">
        <v>45492</v>
      </c>
      <c r="L72" s="0" t="n">
        <v>60.63888</v>
      </c>
      <c r="M72" s="0" t="n">
        <v>43.63488</v>
      </c>
      <c r="N72" s="0" t="n">
        <v>43.0986</v>
      </c>
      <c r="O72" s="0" t="n">
        <v>26.0946</v>
      </c>
      <c r="P72" s="0" t="s">
        <v>322</v>
      </c>
      <c r="Q72" s="0" t="s">
        <v>331</v>
      </c>
      <c r="R72" s="0" t="s">
        <v>345</v>
      </c>
      <c r="S72" s="0" t="n">
        <v>53.3304</v>
      </c>
      <c r="T72" s="0" t="n">
        <v>36.3264</v>
      </c>
      <c r="U72" s="0" t="s">
        <v>374</v>
      </c>
      <c r="V72" s="0" t="s">
        <v>503</v>
      </c>
      <c r="W72" s="0" t="n">
        <v>196.5</v>
      </c>
      <c r="X72" s="0" t="n">
        <v>179.496</v>
      </c>
      <c r="Y72" s="0" t="n">
        <v>65</v>
      </c>
      <c r="AB72" s="58" t="n">
        <f aca="false">M72-AA72</f>
        <v>43.63488</v>
      </c>
      <c r="AC72" s="58" t="n">
        <f aca="false">O72-AA72</f>
        <v>26.0946</v>
      </c>
      <c r="AD72" s="58" t="n">
        <f aca="false">AB72/L72%</f>
        <v>71.9585849870578</v>
      </c>
      <c r="AE72" s="58" t="n">
        <f aca="false">AC72/N72%</f>
        <v>60.546282245827</v>
      </c>
      <c r="AF72" s="58" t="n">
        <f aca="false">T72-AA72</f>
        <v>36.3264</v>
      </c>
      <c r="AG72" s="58" t="n">
        <f aca="false">AF72/S72%</f>
        <v>68.1157463660501</v>
      </c>
      <c r="AH72" s="60"/>
      <c r="AI72" s="60"/>
      <c r="AJ72" s="60"/>
      <c r="AK72" s="60"/>
      <c r="AL72" s="60"/>
      <c r="AM72" s="61"/>
      <c r="AN72" s="0" t="str">
        <f aca="false">IF(ISBLANK(Z72),"","Capped")</f>
        <v/>
      </c>
      <c r="AO72" s="0" t="s">
        <v>393</v>
      </c>
      <c r="AP72" s="0" t="str">
        <f aca="false">TRIM(BA72)</f>
        <v>DDm125-33</v>
      </c>
      <c r="AQ72" s="59" t="e">
        <f aca="false">_xlfn.xlookup(A72,'SYS Allocations'!A:A,'SYS Allocations'!B:B)</f>
        <v>#NAME?</v>
      </c>
      <c r="AR72" s="59" t="e">
        <f aca="false">_xlfn.xlookup(A72,'SYS Allocations'!A:A,'SYS Allocations'!C:C)</f>
        <v>#NAME?</v>
      </c>
      <c r="AS72" s="59" t="e">
        <f aca="false">_xlfn.xlookup(A72,'SYS Allocations'!A:A,'SYS Allocations'!D:D)</f>
        <v>#NAME?</v>
      </c>
      <c r="AT72" s="59" t="e">
        <f aca="false">_xlfn.xlookup(A72,'SYS Allocations'!A:A,'SYS Allocations'!E:E)</f>
        <v>#NAME?</v>
      </c>
      <c r="AU72" s="59" t="e">
        <f aca="false">_xlfn.xlookup(A72,'SYS Allocations'!A:A,'SYS Allocations'!F:F)</f>
        <v>#NAME?</v>
      </c>
      <c r="BA72" s="0" t="str">
        <f aca="false">IFERROR(LEFT(R72,FIND("(",R72,1)-1),R72)</f>
        <v>DDm125-33</v>
      </c>
    </row>
    <row r="73" customFormat="false" ht="13.15" hidden="false" customHeight="false" outlineLevel="0" collapsed="false">
      <c r="A73" s="20" t="s">
        <v>89</v>
      </c>
      <c r="B73" s="0" t="s">
        <v>371</v>
      </c>
      <c r="C73" s="0" t="s">
        <v>504</v>
      </c>
      <c r="D73" s="0" t="s">
        <v>319</v>
      </c>
      <c r="E73" s="0" t="s">
        <v>505</v>
      </c>
      <c r="F73" s="0" t="s">
        <v>321</v>
      </c>
      <c r="G73" s="0" t="n">
        <v>36.6</v>
      </c>
      <c r="H73" s="0" t="n">
        <v>18</v>
      </c>
      <c r="I73" s="0" t="n">
        <v>35</v>
      </c>
      <c r="J73" s="0" t="n">
        <v>1.9075</v>
      </c>
      <c r="K73" s="45" t="n">
        <v>45659</v>
      </c>
      <c r="L73" s="0" t="n">
        <v>27.12792</v>
      </c>
      <c r="M73" s="0" t="n">
        <v>25.22042</v>
      </c>
      <c r="N73" s="0" t="n">
        <v>22.7919</v>
      </c>
      <c r="O73" s="0" t="n">
        <v>20.8844</v>
      </c>
      <c r="P73" s="0" t="s">
        <v>325</v>
      </c>
      <c r="Q73" s="0" t="s">
        <v>331</v>
      </c>
      <c r="R73" s="0" t="s">
        <v>332</v>
      </c>
      <c r="S73" s="0" t="n">
        <v>17.4096</v>
      </c>
      <c r="T73" s="0" t="n">
        <v>15.5021</v>
      </c>
      <c r="U73" s="0" t="s">
        <v>374</v>
      </c>
      <c r="V73" s="0" t="s">
        <v>366</v>
      </c>
      <c r="W73" s="0" t="n">
        <v>112.5</v>
      </c>
      <c r="X73" s="0" t="n">
        <v>110.5925</v>
      </c>
      <c r="Y73" s="0" t="n">
        <v>24</v>
      </c>
      <c r="AB73" s="58" t="n">
        <f aca="false">M73-AA73</f>
        <v>25.22042</v>
      </c>
      <c r="AC73" s="58" t="n">
        <f aca="false">O73-AA73</f>
        <v>20.8844</v>
      </c>
      <c r="AD73" s="58" t="n">
        <f aca="false">AB73/L73%</f>
        <v>92.9684988749598</v>
      </c>
      <c r="AE73" s="58" t="n">
        <f aca="false">AC73/N73%</f>
        <v>91.6307986609278</v>
      </c>
      <c r="AF73" s="58" t="n">
        <f aca="false">T73-AA73</f>
        <v>15.5021</v>
      </c>
      <c r="AG73" s="58" t="n">
        <f aca="false">AF73/S73%</f>
        <v>89.0434013417884</v>
      </c>
      <c r="AH73" s="58" t="n">
        <f aca="false">W73</f>
        <v>112.5</v>
      </c>
      <c r="AI73" s="58" t="n">
        <f aca="false">J73</f>
        <v>1.9075</v>
      </c>
      <c r="AJ73" s="58" t="n">
        <f aca="false">AH73-AI73</f>
        <v>110.5925</v>
      </c>
      <c r="AK73" s="58" t="n">
        <f aca="false">AA73</f>
        <v>0</v>
      </c>
      <c r="AL73" s="58" t="n">
        <f aca="false">AJ73-AK73</f>
        <v>110.5925</v>
      </c>
      <c r="AM73" s="58" t="n">
        <f aca="false">AL73/AH73%</f>
        <v>98.3044444444444</v>
      </c>
      <c r="AN73" s="0" t="str">
        <f aca="false">IF(ISBLANK(Z73),"","Capped")</f>
        <v/>
      </c>
      <c r="AO73" s="0" t="s">
        <v>393</v>
      </c>
      <c r="AP73" s="0" t="str">
        <f aca="false">TRIM(BA73)</f>
        <v>DDm85-25</v>
      </c>
      <c r="AQ73" s="59" t="e">
        <f aca="false">_xlfn.xlookup(A73,'SYS Allocations'!A:A,'SYS Allocations'!B:B)</f>
        <v>#NAME?</v>
      </c>
      <c r="AR73" s="59" t="e">
        <f aca="false">_xlfn.xlookup(A73,'SYS Allocations'!A:A,'SYS Allocations'!C:C)</f>
        <v>#NAME?</v>
      </c>
      <c r="AS73" s="59" t="e">
        <f aca="false">_xlfn.xlookup(A73,'SYS Allocations'!A:A,'SYS Allocations'!D:D)</f>
        <v>#NAME?</v>
      </c>
      <c r="AT73" s="59" t="e">
        <f aca="false">_xlfn.xlookup(A73,'SYS Allocations'!A:A,'SYS Allocations'!E:E)</f>
        <v>#NAME?</v>
      </c>
      <c r="AU73" s="59" t="e">
        <f aca="false">_xlfn.xlookup(A73,'SYS Allocations'!A:A,'SYS Allocations'!F:F)</f>
        <v>#NAME?</v>
      </c>
      <c r="BA73" s="0" t="str">
        <f aca="false">IFERROR(LEFT(R73,FIND("(",R73,1)-1),R73)</f>
        <v>DDm85-25</v>
      </c>
    </row>
    <row r="74" customFormat="false" ht="13.15" hidden="false" customHeight="false" outlineLevel="0" collapsed="false">
      <c r="A74" s="20" t="s">
        <v>90</v>
      </c>
      <c r="B74" s="0" t="s">
        <v>371</v>
      </c>
      <c r="C74" s="0" t="s">
        <v>504</v>
      </c>
      <c r="D74" s="0" t="s">
        <v>319</v>
      </c>
      <c r="E74" s="0" t="s">
        <v>505</v>
      </c>
      <c r="F74" s="0" t="s">
        <v>321</v>
      </c>
      <c r="G74" s="0" t="n">
        <v>36.6</v>
      </c>
      <c r="H74" s="0" t="n">
        <v>18</v>
      </c>
      <c r="I74" s="0" t="n">
        <v>62</v>
      </c>
      <c r="J74" s="0" t="n">
        <v>3.379</v>
      </c>
      <c r="K74" s="45" t="n">
        <v>45659</v>
      </c>
      <c r="L74" s="0" t="n">
        <v>27.12792</v>
      </c>
      <c r="M74" s="0" t="n">
        <v>23.74892</v>
      </c>
      <c r="N74" s="0" t="n">
        <v>22.7919</v>
      </c>
      <c r="O74" s="0" t="n">
        <v>19.4129</v>
      </c>
      <c r="P74" s="0" t="s">
        <v>325</v>
      </c>
      <c r="Q74" s="0" t="s">
        <v>331</v>
      </c>
      <c r="R74" s="0" t="s">
        <v>332</v>
      </c>
      <c r="S74" s="0" t="n">
        <v>17.4096</v>
      </c>
      <c r="T74" s="0" t="n">
        <v>14.0306</v>
      </c>
      <c r="U74" s="0" t="s">
        <v>374</v>
      </c>
      <c r="V74" s="0" t="s">
        <v>366</v>
      </c>
      <c r="W74" s="0" t="n">
        <v>112.5</v>
      </c>
      <c r="X74" s="0" t="n">
        <v>109.121</v>
      </c>
      <c r="Y74" s="0" t="n">
        <v>24</v>
      </c>
      <c r="AB74" s="58" t="n">
        <f aca="false">M74-AA74</f>
        <v>23.74892</v>
      </c>
      <c r="AC74" s="58" t="n">
        <f aca="false">O74-AA74</f>
        <v>19.4129</v>
      </c>
      <c r="AD74" s="58" t="n">
        <f aca="false">AB74/L74%</f>
        <v>87.5441980070717</v>
      </c>
      <c r="AE74" s="58" t="n">
        <f aca="false">AC74/N74%</f>
        <v>85.1745576279292</v>
      </c>
      <c r="AF74" s="58" t="n">
        <f aca="false">T74-AA74</f>
        <v>14.0306</v>
      </c>
      <c r="AG74" s="58" t="n">
        <f aca="false">AF74/S74%</f>
        <v>80.5911680911681</v>
      </c>
      <c r="AH74" s="58" t="n">
        <f aca="false">W74</f>
        <v>112.5</v>
      </c>
      <c r="AI74" s="58" t="n">
        <f aca="false">J74</f>
        <v>3.379</v>
      </c>
      <c r="AJ74" s="58" t="n">
        <f aca="false">AH74-AI74</f>
        <v>109.121</v>
      </c>
      <c r="AK74" s="58" t="n">
        <f aca="false">AA74</f>
        <v>0</v>
      </c>
      <c r="AL74" s="58" t="n">
        <f aca="false">AJ74-AK74</f>
        <v>109.121</v>
      </c>
      <c r="AM74" s="58" t="n">
        <f aca="false">AL74/AH74%</f>
        <v>96.9964444444444</v>
      </c>
      <c r="AN74" s="0" t="str">
        <f aca="false">IF(ISBLANK(Z74),"","Capped")</f>
        <v/>
      </c>
      <c r="AO74" s="0" t="s">
        <v>393</v>
      </c>
      <c r="AP74" s="0" t="str">
        <f aca="false">TRIM(BA74)</f>
        <v>DDm85-25</v>
      </c>
      <c r="AQ74" s="59" t="e">
        <f aca="false">_xlfn.xlookup(A74,'SYS Allocations'!A:A,'SYS Allocations'!B:B)</f>
        <v>#NAME?</v>
      </c>
      <c r="AR74" s="59" t="e">
        <f aca="false">_xlfn.xlookup(A74,'SYS Allocations'!A:A,'SYS Allocations'!C:C)</f>
        <v>#NAME?</v>
      </c>
      <c r="AS74" s="59" t="e">
        <f aca="false">_xlfn.xlookup(A74,'SYS Allocations'!A:A,'SYS Allocations'!D:D)</f>
        <v>#NAME?</v>
      </c>
      <c r="AT74" s="59" t="e">
        <f aca="false">_xlfn.xlookup(A74,'SYS Allocations'!A:A,'SYS Allocations'!E:E)</f>
        <v>#NAME?</v>
      </c>
      <c r="AU74" s="59" t="e">
        <f aca="false">_xlfn.xlookup(A74,'SYS Allocations'!A:A,'SYS Allocations'!F:F)</f>
        <v>#NAME?</v>
      </c>
      <c r="BA74" s="0" t="str">
        <f aca="false">IFERROR(LEFT(R74,FIND("(",R74,1)-1),R74)</f>
        <v>DDm85-25</v>
      </c>
    </row>
    <row r="75" customFormat="false" ht="13.15" hidden="false" customHeight="false" outlineLevel="0" collapsed="false">
      <c r="A75" s="20" t="s">
        <v>91</v>
      </c>
      <c r="B75" s="0" t="s">
        <v>376</v>
      </c>
      <c r="C75" s="0" t="s">
        <v>506</v>
      </c>
      <c r="D75" s="0" t="s">
        <v>319</v>
      </c>
      <c r="E75" s="0" t="s">
        <v>507</v>
      </c>
      <c r="F75" s="0" t="s">
        <v>432</v>
      </c>
      <c r="G75" s="0" t="n">
        <v>55</v>
      </c>
      <c r="H75" s="0" t="n">
        <v>23</v>
      </c>
      <c r="I75" s="0" t="n">
        <v>324</v>
      </c>
      <c r="J75" s="0" t="n">
        <v>17.658</v>
      </c>
      <c r="K75" s="45" t="n">
        <v>45659</v>
      </c>
      <c r="L75" s="0" t="n">
        <v>52.756</v>
      </c>
      <c r="M75" s="0" t="n">
        <v>35.098</v>
      </c>
      <c r="N75" s="0" t="n">
        <v>33.245</v>
      </c>
      <c r="O75" s="0" t="n">
        <v>15.587</v>
      </c>
      <c r="P75" s="0" t="s">
        <v>322</v>
      </c>
      <c r="Q75" s="0" t="s">
        <v>331</v>
      </c>
      <c r="R75" s="0" t="s">
        <v>345</v>
      </c>
      <c r="S75" s="0" t="n">
        <v>53.3304</v>
      </c>
      <c r="T75" s="0" t="n">
        <v>35.6724</v>
      </c>
      <c r="U75" s="0" t="s">
        <v>346</v>
      </c>
      <c r="V75" s="0" t="s">
        <v>416</v>
      </c>
      <c r="W75" s="0" t="n">
        <v>90</v>
      </c>
      <c r="X75" s="0" t="n">
        <v>72.342</v>
      </c>
      <c r="Y75" s="0" t="n">
        <v>17</v>
      </c>
      <c r="AB75" s="58" t="n">
        <f aca="false">M75-AA75</f>
        <v>35.098</v>
      </c>
      <c r="AC75" s="58" t="n">
        <f aca="false">O75-AA75</f>
        <v>15.587</v>
      </c>
      <c r="AD75" s="58" t="n">
        <f aca="false">AB75/L75%</f>
        <v>66.5289256198347</v>
      </c>
      <c r="AE75" s="58" t="n">
        <f aca="false">AC75/N75%</f>
        <v>46.8852459016394</v>
      </c>
      <c r="AF75" s="58" t="n">
        <f aca="false">T75-AA75</f>
        <v>35.6724</v>
      </c>
      <c r="AG75" s="58" t="n">
        <f aca="false">AF75/S75%</f>
        <v>66.8894289185905</v>
      </c>
      <c r="AH75" s="61" t="n">
        <f aca="false">AVERAGE(W75:W76)</f>
        <v>90</v>
      </c>
      <c r="AI75" s="61" t="n">
        <f aca="false">SUM(J75:J76)</f>
        <v>32.7</v>
      </c>
      <c r="AJ75" s="61" t="n">
        <f aca="false">AH75-AI75</f>
        <v>57.3</v>
      </c>
      <c r="AK75" s="61" t="n">
        <f aca="false">SUM(AA75:AA76)</f>
        <v>0</v>
      </c>
      <c r="AL75" s="61" t="n">
        <f aca="false">AJ75-AK75</f>
        <v>57.3</v>
      </c>
      <c r="AM75" s="61" t="n">
        <f aca="false">AL75/AH75%</f>
        <v>63.6666666666667</v>
      </c>
      <c r="AN75" s="0" t="str">
        <f aca="false">IF(ISBLANK(Z75),"","Capped")</f>
        <v/>
      </c>
      <c r="AO75" s="0" t="s">
        <v>393</v>
      </c>
      <c r="AP75" s="0" t="str">
        <f aca="false">TRIM(BA75)</f>
        <v>DDm125-33</v>
      </c>
      <c r="AQ75" s="59" t="e">
        <f aca="false">_xlfn.xlookup(A75,'SYS Allocations'!A:A,'SYS Allocations'!B:B)</f>
        <v>#NAME?</v>
      </c>
      <c r="AR75" s="59" t="e">
        <f aca="false">_xlfn.xlookup(A75,'SYS Allocations'!A:A,'SYS Allocations'!C:C)</f>
        <v>#NAME?</v>
      </c>
      <c r="AS75" s="59" t="e">
        <f aca="false">_xlfn.xlookup(A75,'SYS Allocations'!A:A,'SYS Allocations'!D:D)</f>
        <v>#NAME?</v>
      </c>
      <c r="AT75" s="59" t="e">
        <f aca="false">_xlfn.xlookup(A75,'SYS Allocations'!A:A,'SYS Allocations'!E:E)</f>
        <v>#NAME?</v>
      </c>
      <c r="AU75" s="59" t="e">
        <f aca="false">_xlfn.xlookup(A75,'SYS Allocations'!A:A,'SYS Allocations'!F:F)</f>
        <v>#NAME?</v>
      </c>
      <c r="BA75" s="0" t="str">
        <f aca="false">IFERROR(LEFT(R75,FIND("(",R75,1)-1),R75)</f>
        <v>DDm125-33</v>
      </c>
    </row>
    <row r="76" customFormat="false" ht="13.15" hidden="false" customHeight="false" outlineLevel="0" collapsed="false">
      <c r="A76" s="20" t="s">
        <v>92</v>
      </c>
      <c r="B76" s="0" t="s">
        <v>376</v>
      </c>
      <c r="C76" s="0" t="s">
        <v>506</v>
      </c>
      <c r="D76" s="0" t="s">
        <v>319</v>
      </c>
      <c r="E76" s="0" t="s">
        <v>507</v>
      </c>
      <c r="F76" s="0" t="s">
        <v>432</v>
      </c>
      <c r="G76" s="0" t="n">
        <v>55</v>
      </c>
      <c r="H76" s="0" t="n">
        <v>23</v>
      </c>
      <c r="I76" s="0" t="n">
        <v>276</v>
      </c>
      <c r="J76" s="0" t="n">
        <v>15.042</v>
      </c>
      <c r="K76" s="45" t="n">
        <v>45659</v>
      </c>
      <c r="L76" s="0" t="n">
        <v>52.756</v>
      </c>
      <c r="M76" s="0" t="n">
        <v>37.714</v>
      </c>
      <c r="N76" s="0" t="n">
        <v>33.245</v>
      </c>
      <c r="O76" s="0" t="n">
        <v>18.203</v>
      </c>
      <c r="P76" s="0" t="s">
        <v>322</v>
      </c>
      <c r="Q76" s="0" t="s">
        <v>331</v>
      </c>
      <c r="R76" s="0" t="s">
        <v>345</v>
      </c>
      <c r="S76" s="0" t="n">
        <v>53.3304</v>
      </c>
      <c r="T76" s="0" t="n">
        <v>38.2884</v>
      </c>
      <c r="U76" s="0" t="s">
        <v>346</v>
      </c>
      <c r="V76" s="0" t="s">
        <v>416</v>
      </c>
      <c r="W76" s="0" t="n">
        <v>90</v>
      </c>
      <c r="X76" s="0" t="n">
        <v>74.958</v>
      </c>
      <c r="Y76" s="0" t="n">
        <v>17</v>
      </c>
      <c r="AB76" s="58" t="n">
        <f aca="false">M76-AA76</f>
        <v>37.714</v>
      </c>
      <c r="AC76" s="58" t="n">
        <f aca="false">O76-AA76</f>
        <v>18.203</v>
      </c>
      <c r="AD76" s="58" t="n">
        <f aca="false">AB76/L76%</f>
        <v>71.4876033057851</v>
      </c>
      <c r="AE76" s="58" t="n">
        <f aca="false">AC76/N76%</f>
        <v>54.7540983606557</v>
      </c>
      <c r="AF76" s="58" t="n">
        <f aca="false">T76-AA76</f>
        <v>38.2884</v>
      </c>
      <c r="AG76" s="58" t="n">
        <f aca="false">AF76/S76%</f>
        <v>71.794698708429</v>
      </c>
      <c r="AH76" s="61"/>
      <c r="AI76" s="61"/>
      <c r="AJ76" s="61"/>
      <c r="AK76" s="61"/>
      <c r="AL76" s="61"/>
      <c r="AM76" s="61"/>
      <c r="AN76" s="0" t="str">
        <f aca="false">IF(ISBLANK(Z76),"","Capped")</f>
        <v/>
      </c>
      <c r="AO76" s="0" t="s">
        <v>393</v>
      </c>
      <c r="AP76" s="0" t="str">
        <f aca="false">TRIM(BA76)</f>
        <v>DDm125-33</v>
      </c>
      <c r="AQ76" s="59"/>
      <c r="AR76" s="59"/>
      <c r="AS76" s="59"/>
      <c r="AT76" s="59"/>
      <c r="AU76" s="59"/>
      <c r="BA76" s="0" t="str">
        <f aca="false">IFERROR(LEFT(R76,FIND("(",R76,1)-1),R76)</f>
        <v>DDm125-33</v>
      </c>
    </row>
    <row r="77" customFormat="false" ht="13.15" hidden="false" customHeight="false" outlineLevel="0" collapsed="false">
      <c r="A77" s="20" t="s">
        <v>93</v>
      </c>
      <c r="B77" s="0" t="s">
        <v>361</v>
      </c>
      <c r="C77" s="0" t="s">
        <v>508</v>
      </c>
      <c r="D77" s="0" t="s">
        <v>319</v>
      </c>
      <c r="E77" s="0" t="s">
        <v>509</v>
      </c>
      <c r="F77" s="0" t="s">
        <v>510</v>
      </c>
      <c r="G77" s="0" t="n">
        <v>37.5</v>
      </c>
      <c r="H77" s="0" t="n">
        <v>8</v>
      </c>
      <c r="I77" s="0" t="n">
        <v>62</v>
      </c>
      <c r="J77" s="0" t="n">
        <v>3.379</v>
      </c>
      <c r="K77" s="45" t="n">
        <v>45659</v>
      </c>
      <c r="L77" s="0" t="n">
        <v>11.445</v>
      </c>
      <c r="M77" s="0" t="n">
        <v>8.066</v>
      </c>
      <c r="N77" s="0" t="n">
        <v>9.56475</v>
      </c>
      <c r="O77" s="0" t="n">
        <v>6.18575</v>
      </c>
      <c r="P77" s="0" t="s">
        <v>326</v>
      </c>
      <c r="Q77" s="0" t="s">
        <v>352</v>
      </c>
      <c r="R77" s="0" t="s">
        <v>511</v>
      </c>
      <c r="S77" s="0" t="n">
        <v>8.96399999999997</v>
      </c>
      <c r="T77" s="0" t="n">
        <v>5.58499999999997</v>
      </c>
      <c r="U77" s="0" t="s">
        <v>325</v>
      </c>
      <c r="V77" s="0" t="s">
        <v>512</v>
      </c>
      <c r="W77" s="0" t="n">
        <v>10.5</v>
      </c>
      <c r="X77" s="0" t="n">
        <v>7.121</v>
      </c>
      <c r="Y77" s="0" t="n">
        <v>7</v>
      </c>
      <c r="AB77" s="58" t="n">
        <f aca="false">M77-AA77</f>
        <v>8.066</v>
      </c>
      <c r="AC77" s="58" t="n">
        <f aca="false">O77-AA77</f>
        <v>6.18575</v>
      </c>
      <c r="AD77" s="58" t="n">
        <f aca="false">AB77/L77%</f>
        <v>70.4761904761905</v>
      </c>
      <c r="AE77" s="58" t="n">
        <f aca="false">AC77/N77%</f>
        <v>64.6723646723647</v>
      </c>
      <c r="AF77" s="58" t="n">
        <f aca="false">T77-AA77</f>
        <v>5.58499999999997</v>
      </c>
      <c r="AG77" s="58" t="n">
        <f aca="false">AF77/S77%</f>
        <v>62.3047746541721</v>
      </c>
      <c r="AH77" s="58" t="n">
        <f aca="false">W77</f>
        <v>10.5</v>
      </c>
      <c r="AI77" s="58" t="n">
        <f aca="false">J77</f>
        <v>3.379</v>
      </c>
      <c r="AJ77" s="58" t="n">
        <f aca="false">AH77-AI77</f>
        <v>7.121</v>
      </c>
      <c r="AK77" s="58" t="n">
        <f aca="false">AA77</f>
        <v>0</v>
      </c>
      <c r="AL77" s="58" t="n">
        <f aca="false">AJ77-AK77</f>
        <v>7.121</v>
      </c>
      <c r="AM77" s="58" t="n">
        <f aca="false">AL77/AH77%</f>
        <v>67.8190476190476</v>
      </c>
      <c r="AN77" s="0" t="str">
        <f aca="false">IF(ISBLANK(Z77),"","Capped")</f>
        <v/>
      </c>
      <c r="AO77" s="0" t="s">
        <v>327</v>
      </c>
      <c r="AP77" s="0" t="str">
        <f aca="false">TRIM(BA77)</f>
        <v>12V105F</v>
      </c>
      <c r="AQ77" s="59" t="e">
        <f aca="false">_xlfn.xlookup(A77,'SYS Allocations'!A:A,'SYS Allocations'!B:B)</f>
        <v>#NAME?</v>
      </c>
      <c r="AR77" s="59" t="e">
        <f aca="false">_xlfn.xlookup(A77,'SYS Allocations'!A:A,'SYS Allocations'!C:C)</f>
        <v>#NAME?</v>
      </c>
      <c r="AS77" s="59" t="e">
        <f aca="false">_xlfn.xlookup(A77,'SYS Allocations'!A:A,'SYS Allocations'!D:D)</f>
        <v>#NAME?</v>
      </c>
      <c r="AT77" s="59" t="e">
        <f aca="false">_xlfn.xlookup(A77,'SYS Allocations'!A:A,'SYS Allocations'!E:E)</f>
        <v>#NAME?</v>
      </c>
      <c r="AU77" s="59" t="e">
        <f aca="false">_xlfn.xlookup(A77,'SYS Allocations'!A:A,'SYS Allocations'!F:F)</f>
        <v>#NAME?</v>
      </c>
      <c r="BA77" s="0" t="str">
        <f aca="false">IFERROR(LEFT(R77,FIND("(",R77,1)-1),R77)</f>
        <v>12V105F</v>
      </c>
    </row>
    <row r="78" customFormat="false" ht="13.15" hidden="false" customHeight="false" outlineLevel="0" collapsed="false">
      <c r="A78" s="20" t="s">
        <v>94</v>
      </c>
      <c r="B78" s="0" t="s">
        <v>419</v>
      </c>
      <c r="C78" s="0" t="s">
        <v>513</v>
      </c>
      <c r="D78" s="0" t="s">
        <v>319</v>
      </c>
      <c r="E78" s="0" t="s">
        <v>514</v>
      </c>
      <c r="F78" s="0" t="s">
        <v>321</v>
      </c>
      <c r="G78" s="0" t="n">
        <v>36.6</v>
      </c>
      <c r="H78" s="0" t="n">
        <v>9</v>
      </c>
      <c r="I78" s="0" t="n">
        <v>123</v>
      </c>
      <c r="J78" s="0" t="n">
        <v>6.7035</v>
      </c>
      <c r="K78" s="45" t="n">
        <v>45659</v>
      </c>
      <c r="L78" s="0" t="n">
        <v>12.76608</v>
      </c>
      <c r="M78" s="0" t="n">
        <v>6.06258</v>
      </c>
      <c r="N78" s="0" t="n">
        <v>9.4721</v>
      </c>
      <c r="O78" s="0" t="n">
        <v>2.7686</v>
      </c>
      <c r="P78" s="0" t="s">
        <v>325</v>
      </c>
      <c r="Q78" s="0" t="s">
        <v>331</v>
      </c>
      <c r="R78" s="0" t="s">
        <v>365</v>
      </c>
      <c r="S78" s="0" t="n">
        <v>10.1088</v>
      </c>
      <c r="T78" s="0" t="n">
        <v>3.40529999999998</v>
      </c>
      <c r="U78" s="0" t="s">
        <v>322</v>
      </c>
      <c r="V78" s="0" t="s">
        <v>515</v>
      </c>
      <c r="W78" s="0" t="n">
        <v>30</v>
      </c>
      <c r="X78" s="0" t="n">
        <v>23.2965</v>
      </c>
      <c r="Y78" s="0" t="n">
        <v>8</v>
      </c>
      <c r="AB78" s="58" t="n">
        <f aca="false">M78-AA78</f>
        <v>6.06258</v>
      </c>
      <c r="AC78" s="58" t="n">
        <f aca="false">O78-AA78</f>
        <v>2.7686</v>
      </c>
      <c r="AD78" s="58" t="n">
        <f aca="false">AB78/L78%</f>
        <v>47.4897540983607</v>
      </c>
      <c r="AE78" s="58" t="n">
        <f aca="false">AC78/N78%</f>
        <v>29.228998849252</v>
      </c>
      <c r="AF78" s="58" t="n">
        <f aca="false">T78-AA78</f>
        <v>3.40529999999998</v>
      </c>
      <c r="AG78" s="58" t="n">
        <f aca="false">AF78/S78%</f>
        <v>33.6864909781574</v>
      </c>
      <c r="AH78" s="58" t="n">
        <f aca="false">W78</f>
        <v>30</v>
      </c>
      <c r="AI78" s="58" t="n">
        <f aca="false">J78</f>
        <v>6.7035</v>
      </c>
      <c r="AJ78" s="58" t="n">
        <f aca="false">AH78-AI78</f>
        <v>23.2965</v>
      </c>
      <c r="AK78" s="58" t="n">
        <f aca="false">AA78</f>
        <v>0</v>
      </c>
      <c r="AL78" s="58" t="n">
        <f aca="false">AJ78-AK78</f>
        <v>23.2965</v>
      </c>
      <c r="AM78" s="58" t="n">
        <f aca="false">AL78/AH78%</f>
        <v>77.655</v>
      </c>
      <c r="AN78" s="0" t="str">
        <f aca="false">IF(ISBLANK(Z78),"","Capped")</f>
        <v/>
      </c>
      <c r="AO78" s="0" t="s">
        <v>327</v>
      </c>
      <c r="AP78" s="0" t="str">
        <f aca="false">TRIM(BA78)</f>
        <v>2DDm85-15</v>
      </c>
      <c r="AQ78" s="59" t="e">
        <f aca="false">_xlfn.xlookup(A78,'SYS Allocations'!A:A,'SYS Allocations'!B:B)</f>
        <v>#NAME?</v>
      </c>
      <c r="AR78" s="59" t="e">
        <f aca="false">_xlfn.xlookup(A78,'SYS Allocations'!A:A,'SYS Allocations'!C:C)</f>
        <v>#NAME?</v>
      </c>
      <c r="AS78" s="59" t="e">
        <f aca="false">_xlfn.xlookup(A78,'SYS Allocations'!A:A,'SYS Allocations'!D:D)</f>
        <v>#NAME?</v>
      </c>
      <c r="AT78" s="59" t="e">
        <f aca="false">_xlfn.xlookup(A78,'SYS Allocations'!A:A,'SYS Allocations'!E:E)</f>
        <v>#NAME?</v>
      </c>
      <c r="AU78" s="59" t="e">
        <f aca="false">_xlfn.xlookup(A78,'SYS Allocations'!A:A,'SYS Allocations'!F:F)</f>
        <v>#NAME?</v>
      </c>
      <c r="BA78" s="0" t="str">
        <f aca="false">IFERROR(LEFT(R78,FIND("(",R78,1)-1),R78)</f>
        <v>2DDm85-15</v>
      </c>
    </row>
    <row r="79" customFormat="false" ht="13.15" hidden="false" customHeight="false" outlineLevel="0" collapsed="false">
      <c r="A79" s="20" t="s">
        <v>95</v>
      </c>
      <c r="B79" s="0" t="s">
        <v>371</v>
      </c>
      <c r="C79" s="0" t="s">
        <v>516</v>
      </c>
      <c r="D79" s="0" t="s">
        <v>319</v>
      </c>
      <c r="E79" s="0" t="s">
        <v>517</v>
      </c>
      <c r="F79" s="0" t="s">
        <v>321</v>
      </c>
      <c r="G79" s="0" t="n">
        <v>36.6</v>
      </c>
      <c r="H79" s="0" t="n">
        <v>17</v>
      </c>
      <c r="I79" s="0" t="n">
        <v>58</v>
      </c>
      <c r="J79" s="0" t="n">
        <v>3.161</v>
      </c>
      <c r="K79" s="45" t="n">
        <v>45659</v>
      </c>
      <c r="L79" s="0" t="n">
        <v>25.53216</v>
      </c>
      <c r="M79" s="0" t="n">
        <v>22.37116</v>
      </c>
      <c r="N79" s="0" t="n">
        <v>20.7972</v>
      </c>
      <c r="O79" s="0" t="n">
        <v>17.6362</v>
      </c>
      <c r="P79" s="0" t="s">
        <v>325</v>
      </c>
      <c r="Q79" s="0" t="s">
        <v>331</v>
      </c>
      <c r="R79" s="0" t="s">
        <v>332</v>
      </c>
      <c r="S79" s="0" t="n">
        <v>17.4096</v>
      </c>
      <c r="T79" s="0" t="n">
        <v>14.2486</v>
      </c>
      <c r="U79" s="0" t="s">
        <v>337</v>
      </c>
      <c r="V79" s="0" t="s">
        <v>518</v>
      </c>
      <c r="W79" s="0" t="n">
        <v>49.5</v>
      </c>
      <c r="X79" s="0" t="n">
        <v>46.339</v>
      </c>
      <c r="Y79" s="0" t="n">
        <v>20</v>
      </c>
      <c r="AB79" s="58" t="n">
        <f aca="false">M79-AA79</f>
        <v>22.37116</v>
      </c>
      <c r="AC79" s="58" t="n">
        <f aca="false">O79-AA79</f>
        <v>17.6362</v>
      </c>
      <c r="AD79" s="58" t="n">
        <f aca="false">AB79/L79%</f>
        <v>87.6195355191257</v>
      </c>
      <c r="AE79" s="58" t="n">
        <f aca="false">AC79/N79%</f>
        <v>84.8008385744235</v>
      </c>
      <c r="AF79" s="58" t="n">
        <f aca="false">T79-AA79</f>
        <v>14.2486</v>
      </c>
      <c r="AG79" s="58" t="n">
        <f aca="false">AF79/S79%</f>
        <v>81.8433507949637</v>
      </c>
      <c r="AH79" s="60" t="n">
        <f aca="false">AVERAGE(W79:W80)</f>
        <v>49.5</v>
      </c>
      <c r="AI79" s="60" t="n">
        <f aca="false">SUM(J79:J80)</f>
        <v>5.2865</v>
      </c>
      <c r="AJ79" s="60" t="n">
        <f aca="false">AH79-AI79</f>
        <v>44.2135</v>
      </c>
      <c r="AK79" s="60" t="n">
        <f aca="false">SUM(AA79:AA80)</f>
        <v>0</v>
      </c>
      <c r="AL79" s="60" t="n">
        <f aca="false">AJ79-AK79</f>
        <v>44.2135</v>
      </c>
      <c r="AM79" s="61" t="n">
        <f aca="false">AL79/AH79%</f>
        <v>89.320202020202</v>
      </c>
      <c r="AN79" s="0" t="str">
        <f aca="false">IF(ISBLANK(Z79),"","Capped")</f>
        <v/>
      </c>
      <c r="AO79" s="0" t="s">
        <v>393</v>
      </c>
      <c r="AP79" s="0" t="str">
        <f aca="false">TRIM(BA79)</f>
        <v>DDm85-25</v>
      </c>
      <c r="AQ79" s="59" t="e">
        <f aca="false">_xlfn.xlookup(A79,'SYS Allocations'!A:A,'SYS Allocations'!B:B)</f>
        <v>#NAME?</v>
      </c>
      <c r="AR79" s="59" t="e">
        <f aca="false">_xlfn.xlookup(A79,'SYS Allocations'!A:A,'SYS Allocations'!C:C)</f>
        <v>#NAME?</v>
      </c>
      <c r="AS79" s="59" t="e">
        <f aca="false">_xlfn.xlookup(A79,'SYS Allocations'!A:A,'SYS Allocations'!D:D)</f>
        <v>#NAME?</v>
      </c>
      <c r="AT79" s="59" t="e">
        <f aca="false">_xlfn.xlookup(A79,'SYS Allocations'!A:A,'SYS Allocations'!E:E)</f>
        <v>#NAME?</v>
      </c>
      <c r="AU79" s="59" t="e">
        <f aca="false">_xlfn.xlookup(A79,'SYS Allocations'!A:A,'SYS Allocations'!F:F)</f>
        <v>#NAME?</v>
      </c>
      <c r="BA79" s="0" t="str">
        <f aca="false">IFERROR(LEFT(R79,FIND("(",R79,1)-1),R79)</f>
        <v>DDm85-25</v>
      </c>
    </row>
    <row r="80" customFormat="false" ht="13.15" hidden="false" customHeight="false" outlineLevel="0" collapsed="false">
      <c r="A80" s="20" t="s">
        <v>96</v>
      </c>
      <c r="B80" s="0" t="s">
        <v>371</v>
      </c>
      <c r="C80" s="0" t="s">
        <v>516</v>
      </c>
      <c r="D80" s="0" t="s">
        <v>319</v>
      </c>
      <c r="E80" s="0" t="s">
        <v>517</v>
      </c>
      <c r="F80" s="0" t="s">
        <v>321</v>
      </c>
      <c r="G80" s="0" t="n">
        <v>36.6</v>
      </c>
      <c r="H80" s="0" t="n">
        <v>17</v>
      </c>
      <c r="I80" s="0" t="n">
        <v>39</v>
      </c>
      <c r="J80" s="0" t="n">
        <v>2.1255</v>
      </c>
      <c r="K80" s="45" t="n">
        <v>45659</v>
      </c>
      <c r="L80" s="0" t="n">
        <v>25.53216</v>
      </c>
      <c r="M80" s="0" t="n">
        <v>23.40666</v>
      </c>
      <c r="N80" s="0" t="n">
        <v>20.7972</v>
      </c>
      <c r="O80" s="0" t="n">
        <v>18.6717</v>
      </c>
      <c r="P80" s="0" t="s">
        <v>325</v>
      </c>
      <c r="Q80" s="0" t="s">
        <v>331</v>
      </c>
      <c r="R80" s="0" t="s">
        <v>332</v>
      </c>
      <c r="S80" s="0" t="n">
        <v>17.4096</v>
      </c>
      <c r="T80" s="0" t="n">
        <v>15.2841</v>
      </c>
      <c r="U80" s="0" t="s">
        <v>337</v>
      </c>
      <c r="V80" s="0" t="s">
        <v>518</v>
      </c>
      <c r="W80" s="0" t="n">
        <v>49.5</v>
      </c>
      <c r="X80" s="0" t="n">
        <v>47.3745</v>
      </c>
      <c r="Y80" s="0" t="n">
        <v>20</v>
      </c>
      <c r="AB80" s="58" t="n">
        <f aca="false">M80-AA80</f>
        <v>23.40666</v>
      </c>
      <c r="AC80" s="58" t="n">
        <f aca="false">O80-AA80</f>
        <v>18.6717</v>
      </c>
      <c r="AD80" s="58" t="n">
        <f aca="false">AB80/L80%</f>
        <v>91.6752049180328</v>
      </c>
      <c r="AE80" s="58" t="n">
        <f aca="false">AC80/N80%</f>
        <v>89.7798742138365</v>
      </c>
      <c r="AF80" s="58" t="n">
        <f aca="false">T80-AA80</f>
        <v>15.2841</v>
      </c>
      <c r="AG80" s="58" t="n">
        <f aca="false">AF80/S80%</f>
        <v>87.7912186379928</v>
      </c>
      <c r="AH80" s="60"/>
      <c r="AI80" s="60"/>
      <c r="AJ80" s="60"/>
      <c r="AK80" s="60"/>
      <c r="AL80" s="60"/>
      <c r="AM80" s="61"/>
      <c r="AN80" s="0" t="str">
        <f aca="false">IF(ISBLANK(Z80),"","Capped")</f>
        <v/>
      </c>
      <c r="AO80" s="0" t="s">
        <v>393</v>
      </c>
      <c r="AP80" s="0" t="str">
        <f aca="false">TRIM(BA80)</f>
        <v>DDm85-25</v>
      </c>
      <c r="AQ80" s="59" t="e">
        <f aca="false">_xlfn.xlookup(A80,'SYS Allocations'!A:A,'SYS Allocations'!B:B)</f>
        <v>#NAME?</v>
      </c>
      <c r="AR80" s="59" t="e">
        <f aca="false">_xlfn.xlookup(A80,'SYS Allocations'!A:A,'SYS Allocations'!C:C)</f>
        <v>#NAME?</v>
      </c>
      <c r="AS80" s="59" t="e">
        <f aca="false">_xlfn.xlookup(A80,'SYS Allocations'!A:A,'SYS Allocations'!D:D)</f>
        <v>#NAME?</v>
      </c>
      <c r="AT80" s="59" t="e">
        <f aca="false">_xlfn.xlookup(A80,'SYS Allocations'!A:A,'SYS Allocations'!E:E)</f>
        <v>#NAME?</v>
      </c>
      <c r="AU80" s="59" t="e">
        <f aca="false">_xlfn.xlookup(A80,'SYS Allocations'!A:A,'SYS Allocations'!F:F)</f>
        <v>#NAME?</v>
      </c>
      <c r="BA80" s="0" t="str">
        <f aca="false">IFERROR(LEFT(R80,FIND("(",R80,1)-1),R80)</f>
        <v>DDm85-25</v>
      </c>
    </row>
    <row r="81" customFormat="false" ht="13.15" hidden="false" customHeight="false" outlineLevel="0" collapsed="false">
      <c r="A81" s="20" t="s">
        <v>97</v>
      </c>
      <c r="B81" s="0" t="s">
        <v>419</v>
      </c>
      <c r="C81" s="0" t="s">
        <v>519</v>
      </c>
      <c r="D81" s="0" t="s">
        <v>319</v>
      </c>
      <c r="E81" s="0" t="s">
        <v>520</v>
      </c>
      <c r="F81" s="0" t="s">
        <v>397</v>
      </c>
      <c r="G81" s="0" t="n">
        <v>50</v>
      </c>
      <c r="H81" s="0" t="n">
        <v>12</v>
      </c>
      <c r="I81" s="0" t="n">
        <v>115</v>
      </c>
      <c r="J81" s="0" t="n">
        <v>6.2675</v>
      </c>
      <c r="K81" s="45" t="n">
        <v>45583</v>
      </c>
      <c r="L81" s="0" t="n">
        <v>23.98</v>
      </c>
      <c r="M81" s="0" t="n">
        <v>17.7125</v>
      </c>
      <c r="N81" s="0" t="n">
        <v>23.4895</v>
      </c>
      <c r="O81" s="0" t="n">
        <v>17.222</v>
      </c>
      <c r="P81" s="0" t="s">
        <v>325</v>
      </c>
      <c r="Q81" s="0" t="s">
        <v>331</v>
      </c>
      <c r="R81" s="0" t="s">
        <v>365</v>
      </c>
      <c r="S81" s="0" t="n">
        <v>10.1088</v>
      </c>
      <c r="T81" s="0" t="n">
        <v>3.84129999999998</v>
      </c>
      <c r="U81" s="0" t="s">
        <v>337</v>
      </c>
      <c r="V81" s="0" t="s">
        <v>487</v>
      </c>
      <c r="W81" s="0" t="n">
        <v>16.875</v>
      </c>
      <c r="X81" s="0" t="n">
        <v>10.6075</v>
      </c>
      <c r="Y81" s="0" t="n">
        <v>7</v>
      </c>
      <c r="AB81" s="58" t="n">
        <f aca="false">M81-AA81</f>
        <v>17.7125</v>
      </c>
      <c r="AC81" s="58" t="n">
        <f aca="false">O81-AA81</f>
        <v>17.222</v>
      </c>
      <c r="AD81" s="58" t="n">
        <f aca="false">AB81/L81%</f>
        <v>73.8636363636364</v>
      </c>
      <c r="AE81" s="58" t="n">
        <f aca="false">AC81/N81%</f>
        <v>73.3178654292343</v>
      </c>
      <c r="AF81" s="58" t="n">
        <f aca="false">T81-AA81</f>
        <v>3.84129999999998</v>
      </c>
      <c r="AG81" s="58" t="n">
        <f aca="false">AF81/S81%</f>
        <v>37.9995647356756</v>
      </c>
      <c r="AH81" s="58" t="n">
        <f aca="false">W81</f>
        <v>16.875</v>
      </c>
      <c r="AI81" s="58" t="n">
        <f aca="false">J81</f>
        <v>6.2675</v>
      </c>
      <c r="AJ81" s="58" t="n">
        <f aca="false">AH81-AI81</f>
        <v>10.6075</v>
      </c>
      <c r="AK81" s="58" t="n">
        <f aca="false">AA81</f>
        <v>0</v>
      </c>
      <c r="AL81" s="58" t="n">
        <f aca="false">AJ81-AK81</f>
        <v>10.6075</v>
      </c>
      <c r="AM81" s="58" t="n">
        <f aca="false">AL81/AH81%</f>
        <v>62.8592592592593</v>
      </c>
      <c r="AN81" s="0" t="str">
        <f aca="false">IF(ISBLANK(Z81),"","Capped")</f>
        <v/>
      </c>
      <c r="AO81" s="0" t="s">
        <v>327</v>
      </c>
      <c r="AP81" s="0" t="str">
        <f aca="false">TRIM(BA81)</f>
        <v>2DDm85-15</v>
      </c>
      <c r="AQ81" s="59" t="e">
        <f aca="false">_xlfn.xlookup(A81,'SYS Allocations'!A:A,'SYS Allocations'!B:B)</f>
        <v>#NAME?</v>
      </c>
      <c r="AR81" s="59" t="e">
        <f aca="false">_xlfn.xlookup(A81,'SYS Allocations'!A:A,'SYS Allocations'!C:C)</f>
        <v>#NAME?</v>
      </c>
      <c r="AS81" s="59" t="e">
        <f aca="false">_xlfn.xlookup(A81,'SYS Allocations'!A:A,'SYS Allocations'!D:D)</f>
        <v>#NAME?</v>
      </c>
      <c r="AT81" s="59" t="e">
        <f aca="false">_xlfn.xlookup(A81,'SYS Allocations'!A:A,'SYS Allocations'!E:E)</f>
        <v>#NAME?</v>
      </c>
      <c r="AU81" s="59" t="e">
        <f aca="false">_xlfn.xlookup(A81,'SYS Allocations'!A:A,'SYS Allocations'!F:F)</f>
        <v>#NAME?</v>
      </c>
      <c r="BA81" s="0" t="str">
        <f aca="false">IFERROR(LEFT(R81,FIND("(",R81,1)-1),R81)</f>
        <v>2DDm85-15</v>
      </c>
    </row>
    <row r="82" customFormat="false" ht="13.15" hidden="false" customHeight="false" outlineLevel="0" collapsed="false">
      <c r="A82" s="20" t="s">
        <v>98</v>
      </c>
      <c r="B82" s="0" t="s">
        <v>419</v>
      </c>
      <c r="C82" s="0" t="s">
        <v>519</v>
      </c>
      <c r="D82" s="0" t="s">
        <v>319</v>
      </c>
      <c r="E82" s="0" t="s">
        <v>521</v>
      </c>
      <c r="F82" s="0" t="s">
        <v>321</v>
      </c>
      <c r="G82" s="0" t="n">
        <v>36.6</v>
      </c>
      <c r="H82" s="0" t="n">
        <v>18</v>
      </c>
      <c r="I82" s="0" t="n">
        <v>156</v>
      </c>
      <c r="J82" s="0" t="n">
        <v>8.502</v>
      </c>
      <c r="K82" s="45" t="n">
        <v>45659</v>
      </c>
      <c r="L82" s="0" t="n">
        <v>27.12792</v>
      </c>
      <c r="M82" s="0" t="n">
        <v>18.62592</v>
      </c>
      <c r="N82" s="0" t="n">
        <v>27.4244</v>
      </c>
      <c r="O82" s="0" t="n">
        <v>18.9224</v>
      </c>
      <c r="P82" s="0" t="s">
        <v>325</v>
      </c>
      <c r="Q82" s="0" t="s">
        <v>331</v>
      </c>
      <c r="R82" s="0" t="s">
        <v>365</v>
      </c>
      <c r="S82" s="0" t="n">
        <v>10.1088</v>
      </c>
      <c r="T82" s="0" t="n">
        <v>1.60679999999998</v>
      </c>
      <c r="U82" s="0" t="s">
        <v>325</v>
      </c>
      <c r="V82" s="0" t="s">
        <v>522</v>
      </c>
      <c r="W82" s="0" t="n">
        <v>18.75</v>
      </c>
      <c r="X82" s="0" t="n">
        <v>10.248</v>
      </c>
      <c r="Y82" s="0" t="n">
        <v>51</v>
      </c>
      <c r="AB82" s="58" t="n">
        <f aca="false">M82-AA82</f>
        <v>18.62592</v>
      </c>
      <c r="AC82" s="58" t="n">
        <f aca="false">O82-AA82</f>
        <v>18.9224</v>
      </c>
      <c r="AD82" s="58" t="n">
        <f aca="false">AB82/L82%</f>
        <v>68.6595949855352</v>
      </c>
      <c r="AE82" s="58" t="n">
        <f aca="false">AC82/N82%</f>
        <v>68.9984101748808</v>
      </c>
      <c r="AF82" s="58" t="n">
        <f aca="false">T82-AA82</f>
        <v>1.60679999999998</v>
      </c>
      <c r="AG82" s="58" t="n">
        <f aca="false">AF82/S82%</f>
        <v>15.8950617283949</v>
      </c>
      <c r="AH82" s="58" t="n">
        <f aca="false">W82</f>
        <v>18.75</v>
      </c>
      <c r="AI82" s="58" t="n">
        <f aca="false">J82</f>
        <v>8.502</v>
      </c>
      <c r="AJ82" s="58" t="n">
        <f aca="false">AH82-AI82</f>
        <v>10.248</v>
      </c>
      <c r="AK82" s="58" t="n">
        <f aca="false">AA82</f>
        <v>0</v>
      </c>
      <c r="AL82" s="58" t="n">
        <f aca="false">AJ82-AK82</f>
        <v>10.248</v>
      </c>
      <c r="AM82" s="58" t="n">
        <f aca="false">AL82/AH82%</f>
        <v>54.656</v>
      </c>
      <c r="AN82" s="0" t="str">
        <f aca="false">IF(ISBLANK(Z82),"","Capped")</f>
        <v/>
      </c>
      <c r="AO82" s="0" t="s">
        <v>327</v>
      </c>
      <c r="AP82" s="0" t="str">
        <f aca="false">TRIM(BA82)</f>
        <v>2DDm85-15</v>
      </c>
      <c r="AQ82" s="59" t="e">
        <f aca="false">_xlfn.xlookup(A82,'SYS Allocations'!A:A,'SYS Allocations'!B:B)</f>
        <v>#NAME?</v>
      </c>
      <c r="AR82" s="59" t="e">
        <f aca="false">_xlfn.xlookup(A82,'SYS Allocations'!A:A,'SYS Allocations'!C:C)</f>
        <v>#NAME?</v>
      </c>
      <c r="AS82" s="59" t="e">
        <f aca="false">_xlfn.xlookup(A82,'SYS Allocations'!A:A,'SYS Allocations'!D:D)</f>
        <v>#NAME?</v>
      </c>
      <c r="AT82" s="59" t="e">
        <f aca="false">_xlfn.xlookup(A82,'SYS Allocations'!A:A,'SYS Allocations'!E:E)</f>
        <v>#NAME?</v>
      </c>
      <c r="AU82" s="59" t="e">
        <f aca="false">_xlfn.xlookup(A82,'SYS Allocations'!A:A,'SYS Allocations'!F:F)</f>
        <v>#NAME?</v>
      </c>
      <c r="BA82" s="0" t="str">
        <f aca="false">IFERROR(LEFT(R82,FIND("(",R82,1)-1),R82)</f>
        <v>2DDm85-15</v>
      </c>
    </row>
    <row r="83" customFormat="false" ht="13.15" hidden="false" customHeight="false" outlineLevel="0" collapsed="false">
      <c r="A83" s="20" t="s">
        <v>99</v>
      </c>
      <c r="B83" s="0" t="s">
        <v>342</v>
      </c>
      <c r="C83" s="0" t="s">
        <v>523</v>
      </c>
      <c r="D83" s="0" t="s">
        <v>390</v>
      </c>
      <c r="E83" s="0" t="s">
        <v>524</v>
      </c>
      <c r="F83" s="0" t="s">
        <v>364</v>
      </c>
      <c r="G83" s="0" t="n">
        <v>75</v>
      </c>
      <c r="H83" s="0" t="n">
        <v>28</v>
      </c>
      <c r="I83" s="0" t="n">
        <v>800</v>
      </c>
      <c r="J83" s="0" t="n">
        <v>43.6</v>
      </c>
      <c r="K83" s="45" t="n">
        <v>45392</v>
      </c>
      <c r="L83" s="0" t="n">
        <v>88.29</v>
      </c>
      <c r="M83" s="0" t="n">
        <v>44.69</v>
      </c>
      <c r="N83" s="0" t="n">
        <v>66.7625</v>
      </c>
      <c r="O83" s="0" t="n">
        <v>23.1625</v>
      </c>
      <c r="P83" s="0" t="s">
        <v>344</v>
      </c>
      <c r="Q83" s="0" t="s">
        <v>331</v>
      </c>
      <c r="R83" s="0" t="s">
        <v>403</v>
      </c>
      <c r="S83" s="0" t="n">
        <v>70.308</v>
      </c>
      <c r="T83" s="0" t="n">
        <v>26.708</v>
      </c>
      <c r="U83" s="0" t="s">
        <v>322</v>
      </c>
      <c r="V83" s="0" t="s">
        <v>341</v>
      </c>
      <c r="W83" s="0" t="n">
        <v>45</v>
      </c>
      <c r="X83" s="0" t="n">
        <v>1.4</v>
      </c>
      <c r="Y83" s="0" t="n">
        <v>6</v>
      </c>
      <c r="Z83" s="0" t="s">
        <v>8</v>
      </c>
      <c r="AB83" s="58" t="n">
        <f aca="false">M83-AA83</f>
        <v>44.69</v>
      </c>
      <c r="AC83" s="58" t="n">
        <f aca="false">O83-AA83</f>
        <v>23.1625</v>
      </c>
      <c r="AD83" s="58" t="n">
        <f aca="false">AB83/L83%</f>
        <v>50.6172839506173</v>
      </c>
      <c r="AE83" s="58" t="n">
        <f aca="false">AC83/N83%</f>
        <v>34.6938775510204</v>
      </c>
      <c r="AF83" s="58" t="n">
        <f aca="false">T83-AA83</f>
        <v>26.708</v>
      </c>
      <c r="AG83" s="58" t="n">
        <f aca="false">AF83/S83%</f>
        <v>37.9871422882176</v>
      </c>
      <c r="AH83" s="58" t="n">
        <f aca="false">'Multiroom cooling'!F7</f>
        <v>72</v>
      </c>
      <c r="AI83" s="58" t="n">
        <f aca="false">J83</f>
        <v>43.6</v>
      </c>
      <c r="AJ83" s="58" t="n">
        <f aca="false">AH83-AI83</f>
        <v>28.4</v>
      </c>
      <c r="AK83" s="58" t="n">
        <f aca="false">AA83</f>
        <v>0</v>
      </c>
      <c r="AL83" s="58" t="n">
        <f aca="false">AJ83-AK83</f>
        <v>28.4</v>
      </c>
      <c r="AM83" s="58" t="n">
        <f aca="false">AL83/AH83%</f>
        <v>39.4444444444444</v>
      </c>
      <c r="AN83" s="0" t="str">
        <f aca="false">IF(ISBLANK(Z83),"","Capped")</f>
        <v>Capped</v>
      </c>
      <c r="AO83" s="0" t="s">
        <v>327</v>
      </c>
      <c r="AP83" s="0" t="str">
        <f aca="false">TRIM(BA83)</f>
        <v>DDm100-33</v>
      </c>
      <c r="AQ83" s="59" t="e">
        <f aca="false">_xlfn.xlookup(A83,'SYS Allocations'!A:A,'SYS Allocations'!B:B)</f>
        <v>#NAME?</v>
      </c>
      <c r="AR83" s="59" t="e">
        <f aca="false">_xlfn.xlookup(A83,'SYS Allocations'!A:A,'SYS Allocations'!C:C)</f>
        <v>#NAME?</v>
      </c>
      <c r="AS83" s="59" t="e">
        <f aca="false">_xlfn.xlookup(A83,'SYS Allocations'!A:A,'SYS Allocations'!D:D)</f>
        <v>#NAME?</v>
      </c>
      <c r="AT83" s="59" t="e">
        <f aca="false">_xlfn.xlookup(A83,'SYS Allocations'!A:A,'SYS Allocations'!E:E)</f>
        <v>#NAME?</v>
      </c>
      <c r="AU83" s="59" t="e">
        <f aca="false">_xlfn.xlookup(A83,'SYS Allocations'!A:A,'SYS Allocations'!F:F)</f>
        <v>#NAME?</v>
      </c>
      <c r="BA83" s="0" t="str">
        <f aca="false">IFERROR(LEFT(R83,FIND("(",R83,1)-1),R83)</f>
        <v>DDm100-33</v>
      </c>
    </row>
    <row r="84" customFormat="false" ht="13.15" hidden="false" customHeight="false" outlineLevel="0" collapsed="false">
      <c r="A84" s="20" t="s">
        <v>100</v>
      </c>
      <c r="B84" s="0" t="s">
        <v>376</v>
      </c>
      <c r="C84" s="0" t="s">
        <v>525</v>
      </c>
      <c r="D84" s="0" t="s">
        <v>319</v>
      </c>
      <c r="E84" s="0" t="s">
        <v>526</v>
      </c>
      <c r="F84" s="0" t="s">
        <v>321</v>
      </c>
      <c r="G84" s="0" t="n">
        <v>36.6</v>
      </c>
      <c r="H84" s="0" t="n">
        <v>19</v>
      </c>
      <c r="I84" s="0" t="n">
        <v>180</v>
      </c>
      <c r="J84" s="0" t="n">
        <v>9.81</v>
      </c>
      <c r="K84" s="45" t="n">
        <v>45261</v>
      </c>
      <c r="L84" s="0" t="n">
        <v>28.72368</v>
      </c>
      <c r="M84" s="0" t="n">
        <v>18.91368</v>
      </c>
      <c r="N84" s="0" t="n">
        <v>23.7402</v>
      </c>
      <c r="O84" s="0" t="n">
        <v>13.9302</v>
      </c>
      <c r="P84" s="0" t="s">
        <v>325</v>
      </c>
      <c r="Q84" s="0" t="s">
        <v>385</v>
      </c>
      <c r="R84" s="0" t="s">
        <v>527</v>
      </c>
      <c r="S84" s="0" t="n">
        <v>25.0128</v>
      </c>
      <c r="T84" s="0" t="n">
        <v>15.2028</v>
      </c>
      <c r="U84" s="0" t="s">
        <v>374</v>
      </c>
      <c r="V84" s="0" t="s">
        <v>528</v>
      </c>
      <c r="W84" s="0" t="n">
        <v>32.25</v>
      </c>
      <c r="X84" s="0" t="n">
        <v>22.44</v>
      </c>
      <c r="Y84" s="0" t="n">
        <v>18</v>
      </c>
      <c r="AB84" s="58" t="n">
        <f aca="false">M84-AA84</f>
        <v>18.91368</v>
      </c>
      <c r="AC84" s="58" t="n">
        <f aca="false">O84-AA84</f>
        <v>13.9302</v>
      </c>
      <c r="AD84" s="58" t="n">
        <f aca="false">AB84/L84%</f>
        <v>65.8469945355191</v>
      </c>
      <c r="AE84" s="58" t="n">
        <f aca="false">AC84/N84%</f>
        <v>58.6776859504132</v>
      </c>
      <c r="AF84" s="58" t="n">
        <f aca="false">T84-AA84</f>
        <v>15.2028</v>
      </c>
      <c r="AG84" s="58" t="n">
        <f aca="false">AF84/S84%</f>
        <v>60.7800805987335</v>
      </c>
      <c r="AH84" s="58" t="n">
        <f aca="false">W84</f>
        <v>32.25</v>
      </c>
      <c r="AI84" s="58" t="n">
        <f aca="false">J84</f>
        <v>9.81</v>
      </c>
      <c r="AJ84" s="58" t="n">
        <f aca="false">AH84-AI84</f>
        <v>22.44</v>
      </c>
      <c r="AK84" s="58" t="n">
        <f aca="false">AA84</f>
        <v>0</v>
      </c>
      <c r="AL84" s="58" t="n">
        <f aca="false">AJ84-AK84</f>
        <v>22.44</v>
      </c>
      <c r="AM84" s="58" t="n">
        <f aca="false">AL84/AH84%</f>
        <v>69.5813953488372</v>
      </c>
      <c r="AN84" s="0" t="str">
        <f aca="false">IF(ISBLANK(Z84),"","Capped")</f>
        <v/>
      </c>
      <c r="AO84" s="0" t="s">
        <v>327</v>
      </c>
      <c r="AP84" s="0" t="str">
        <f aca="false">TRIM(BA84)</f>
        <v>2SLA1500</v>
      </c>
      <c r="AQ84" s="59" t="e">
        <f aca="false">_xlfn.xlookup(A84,'SYS Allocations'!A:A,'SYS Allocations'!B:B)</f>
        <v>#NAME?</v>
      </c>
      <c r="AR84" s="59" t="e">
        <f aca="false">_xlfn.xlookup(A84,'SYS Allocations'!A:A,'SYS Allocations'!C:C)</f>
        <v>#NAME?</v>
      </c>
      <c r="AS84" s="59" t="e">
        <f aca="false">_xlfn.xlookup(A84,'SYS Allocations'!A:A,'SYS Allocations'!D:D)</f>
        <v>#NAME?</v>
      </c>
      <c r="AT84" s="59" t="e">
        <f aca="false">_xlfn.xlookup(A84,'SYS Allocations'!A:A,'SYS Allocations'!E:E)</f>
        <v>#NAME?</v>
      </c>
      <c r="AU84" s="59" t="e">
        <f aca="false">_xlfn.xlookup(A84,'SYS Allocations'!A:A,'SYS Allocations'!F:F)</f>
        <v>#NAME?</v>
      </c>
      <c r="BA84" s="0" t="str">
        <f aca="false">IFERROR(LEFT(R84,FIND("(",R84,1)-1),R84)</f>
        <v>2SLA1500</v>
      </c>
    </row>
    <row r="85" customFormat="false" ht="13.15" hidden="false" customHeight="false" outlineLevel="0" collapsed="false">
      <c r="A85" s="20" t="s">
        <v>101</v>
      </c>
      <c r="B85" s="0" t="s">
        <v>361</v>
      </c>
      <c r="C85" s="0" t="s">
        <v>529</v>
      </c>
      <c r="D85" s="0" t="s">
        <v>319</v>
      </c>
      <c r="E85" s="0" t="s">
        <v>530</v>
      </c>
      <c r="F85" s="0" t="s">
        <v>383</v>
      </c>
      <c r="G85" s="0" t="n">
        <v>55</v>
      </c>
      <c r="H85" s="0" t="n">
        <v>8</v>
      </c>
      <c r="I85" s="0" t="n">
        <v>69</v>
      </c>
      <c r="J85" s="0" t="n">
        <v>3.7605</v>
      </c>
      <c r="K85" s="45" t="n">
        <v>45659</v>
      </c>
      <c r="L85" s="0" t="n">
        <v>16.786</v>
      </c>
      <c r="M85" s="0" t="n">
        <v>13.0255</v>
      </c>
      <c r="N85" s="0" t="n">
        <v>14.62562</v>
      </c>
      <c r="O85" s="0" t="n">
        <v>10.86512</v>
      </c>
      <c r="P85" s="0" t="s">
        <v>322</v>
      </c>
      <c r="Q85" s="0" t="s">
        <v>323</v>
      </c>
      <c r="R85" s="0" t="s">
        <v>324</v>
      </c>
      <c r="S85" s="0" t="n">
        <v>13.1544</v>
      </c>
      <c r="T85" s="0" t="n">
        <v>9.39390000000001</v>
      </c>
      <c r="U85" s="0" t="s">
        <v>374</v>
      </c>
      <c r="V85" s="0" t="s">
        <v>341</v>
      </c>
      <c r="W85" s="0" t="n">
        <v>45</v>
      </c>
      <c r="X85" s="0" t="n">
        <v>41.2395</v>
      </c>
      <c r="Y85" s="0" t="n">
        <v>11</v>
      </c>
      <c r="AB85" s="58" t="n">
        <f aca="false">M85-AA85</f>
        <v>13.0255</v>
      </c>
      <c r="AC85" s="58" t="n">
        <f aca="false">O85-AA85</f>
        <v>10.86512</v>
      </c>
      <c r="AD85" s="58" t="n">
        <f aca="false">AB85/L85%</f>
        <v>77.5974025974026</v>
      </c>
      <c r="AE85" s="58" t="n">
        <f aca="false">AC85/N85%</f>
        <v>74.2882694887465</v>
      </c>
      <c r="AF85" s="58" t="n">
        <f aca="false">T85-AA85</f>
        <v>9.39390000000001</v>
      </c>
      <c r="AG85" s="58" t="n">
        <f aca="false">AF85/S85%</f>
        <v>71.4126071884693</v>
      </c>
      <c r="AH85" s="58" t="n">
        <f aca="false">W85</f>
        <v>45</v>
      </c>
      <c r="AI85" s="58" t="n">
        <f aca="false">J85</f>
        <v>3.7605</v>
      </c>
      <c r="AJ85" s="58" t="n">
        <f aca="false">AH85-AI85</f>
        <v>41.2395</v>
      </c>
      <c r="AK85" s="58" t="n">
        <f aca="false">AA85</f>
        <v>0</v>
      </c>
      <c r="AL85" s="58" t="n">
        <f aca="false">AJ85-AK85</f>
        <v>41.2395</v>
      </c>
      <c r="AM85" s="58" t="n">
        <f aca="false">AL85/AH85%</f>
        <v>91.6433333333333</v>
      </c>
      <c r="AN85" s="0" t="str">
        <f aca="false">IF(ISBLANK(Z85),"","Capped")</f>
        <v/>
      </c>
      <c r="AO85" s="0" t="s">
        <v>327</v>
      </c>
      <c r="AP85" s="0" t="str">
        <f aca="false">TRIM(BA85)</f>
        <v>EN480-2</v>
      </c>
      <c r="AQ85" s="59" t="e">
        <f aca="false">_xlfn.xlookup(A85,'SYS Allocations'!A:A,'SYS Allocations'!B:B)</f>
        <v>#NAME?</v>
      </c>
      <c r="AR85" s="59" t="e">
        <f aca="false">_xlfn.xlookup(A85,'SYS Allocations'!A:A,'SYS Allocations'!C:C)</f>
        <v>#NAME?</v>
      </c>
      <c r="AS85" s="59" t="e">
        <f aca="false">_xlfn.xlookup(A85,'SYS Allocations'!A:A,'SYS Allocations'!D:D)</f>
        <v>#NAME?</v>
      </c>
      <c r="AT85" s="59" t="e">
        <f aca="false">_xlfn.xlookup(A85,'SYS Allocations'!A:A,'SYS Allocations'!E:E)</f>
        <v>#NAME?</v>
      </c>
      <c r="AU85" s="59" t="e">
        <f aca="false">_xlfn.xlookup(A85,'SYS Allocations'!A:A,'SYS Allocations'!F:F)</f>
        <v>#NAME?</v>
      </c>
      <c r="BA85" s="0" t="str">
        <f aca="false">IFERROR(LEFT(R85,FIND("(",R85,1)-1),R85)</f>
        <v>EN480-2</v>
      </c>
    </row>
    <row r="86" customFormat="false" ht="13.15" hidden="false" customHeight="false" outlineLevel="0" collapsed="false">
      <c r="A86" s="20" t="s">
        <v>102</v>
      </c>
      <c r="B86" s="0" t="s">
        <v>328</v>
      </c>
      <c r="C86" s="0" t="s">
        <v>531</v>
      </c>
      <c r="D86" s="0" t="s">
        <v>319</v>
      </c>
      <c r="E86" s="0" t="s">
        <v>532</v>
      </c>
      <c r="F86" s="0" t="s">
        <v>321</v>
      </c>
      <c r="G86" s="0" t="n">
        <v>36.6</v>
      </c>
      <c r="H86" s="0" t="n">
        <v>8</v>
      </c>
      <c r="I86" s="0" t="n">
        <v>115</v>
      </c>
      <c r="J86" s="0" t="n">
        <v>6.2675</v>
      </c>
      <c r="K86" s="45" t="n">
        <v>45659</v>
      </c>
      <c r="L86" s="0" t="n">
        <v>11.17032</v>
      </c>
      <c r="M86" s="0" t="n">
        <v>4.90282</v>
      </c>
      <c r="N86" s="0" t="n">
        <v>11.5104</v>
      </c>
      <c r="O86" s="0" t="n">
        <v>5.2429</v>
      </c>
      <c r="P86" s="0" t="s">
        <v>322</v>
      </c>
      <c r="Q86" s="0" t="s">
        <v>331</v>
      </c>
      <c r="R86" s="0" t="s">
        <v>533</v>
      </c>
      <c r="S86" s="0" t="n">
        <v>11.68992</v>
      </c>
      <c r="T86" s="0" t="n">
        <v>5.42241999999997</v>
      </c>
      <c r="U86" s="0" t="s">
        <v>325</v>
      </c>
      <c r="V86" s="0" t="s">
        <v>512</v>
      </c>
      <c r="W86" s="0" t="n">
        <v>10.5</v>
      </c>
      <c r="X86" s="0" t="n">
        <v>4.2325</v>
      </c>
      <c r="Y86" s="0" t="n">
        <v>47</v>
      </c>
      <c r="AB86" s="58" t="n">
        <f aca="false">M86-AA86</f>
        <v>4.90282</v>
      </c>
      <c r="AC86" s="58" t="n">
        <f aca="false">O86-AA86</f>
        <v>5.2429</v>
      </c>
      <c r="AD86" s="58" t="n">
        <f aca="false">AB86/L86%</f>
        <v>43.8914910226386</v>
      </c>
      <c r="AE86" s="58" t="n">
        <f aca="false">AC86/N86%</f>
        <v>45.5492424242424</v>
      </c>
      <c r="AF86" s="58" t="n">
        <f aca="false">T86-AA86</f>
        <v>5.42241999999997</v>
      </c>
      <c r="AG86" s="58" t="n">
        <f aca="false">AF86/S86%</f>
        <v>46.3854329199855</v>
      </c>
      <c r="AH86" s="58" t="n">
        <f aca="false">W86</f>
        <v>10.5</v>
      </c>
      <c r="AI86" s="58" t="n">
        <f aca="false">J86</f>
        <v>6.2675</v>
      </c>
      <c r="AJ86" s="58" t="n">
        <f aca="false">AH86-AI86</f>
        <v>4.2325</v>
      </c>
      <c r="AK86" s="58" t="n">
        <f aca="false">AA86</f>
        <v>0</v>
      </c>
      <c r="AL86" s="58" t="n">
        <f aca="false">AJ86-AK86</f>
        <v>4.2325</v>
      </c>
      <c r="AM86" s="58" t="n">
        <f aca="false">AL86/AH86%</f>
        <v>40.3095238095238</v>
      </c>
      <c r="AN86" s="0" t="str">
        <f aca="false">IF(ISBLANK(Z86),"","Capped")</f>
        <v/>
      </c>
      <c r="AO86" s="0" t="s">
        <v>327</v>
      </c>
      <c r="AP86" s="0" t="str">
        <f aca="false">TRIM(BA86)</f>
        <v>SBS XL 150F-FT</v>
      </c>
      <c r="AQ86" s="59" t="e">
        <f aca="false">_xlfn.xlookup(A86,'SYS Allocations'!A:A,'SYS Allocations'!B:B)</f>
        <v>#NAME?</v>
      </c>
      <c r="AR86" s="59" t="e">
        <f aca="false">_xlfn.xlookup(A86,'SYS Allocations'!A:A,'SYS Allocations'!C:C)</f>
        <v>#NAME?</v>
      </c>
      <c r="AS86" s="59" t="e">
        <f aca="false">_xlfn.xlookup(A86,'SYS Allocations'!A:A,'SYS Allocations'!D:D)</f>
        <v>#NAME?</v>
      </c>
      <c r="AT86" s="59" t="e">
        <f aca="false">_xlfn.xlookup(A86,'SYS Allocations'!A:A,'SYS Allocations'!E:E)</f>
        <v>#NAME?</v>
      </c>
      <c r="AU86" s="59" t="e">
        <f aca="false">_xlfn.xlookup(A86,'SYS Allocations'!A:A,'SYS Allocations'!F:F)</f>
        <v>#NAME?</v>
      </c>
      <c r="BA86" s="0" t="str">
        <f aca="false">IFERROR(LEFT(R86,FIND("(",R86,1)-1),R86)</f>
        <v>SBS XL 150F-FT </v>
      </c>
    </row>
    <row r="87" customFormat="false" ht="13.15" hidden="false" customHeight="false" outlineLevel="0" collapsed="false">
      <c r="A87" s="20" t="s">
        <v>103</v>
      </c>
      <c r="B87" s="0" t="s">
        <v>328</v>
      </c>
      <c r="C87" s="0" t="s">
        <v>531</v>
      </c>
      <c r="D87" s="0" t="s">
        <v>319</v>
      </c>
      <c r="E87" s="0" t="s">
        <v>534</v>
      </c>
      <c r="F87" s="0" t="s">
        <v>351</v>
      </c>
      <c r="G87" s="0" t="n">
        <v>22</v>
      </c>
      <c r="H87" s="0" t="n">
        <v>6</v>
      </c>
      <c r="I87" s="0" t="n">
        <v>28</v>
      </c>
      <c r="J87" s="0" t="n">
        <v>1.526</v>
      </c>
      <c r="K87" s="45" t="n">
        <v>45387</v>
      </c>
      <c r="L87" s="0" t="n">
        <v>4.796</v>
      </c>
      <c r="M87" s="0" t="n">
        <v>3.27</v>
      </c>
      <c r="N87" s="0" t="n">
        <v>4.36</v>
      </c>
      <c r="O87" s="0" t="n">
        <v>2.834</v>
      </c>
      <c r="P87" s="0" t="s">
        <v>322</v>
      </c>
      <c r="Q87" s="0" t="s">
        <v>331</v>
      </c>
      <c r="R87" s="0" t="s">
        <v>535</v>
      </c>
      <c r="S87" s="0" t="n">
        <v>2.82528</v>
      </c>
      <c r="T87" s="0" t="n">
        <v>1.29928</v>
      </c>
      <c r="U87" s="0" t="s">
        <v>325</v>
      </c>
      <c r="V87" s="0" t="s">
        <v>326</v>
      </c>
      <c r="W87" s="0" t="n">
        <v>7.5</v>
      </c>
      <c r="X87" s="0" t="n">
        <v>5.974</v>
      </c>
      <c r="Y87" s="0" t="n">
        <v>0</v>
      </c>
      <c r="AB87" s="58" t="n">
        <f aca="false">M87-AA87</f>
        <v>3.27</v>
      </c>
      <c r="AC87" s="58" t="n">
        <f aca="false">O87-AA87</f>
        <v>2.834</v>
      </c>
      <c r="AD87" s="58" t="n">
        <f aca="false">AB87/L87%</f>
        <v>68.1818181818182</v>
      </c>
      <c r="AE87" s="58" t="n">
        <f aca="false">AC87/N87%</f>
        <v>65</v>
      </c>
      <c r="AF87" s="58" t="n">
        <f aca="false">T87-AA87</f>
        <v>1.29928</v>
      </c>
      <c r="AG87" s="58" t="n">
        <f aca="false">AF87/S87%</f>
        <v>45.9876543209877</v>
      </c>
      <c r="AH87" s="58" t="n">
        <f aca="false">W87</f>
        <v>7.5</v>
      </c>
      <c r="AI87" s="58" t="n">
        <f aca="false">J87</f>
        <v>1.526</v>
      </c>
      <c r="AJ87" s="58" t="n">
        <f aca="false">AH87-AI87</f>
        <v>5.974</v>
      </c>
      <c r="AK87" s="58" t="n">
        <f aca="false">AA87</f>
        <v>0</v>
      </c>
      <c r="AL87" s="58" t="n">
        <f aca="false">AJ87-AK87</f>
        <v>5.974</v>
      </c>
      <c r="AM87" s="58" t="n">
        <f aca="false">AL87/AH87%</f>
        <v>79.6533333333333</v>
      </c>
      <c r="AN87" s="0" t="str">
        <f aca="false">IF(ISBLANK(Z87),"","Capped")</f>
        <v/>
      </c>
      <c r="AO87" s="0" t="s">
        <v>327</v>
      </c>
      <c r="AP87" s="0" t="str">
        <f aca="false">TRIM(BA87)</f>
        <v>SBS 12V100F</v>
      </c>
      <c r="AQ87" s="59" t="e">
        <f aca="false">_xlfn.xlookup(A87,'SYS Allocations'!A:A,'SYS Allocations'!B:B)</f>
        <v>#NAME?</v>
      </c>
      <c r="AR87" s="59" t="e">
        <f aca="false">_xlfn.xlookup(A87,'SYS Allocations'!A:A,'SYS Allocations'!C:C)</f>
        <v>#NAME?</v>
      </c>
      <c r="AS87" s="59" t="e">
        <f aca="false">_xlfn.xlookup(A87,'SYS Allocations'!A:A,'SYS Allocations'!D:D)</f>
        <v>#NAME?</v>
      </c>
      <c r="AT87" s="59" t="e">
        <f aca="false">_xlfn.xlookup(A87,'SYS Allocations'!A:A,'SYS Allocations'!E:E)</f>
        <v>#NAME?</v>
      </c>
      <c r="AU87" s="59" t="e">
        <f aca="false">_xlfn.xlookup(A87,'SYS Allocations'!A:A,'SYS Allocations'!F:F)</f>
        <v>#NAME?</v>
      </c>
      <c r="BA87" s="0" t="str">
        <f aca="false">IFERROR(LEFT(R87,FIND("(",R87,1)-1),R87)</f>
        <v>SBS 12V100F</v>
      </c>
    </row>
    <row r="88" customFormat="false" ht="13.15" hidden="false" customHeight="false" outlineLevel="0" collapsed="false">
      <c r="A88" s="20" t="s">
        <v>104</v>
      </c>
      <c r="B88" s="0" t="s">
        <v>419</v>
      </c>
      <c r="C88" s="0" t="s">
        <v>536</v>
      </c>
      <c r="D88" s="0" t="s">
        <v>319</v>
      </c>
      <c r="E88" s="0" t="s">
        <v>537</v>
      </c>
      <c r="F88" s="0" t="s">
        <v>364</v>
      </c>
      <c r="G88" s="0" t="n">
        <v>75</v>
      </c>
      <c r="H88" s="0" t="n">
        <v>6</v>
      </c>
      <c r="I88" s="0" t="n">
        <v>71</v>
      </c>
      <c r="J88" s="0" t="n">
        <v>3.8695</v>
      </c>
      <c r="K88" s="45" t="n">
        <v>45659</v>
      </c>
      <c r="L88" s="0" t="n">
        <v>16.35</v>
      </c>
      <c r="M88" s="0" t="n">
        <v>12.4805</v>
      </c>
      <c r="N88" s="0" t="n">
        <v>16.7315</v>
      </c>
      <c r="O88" s="0" t="n">
        <v>12.862</v>
      </c>
      <c r="P88" s="0" t="s">
        <v>337</v>
      </c>
      <c r="Q88" s="0" t="s">
        <v>352</v>
      </c>
      <c r="R88" s="0" t="s">
        <v>538</v>
      </c>
      <c r="S88" s="0" t="n">
        <v>6.60096000000002</v>
      </c>
      <c r="T88" s="0" t="n">
        <v>2.73146000000001</v>
      </c>
      <c r="U88" s="0" t="s">
        <v>322</v>
      </c>
      <c r="V88" s="0" t="s">
        <v>326</v>
      </c>
      <c r="W88" s="0" t="n">
        <v>7.5</v>
      </c>
      <c r="X88" s="0" t="n">
        <v>3.6305</v>
      </c>
      <c r="Y88" s="0" t="n">
        <v>3</v>
      </c>
      <c r="AB88" s="58" t="n">
        <f aca="false">M88-AA88</f>
        <v>12.4805</v>
      </c>
      <c r="AC88" s="58" t="n">
        <f aca="false">O88-AA88</f>
        <v>12.862</v>
      </c>
      <c r="AD88" s="58" t="n">
        <f aca="false">AB88/L88%</f>
        <v>76.3333333333333</v>
      </c>
      <c r="AE88" s="58" t="n">
        <f aca="false">AC88/N88%</f>
        <v>76.8729641693811</v>
      </c>
      <c r="AF88" s="58" t="n">
        <f aca="false">T88-AA88</f>
        <v>2.73146000000001</v>
      </c>
      <c r="AG88" s="58" t="n">
        <f aca="false">AF88/S88%</f>
        <v>41.3797387046733</v>
      </c>
      <c r="AH88" s="58" t="n">
        <f aca="false">W88</f>
        <v>7.5</v>
      </c>
      <c r="AI88" s="58" t="n">
        <f aca="false">J88</f>
        <v>3.8695</v>
      </c>
      <c r="AJ88" s="58" t="n">
        <f aca="false">AH88-AI88</f>
        <v>3.6305</v>
      </c>
      <c r="AK88" s="58" t="n">
        <f aca="false">AA88</f>
        <v>0</v>
      </c>
      <c r="AL88" s="58" t="n">
        <f aca="false">AJ88-AK88</f>
        <v>3.6305</v>
      </c>
      <c r="AM88" s="58" t="n">
        <f aca="false">AL88/AH88%</f>
        <v>48.4066666666667</v>
      </c>
      <c r="AN88" s="0" t="str">
        <f aca="false">IF(ISBLANK(Z88),"","Capped")</f>
        <v/>
      </c>
      <c r="AO88" s="0" t="s">
        <v>327</v>
      </c>
      <c r="AP88" s="0" t="str">
        <f aca="false">TRIM(BA88)</f>
        <v>12v170FS</v>
      </c>
      <c r="AQ88" s="59" t="e">
        <f aca="false">_xlfn.xlookup(A88,'SYS Allocations'!A:A,'SYS Allocations'!B:B)</f>
        <v>#NAME?</v>
      </c>
      <c r="AR88" s="59" t="e">
        <f aca="false">_xlfn.xlookup(A88,'SYS Allocations'!A:A,'SYS Allocations'!C:C)</f>
        <v>#NAME?</v>
      </c>
      <c r="AS88" s="59" t="e">
        <f aca="false">_xlfn.xlookup(A88,'SYS Allocations'!A:A,'SYS Allocations'!D:D)</f>
        <v>#NAME?</v>
      </c>
      <c r="AT88" s="59" t="e">
        <f aca="false">_xlfn.xlookup(A88,'SYS Allocations'!A:A,'SYS Allocations'!E:E)</f>
        <v>#NAME?</v>
      </c>
      <c r="AU88" s="59" t="e">
        <f aca="false">_xlfn.xlookup(A88,'SYS Allocations'!A:A,'SYS Allocations'!F:F)</f>
        <v>#NAME?</v>
      </c>
      <c r="BA88" s="0" t="str">
        <f aca="false">IFERROR(LEFT(R88,FIND("(",R88,1)-1),R88)</f>
        <v>12v170FS</v>
      </c>
    </row>
    <row r="89" customFormat="false" ht="13.15" hidden="false" customHeight="false" outlineLevel="0" collapsed="false">
      <c r="A89" s="20" t="s">
        <v>105</v>
      </c>
      <c r="B89" s="0" t="s">
        <v>394</v>
      </c>
      <c r="C89" s="0" t="s">
        <v>539</v>
      </c>
      <c r="D89" s="0" t="s">
        <v>319</v>
      </c>
      <c r="E89" s="0" t="s">
        <v>540</v>
      </c>
      <c r="F89" s="0" t="s">
        <v>397</v>
      </c>
      <c r="G89" s="0" t="n">
        <v>50</v>
      </c>
      <c r="H89" s="0" t="n">
        <v>5</v>
      </c>
      <c r="I89" s="0" t="n">
        <v>48</v>
      </c>
      <c r="J89" s="0" t="n">
        <v>2.616</v>
      </c>
      <c r="K89" s="45" t="n">
        <v>45316</v>
      </c>
      <c r="L89" s="0" t="n">
        <v>8.72</v>
      </c>
      <c r="M89" s="0" t="n">
        <v>6.104</v>
      </c>
      <c r="N89" s="0" t="n">
        <v>10.573</v>
      </c>
      <c r="O89" s="0" t="n">
        <v>7.957</v>
      </c>
      <c r="P89" s="0" t="s">
        <v>374</v>
      </c>
      <c r="Q89" s="0" t="s">
        <v>352</v>
      </c>
      <c r="R89" s="0" t="s">
        <v>353</v>
      </c>
      <c r="S89" s="0" t="n">
        <v>5.184</v>
      </c>
      <c r="T89" s="0" t="n">
        <v>2.568</v>
      </c>
      <c r="U89" s="0" t="s">
        <v>325</v>
      </c>
      <c r="V89" s="0" t="s">
        <v>442</v>
      </c>
      <c r="W89" s="0" t="n">
        <v>11.25</v>
      </c>
      <c r="X89" s="0" t="n">
        <v>8.634</v>
      </c>
      <c r="Y89" s="0" t="n">
        <v>1</v>
      </c>
      <c r="AB89" s="58" t="n">
        <f aca="false">M89-AA89</f>
        <v>6.104</v>
      </c>
      <c r="AC89" s="58" t="n">
        <f aca="false">O89-AA89</f>
        <v>7.957</v>
      </c>
      <c r="AD89" s="58" t="n">
        <f aca="false">AB89/L89%</f>
        <v>70</v>
      </c>
      <c r="AE89" s="58" t="n">
        <f aca="false">AC89/N89%</f>
        <v>75.2577319587629</v>
      </c>
      <c r="AF89" s="58" t="n">
        <f aca="false">T89-AA89</f>
        <v>2.568</v>
      </c>
      <c r="AG89" s="58" t="n">
        <f aca="false">AF89/S89%</f>
        <v>49.537037037037</v>
      </c>
      <c r="AH89" s="58" t="n">
        <f aca="false">W89</f>
        <v>11.25</v>
      </c>
      <c r="AI89" s="58" t="n">
        <f aca="false">J89</f>
        <v>2.616</v>
      </c>
      <c r="AJ89" s="58" t="n">
        <f aca="false">AH89-AI89</f>
        <v>8.634</v>
      </c>
      <c r="AK89" s="58" t="n">
        <f aca="false">AA89</f>
        <v>0</v>
      </c>
      <c r="AL89" s="58" t="n">
        <f aca="false">AJ89-AK89</f>
        <v>8.634</v>
      </c>
      <c r="AM89" s="58" t="n">
        <f aca="false">AL89/AH89%</f>
        <v>76.7466666666667</v>
      </c>
      <c r="AN89" s="0" t="str">
        <f aca="false">IF(ISBLANK(Z89),"","Capped")</f>
        <v/>
      </c>
      <c r="AO89" s="0" t="s">
        <v>327</v>
      </c>
      <c r="AP89" s="0" t="str">
        <f aca="false">TRIM(BA89)</f>
        <v>SBS C11F</v>
      </c>
      <c r="AQ89" s="59" t="e">
        <f aca="false">_xlfn.xlookup(A89,'SYS Allocations'!A:A,'SYS Allocations'!B:B)</f>
        <v>#NAME?</v>
      </c>
      <c r="AR89" s="59" t="e">
        <f aca="false">_xlfn.xlookup(A89,'SYS Allocations'!A:A,'SYS Allocations'!C:C)</f>
        <v>#NAME?</v>
      </c>
      <c r="AS89" s="59" t="e">
        <f aca="false">_xlfn.xlookup(A89,'SYS Allocations'!A:A,'SYS Allocations'!D:D)</f>
        <v>#NAME?</v>
      </c>
      <c r="AT89" s="59" t="e">
        <f aca="false">_xlfn.xlookup(A89,'SYS Allocations'!A:A,'SYS Allocations'!E:E)</f>
        <v>#NAME?</v>
      </c>
      <c r="AU89" s="59" t="e">
        <f aca="false">_xlfn.xlookup(A89,'SYS Allocations'!A:A,'SYS Allocations'!F:F)</f>
        <v>#NAME?</v>
      </c>
      <c r="BA89" s="0" t="str">
        <f aca="false">IFERROR(LEFT(R89,FIND("(",R89,1)-1),R89)</f>
        <v>SBS C11F</v>
      </c>
    </row>
    <row r="90" customFormat="false" ht="13.15" hidden="false" customHeight="false" outlineLevel="0" collapsed="false">
      <c r="A90" s="20" t="s">
        <v>106</v>
      </c>
      <c r="B90" s="0" t="s">
        <v>342</v>
      </c>
      <c r="C90" s="0" t="s">
        <v>342</v>
      </c>
      <c r="D90" s="0" t="s">
        <v>319</v>
      </c>
      <c r="E90" s="0" t="s">
        <v>541</v>
      </c>
      <c r="F90" s="0" t="s">
        <v>321</v>
      </c>
      <c r="G90" s="0" t="n">
        <v>36.6</v>
      </c>
      <c r="H90" s="0" t="n">
        <v>57</v>
      </c>
      <c r="I90" s="0" t="n">
        <v>938</v>
      </c>
      <c r="J90" s="0" t="n">
        <v>51.121</v>
      </c>
      <c r="K90" s="45" t="n">
        <v>45398</v>
      </c>
      <c r="L90" s="0" t="n">
        <v>89.36256</v>
      </c>
      <c r="M90" s="0" t="n">
        <v>38.24156</v>
      </c>
      <c r="N90" s="0" t="n">
        <v>68.1032</v>
      </c>
      <c r="O90" s="0" t="n">
        <v>16.9822</v>
      </c>
      <c r="P90" s="0" t="s">
        <v>337</v>
      </c>
      <c r="Q90" s="0" t="s">
        <v>331</v>
      </c>
      <c r="R90" s="0" t="s">
        <v>345</v>
      </c>
      <c r="S90" s="0" t="n">
        <v>71.1072000000002</v>
      </c>
      <c r="T90" s="0" t="n">
        <v>19.9862000000002</v>
      </c>
      <c r="U90" s="0" t="s">
        <v>374</v>
      </c>
      <c r="V90" s="0" t="s">
        <v>542</v>
      </c>
      <c r="W90" s="0" t="n">
        <v>150</v>
      </c>
      <c r="X90" s="0" t="n">
        <v>98.879</v>
      </c>
      <c r="Y90" s="0" t="n">
        <v>33</v>
      </c>
      <c r="AB90" s="58" t="n">
        <f aca="false">M90-AA90</f>
        <v>38.24156</v>
      </c>
      <c r="AC90" s="58" t="n">
        <f aca="false">O90-AA90</f>
        <v>16.9822</v>
      </c>
      <c r="AD90" s="58" t="n">
        <f aca="false">AB90/L90%</f>
        <v>42.7937158469945</v>
      </c>
      <c r="AE90" s="58" t="n">
        <f aca="false">AC90/N90%</f>
        <v>24.9359795134443</v>
      </c>
      <c r="AF90" s="58" t="n">
        <f aca="false">T90-AA90</f>
        <v>19.9862000000002</v>
      </c>
      <c r="AG90" s="58" t="n">
        <f aca="false">AF90/S90%</f>
        <v>28.1071396426805</v>
      </c>
      <c r="AH90" s="58" t="n">
        <f aca="false">W90</f>
        <v>150</v>
      </c>
      <c r="AI90" s="58" t="n">
        <f aca="false">J90</f>
        <v>51.121</v>
      </c>
      <c r="AJ90" s="58" t="n">
        <f aca="false">AH90-AI90</f>
        <v>98.879</v>
      </c>
      <c r="AK90" s="58" t="n">
        <f aca="false">AA90</f>
        <v>0</v>
      </c>
      <c r="AL90" s="58" t="n">
        <f aca="false">AJ90-AK90</f>
        <v>98.879</v>
      </c>
      <c r="AM90" s="58" t="n">
        <f aca="false">AL90/AH90%</f>
        <v>65.9193333333333</v>
      </c>
      <c r="AN90" s="0" t="str">
        <f aca="false">IF(ISBLANK(Z90),"","Capped")</f>
        <v/>
      </c>
      <c r="AO90" s="0" t="s">
        <v>327</v>
      </c>
      <c r="AP90" s="0" t="str">
        <f aca="false">TRIM(BA90)</f>
        <v>DDm125-33</v>
      </c>
      <c r="AQ90" s="59" t="e">
        <f aca="false">_xlfn.xlookup(A90,'SYS Allocations'!A:A,'SYS Allocations'!B:B)</f>
        <v>#NAME?</v>
      </c>
      <c r="AR90" s="59" t="e">
        <f aca="false">_xlfn.xlookup(A90,'SYS Allocations'!A:A,'SYS Allocations'!C:C)</f>
        <v>#NAME?</v>
      </c>
      <c r="AS90" s="59" t="e">
        <f aca="false">_xlfn.xlookup(A90,'SYS Allocations'!A:A,'SYS Allocations'!D:D)</f>
        <v>#NAME?</v>
      </c>
      <c r="AT90" s="59" t="e">
        <f aca="false">_xlfn.xlookup(A90,'SYS Allocations'!A:A,'SYS Allocations'!E:E)</f>
        <v>#NAME?</v>
      </c>
      <c r="AU90" s="59" t="e">
        <f aca="false">_xlfn.xlookup(A90,'SYS Allocations'!A:A,'SYS Allocations'!F:F)</f>
        <v>#NAME?</v>
      </c>
      <c r="BA90" s="0" t="str">
        <f aca="false">IFERROR(LEFT(R90,FIND("(",R90,1)-1),R90)</f>
        <v>DDm125-33</v>
      </c>
    </row>
    <row r="91" customFormat="false" ht="13.15" hidden="false" customHeight="false" outlineLevel="0" collapsed="false">
      <c r="A91" s="20" t="s">
        <v>107</v>
      </c>
      <c r="B91" s="0" t="s">
        <v>328</v>
      </c>
      <c r="C91" s="0" t="s">
        <v>543</v>
      </c>
      <c r="D91" s="0" t="s">
        <v>319</v>
      </c>
      <c r="E91" s="0" t="s">
        <v>544</v>
      </c>
      <c r="F91" s="0" t="s">
        <v>321</v>
      </c>
      <c r="G91" s="0" t="n">
        <v>36.6</v>
      </c>
      <c r="H91" s="0" t="n">
        <v>6</v>
      </c>
      <c r="I91" s="0" t="n">
        <v>48</v>
      </c>
      <c r="J91" s="0" t="n">
        <v>2.616</v>
      </c>
      <c r="K91" s="45" t="n">
        <v>45993</v>
      </c>
      <c r="L91" s="0" t="n">
        <v>7.9788</v>
      </c>
      <c r="M91" s="0" t="n">
        <v>5.3628</v>
      </c>
      <c r="N91" s="0" t="n">
        <v>6.7035</v>
      </c>
      <c r="O91" s="0" t="n">
        <v>4.0875</v>
      </c>
      <c r="P91" s="0" t="s">
        <v>374</v>
      </c>
      <c r="Q91" s="0" t="s">
        <v>331</v>
      </c>
      <c r="R91" s="0" t="s">
        <v>445</v>
      </c>
      <c r="S91" s="0" t="n">
        <v>5.3784</v>
      </c>
      <c r="T91" s="0" t="n">
        <v>2.7624</v>
      </c>
      <c r="U91" s="0" t="s">
        <v>322</v>
      </c>
      <c r="V91" s="0" t="s">
        <v>326</v>
      </c>
      <c r="W91" s="0" t="n">
        <v>7.5</v>
      </c>
      <c r="X91" s="0" t="n">
        <v>4.884</v>
      </c>
      <c r="Y91" s="0" t="n">
        <v>11</v>
      </c>
      <c r="AB91" s="58" t="n">
        <f aca="false">M91-AA91</f>
        <v>5.3628</v>
      </c>
      <c r="AC91" s="58" t="n">
        <f aca="false">O91-AA91</f>
        <v>4.0875</v>
      </c>
      <c r="AD91" s="58" t="n">
        <f aca="false">AB91/L91%</f>
        <v>67.2131147540984</v>
      </c>
      <c r="AE91" s="58" t="n">
        <f aca="false">AC91/N91%</f>
        <v>60.9756097560976</v>
      </c>
      <c r="AF91" s="58" t="n">
        <f aca="false">T91-AA91</f>
        <v>2.7624</v>
      </c>
      <c r="AG91" s="58" t="n">
        <f aca="false">AF91/S91%</f>
        <v>51.3609995537706</v>
      </c>
      <c r="AH91" s="58" t="n">
        <f aca="false">W91</f>
        <v>7.5</v>
      </c>
      <c r="AI91" s="58" t="n">
        <f aca="false">J91</f>
        <v>2.616</v>
      </c>
      <c r="AJ91" s="58" t="n">
        <f aca="false">AH91-AI91</f>
        <v>4.884</v>
      </c>
      <c r="AK91" s="58" t="n">
        <f aca="false">AA91</f>
        <v>0</v>
      </c>
      <c r="AL91" s="58" t="n">
        <f aca="false">AJ91-AK91</f>
        <v>4.884</v>
      </c>
      <c r="AM91" s="58" t="n">
        <f aca="false">AL91/AH91%</f>
        <v>65.12</v>
      </c>
      <c r="AN91" s="0" t="str">
        <f aca="false">IF(ISBLANK(Z91),"","Capped")</f>
        <v/>
      </c>
      <c r="AO91" s="0" t="s">
        <v>327</v>
      </c>
      <c r="AP91" s="0" t="str">
        <f aca="false">TRIM(BA91)</f>
        <v>12V101F</v>
      </c>
      <c r="AQ91" s="59" t="e">
        <f aca="false">_xlfn.xlookup(A91,'SYS Allocations'!A:A,'SYS Allocations'!B:B)</f>
        <v>#NAME?</v>
      </c>
      <c r="AR91" s="59" t="e">
        <f aca="false">_xlfn.xlookup(A91,'SYS Allocations'!A:A,'SYS Allocations'!C:C)</f>
        <v>#NAME?</v>
      </c>
      <c r="AS91" s="59" t="e">
        <f aca="false">_xlfn.xlookup(A91,'SYS Allocations'!A:A,'SYS Allocations'!D:D)</f>
        <v>#NAME?</v>
      </c>
      <c r="AT91" s="59" t="e">
        <f aca="false">_xlfn.xlookup(A91,'SYS Allocations'!A:A,'SYS Allocations'!E:E)</f>
        <v>#NAME?</v>
      </c>
      <c r="AU91" s="59" t="e">
        <f aca="false">_xlfn.xlookup(A91,'SYS Allocations'!A:A,'SYS Allocations'!F:F)</f>
        <v>#NAME?</v>
      </c>
      <c r="BA91" s="0" t="str">
        <f aca="false">IFERROR(LEFT(R91,FIND("(",R91,1)-1),R91)</f>
        <v>12V101F </v>
      </c>
    </row>
    <row r="92" customFormat="false" ht="13.15" hidden="false" customHeight="false" outlineLevel="0" collapsed="false">
      <c r="A92" s="20" t="s">
        <v>108</v>
      </c>
      <c r="B92" s="0" t="s">
        <v>394</v>
      </c>
      <c r="C92" s="0" t="s">
        <v>545</v>
      </c>
      <c r="D92" s="0" t="s">
        <v>319</v>
      </c>
      <c r="E92" s="0" t="s">
        <v>546</v>
      </c>
      <c r="F92" s="0" t="s">
        <v>397</v>
      </c>
      <c r="G92" s="0" t="n">
        <v>50</v>
      </c>
      <c r="H92" s="0" t="n">
        <v>6</v>
      </c>
      <c r="I92" s="0" t="n">
        <v>37</v>
      </c>
      <c r="J92" s="0" t="n">
        <v>2.0165</v>
      </c>
      <c r="K92" s="45" t="n">
        <v>45407</v>
      </c>
      <c r="L92" s="0" t="n">
        <v>10.9</v>
      </c>
      <c r="M92" s="0" t="n">
        <v>8.8835</v>
      </c>
      <c r="N92" s="0" t="n">
        <v>10.355</v>
      </c>
      <c r="O92" s="0" t="n">
        <v>8.3385</v>
      </c>
      <c r="P92" s="0" t="s">
        <v>325</v>
      </c>
      <c r="Q92" s="0" t="s">
        <v>331</v>
      </c>
      <c r="R92" s="0" t="s">
        <v>398</v>
      </c>
      <c r="S92" s="0" t="n">
        <v>5.2272</v>
      </c>
      <c r="T92" s="0" t="n">
        <v>3.2107</v>
      </c>
      <c r="U92" s="0" t="s">
        <v>325</v>
      </c>
      <c r="V92" s="0" t="s">
        <v>515</v>
      </c>
      <c r="W92" s="0" t="n">
        <v>30</v>
      </c>
      <c r="X92" s="0" t="n">
        <v>27.9835</v>
      </c>
      <c r="Y92" s="0" t="n">
        <v>67</v>
      </c>
      <c r="AB92" s="58" t="n">
        <f aca="false">M92-AA92</f>
        <v>8.8835</v>
      </c>
      <c r="AC92" s="58" t="n">
        <f aca="false">O92-AA92</f>
        <v>8.3385</v>
      </c>
      <c r="AD92" s="58" t="n">
        <f aca="false">AB92/L92%</f>
        <v>81.5</v>
      </c>
      <c r="AE92" s="58" t="n">
        <f aca="false">AC92/N92%</f>
        <v>80.5263157894737</v>
      </c>
      <c r="AF92" s="58" t="n">
        <f aca="false">T92-AA92</f>
        <v>3.2107</v>
      </c>
      <c r="AG92" s="58" t="n">
        <f aca="false">AF92/S92%</f>
        <v>61.4229415365779</v>
      </c>
      <c r="AH92" s="58" t="n">
        <f aca="false">W92</f>
        <v>30</v>
      </c>
      <c r="AI92" s="58" t="n">
        <f aca="false">J92</f>
        <v>2.0165</v>
      </c>
      <c r="AJ92" s="58" t="n">
        <f aca="false">AH92-AI92</f>
        <v>27.9835</v>
      </c>
      <c r="AK92" s="58" t="n">
        <f aca="false">AA92</f>
        <v>0</v>
      </c>
      <c r="AL92" s="58" t="n">
        <f aca="false">AJ92-AK92</f>
        <v>27.9835</v>
      </c>
      <c r="AM92" s="58" t="n">
        <f aca="false">AL92/AH92%</f>
        <v>93.2783333333333</v>
      </c>
      <c r="AN92" s="0" t="str">
        <f aca="false">IF(ISBLANK(Z92),"","Capped")</f>
        <v/>
      </c>
      <c r="AO92" s="0" t="s">
        <v>327</v>
      </c>
      <c r="AP92" s="0" t="str">
        <f aca="false">TRIM(BA92)</f>
        <v>2DDm50-13</v>
      </c>
      <c r="AQ92" s="59" t="e">
        <f aca="false">_xlfn.xlookup(A92,'SYS Allocations'!A:A,'SYS Allocations'!B:B)</f>
        <v>#NAME?</v>
      </c>
      <c r="AR92" s="59" t="e">
        <f aca="false">_xlfn.xlookup(A92,'SYS Allocations'!A:A,'SYS Allocations'!C:C)</f>
        <v>#NAME?</v>
      </c>
      <c r="AS92" s="59" t="e">
        <f aca="false">_xlfn.xlookup(A92,'SYS Allocations'!A:A,'SYS Allocations'!D:D)</f>
        <v>#NAME?</v>
      </c>
      <c r="AT92" s="59" t="e">
        <f aca="false">_xlfn.xlookup(A92,'SYS Allocations'!A:A,'SYS Allocations'!E:E)</f>
        <v>#NAME?</v>
      </c>
      <c r="AU92" s="59" t="e">
        <f aca="false">_xlfn.xlookup(A92,'SYS Allocations'!A:A,'SYS Allocations'!F:F)</f>
        <v>#NAME?</v>
      </c>
      <c r="BA92" s="0" t="str">
        <f aca="false">IFERROR(LEFT(R92,FIND("(",R92,1)-1),R92)</f>
        <v>2DDm50-13</v>
      </c>
    </row>
    <row r="93" customFormat="false" ht="13.15" hidden="false" customHeight="false" outlineLevel="0" collapsed="false">
      <c r="A93" s="20" t="s">
        <v>109</v>
      </c>
      <c r="B93" s="0" t="s">
        <v>328</v>
      </c>
      <c r="C93" s="0" t="s">
        <v>547</v>
      </c>
      <c r="D93" s="0" t="s">
        <v>319</v>
      </c>
      <c r="E93" s="0" t="s">
        <v>548</v>
      </c>
      <c r="F93" s="0" t="s">
        <v>321</v>
      </c>
      <c r="G93" s="0" t="n">
        <v>36.6</v>
      </c>
      <c r="H93" s="0" t="n">
        <v>17</v>
      </c>
      <c r="I93" s="0" t="n">
        <v>164</v>
      </c>
      <c r="J93" s="0" t="n">
        <v>8.938</v>
      </c>
      <c r="K93" s="45" t="n">
        <v>45659</v>
      </c>
      <c r="L93" s="0" t="n">
        <v>25.53216</v>
      </c>
      <c r="M93" s="0" t="n">
        <v>16.59416</v>
      </c>
      <c r="N93" s="0" t="n">
        <v>18.9442</v>
      </c>
      <c r="O93" s="0" t="n">
        <v>10.0062</v>
      </c>
      <c r="P93" s="0" t="s">
        <v>337</v>
      </c>
      <c r="Q93" s="0" t="s">
        <v>331</v>
      </c>
      <c r="R93" s="0" t="s">
        <v>365</v>
      </c>
      <c r="S93" s="0" t="n">
        <v>20.2176</v>
      </c>
      <c r="T93" s="0" t="n">
        <v>11.2796</v>
      </c>
      <c r="U93" s="0" t="s">
        <v>322</v>
      </c>
      <c r="V93" s="0" t="s">
        <v>333</v>
      </c>
      <c r="W93" s="0" t="n">
        <v>22.5</v>
      </c>
      <c r="X93" s="0" t="n">
        <v>13.562</v>
      </c>
      <c r="Y93" s="0" t="n">
        <v>17</v>
      </c>
      <c r="AB93" s="58" t="n">
        <f aca="false">M93-AA93</f>
        <v>16.59416</v>
      </c>
      <c r="AC93" s="58" t="n">
        <f aca="false">O93-AA93</f>
        <v>10.0062</v>
      </c>
      <c r="AD93" s="58" t="n">
        <f aca="false">AB93/L93%</f>
        <v>64.9931693989071</v>
      </c>
      <c r="AE93" s="58" t="n">
        <f aca="false">AC93/N93%</f>
        <v>52.819332566168</v>
      </c>
      <c r="AF93" s="58" t="n">
        <f aca="false">T93-AA93</f>
        <v>11.2796</v>
      </c>
      <c r="AG93" s="58" t="n">
        <f aca="false">AF93/S93%</f>
        <v>55.7909939854384</v>
      </c>
      <c r="AH93" s="58" t="n">
        <f aca="false">W93</f>
        <v>22.5</v>
      </c>
      <c r="AI93" s="58" t="n">
        <f aca="false">J93</f>
        <v>8.938</v>
      </c>
      <c r="AJ93" s="58" t="n">
        <f aca="false">AH93-AI93</f>
        <v>13.562</v>
      </c>
      <c r="AK93" s="58" t="n">
        <f aca="false">AA93</f>
        <v>0</v>
      </c>
      <c r="AL93" s="58" t="n">
        <f aca="false">AJ93-AK93</f>
        <v>13.562</v>
      </c>
      <c r="AM93" s="58" t="n">
        <f aca="false">AL93/AH93%</f>
        <v>60.2755555555556</v>
      </c>
      <c r="AN93" s="0" t="str">
        <f aca="false">IF(ISBLANK(Z93),"","Capped")</f>
        <v/>
      </c>
      <c r="AO93" s="0" t="s">
        <v>327</v>
      </c>
      <c r="AP93" s="0" t="str">
        <f aca="false">TRIM(BA93)</f>
        <v>2DDm85-15</v>
      </c>
      <c r="AQ93" s="59" t="e">
        <f aca="false">_xlfn.xlookup(A93,'SYS Allocations'!A:A,'SYS Allocations'!B:B)</f>
        <v>#NAME?</v>
      </c>
      <c r="AR93" s="59" t="e">
        <f aca="false">_xlfn.xlookup(A93,'SYS Allocations'!A:A,'SYS Allocations'!C:C)</f>
        <v>#NAME?</v>
      </c>
      <c r="AS93" s="59" t="e">
        <f aca="false">_xlfn.xlookup(A93,'SYS Allocations'!A:A,'SYS Allocations'!D:D)</f>
        <v>#NAME?</v>
      </c>
      <c r="AT93" s="59" t="e">
        <f aca="false">_xlfn.xlookup(A93,'SYS Allocations'!A:A,'SYS Allocations'!E:E)</f>
        <v>#NAME?</v>
      </c>
      <c r="AU93" s="59" t="e">
        <f aca="false">_xlfn.xlookup(A93,'SYS Allocations'!A:A,'SYS Allocations'!F:F)</f>
        <v>#NAME?</v>
      </c>
      <c r="BA93" s="0" t="str">
        <f aca="false">IFERROR(LEFT(R93,FIND("(",R93,1)-1),R93)</f>
        <v>2DDm85-15</v>
      </c>
    </row>
    <row r="94" customFormat="false" ht="13.15" hidden="false" customHeight="false" outlineLevel="0" collapsed="false">
      <c r="A94" s="20" t="s">
        <v>110</v>
      </c>
      <c r="B94" s="0" t="s">
        <v>328</v>
      </c>
      <c r="C94" s="0" t="s">
        <v>547</v>
      </c>
      <c r="D94" s="0" t="s">
        <v>390</v>
      </c>
      <c r="E94" s="0" t="s">
        <v>549</v>
      </c>
      <c r="F94" s="0" t="s">
        <v>321</v>
      </c>
      <c r="G94" s="0" t="n">
        <v>36.6</v>
      </c>
      <c r="H94" s="0" t="n">
        <v>6</v>
      </c>
      <c r="I94" s="0" t="n">
        <v>74</v>
      </c>
      <c r="J94" s="0" t="n">
        <v>4.033</v>
      </c>
      <c r="K94" s="45" t="n">
        <v>45659</v>
      </c>
      <c r="L94" s="0" t="n">
        <v>7.9788</v>
      </c>
      <c r="M94" s="0" t="n">
        <v>3.9458</v>
      </c>
      <c r="N94" s="0" t="n">
        <v>5.755199673</v>
      </c>
      <c r="O94" s="0" t="n">
        <v>1.722199673</v>
      </c>
      <c r="P94" s="0" t="s">
        <v>374</v>
      </c>
      <c r="Q94" s="0" t="s">
        <v>352</v>
      </c>
      <c r="R94" s="0" t="s">
        <v>359</v>
      </c>
      <c r="S94" s="0" t="n">
        <v>8.42400000000003</v>
      </c>
      <c r="T94" s="0" t="n">
        <v>4.39100000000003</v>
      </c>
      <c r="U94" s="0" t="s">
        <v>325</v>
      </c>
      <c r="V94" s="0" t="s">
        <v>326</v>
      </c>
      <c r="W94" s="0" t="n">
        <v>7.5</v>
      </c>
      <c r="X94" s="0" t="n">
        <v>3.467</v>
      </c>
      <c r="Y94" s="0" t="n">
        <v>0</v>
      </c>
      <c r="Z94" s="0" t="s">
        <v>8</v>
      </c>
      <c r="AB94" s="58" t="n">
        <f aca="false">M94-AA94</f>
        <v>3.9458</v>
      </c>
      <c r="AC94" s="58" t="n">
        <f aca="false">O94-AA94</f>
        <v>1.722199673</v>
      </c>
      <c r="AD94" s="58" t="n">
        <f aca="false">AB94/L94%</f>
        <v>49.4535519125683</v>
      </c>
      <c r="AE94" s="58" t="n">
        <f aca="false">AC94/N94%</f>
        <v>29.9242384426651</v>
      </c>
      <c r="AF94" s="58" t="n">
        <f aca="false">T94-AA94</f>
        <v>4.39100000000003</v>
      </c>
      <c r="AG94" s="58" t="n">
        <f aca="false">AF94/S94%</f>
        <v>52.1248812915481</v>
      </c>
      <c r="AH94" s="58" t="n">
        <f aca="false">W94</f>
        <v>7.5</v>
      </c>
      <c r="AI94" s="58" t="n">
        <f aca="false">J94</f>
        <v>4.033</v>
      </c>
      <c r="AJ94" s="58" t="n">
        <f aca="false">AH94-AI94</f>
        <v>3.467</v>
      </c>
      <c r="AK94" s="58" t="n">
        <f aca="false">AA94</f>
        <v>0</v>
      </c>
      <c r="AL94" s="58" t="n">
        <f aca="false">AJ94-AK94</f>
        <v>3.467</v>
      </c>
      <c r="AM94" s="58" t="n">
        <f aca="false">AL94/AH94%</f>
        <v>46.2266666666667</v>
      </c>
      <c r="AN94" s="0" t="str">
        <f aca="false">IF(ISBLANK(Z94),"","Capped")</f>
        <v>Capped</v>
      </c>
      <c r="AO94" s="0" t="s">
        <v>327</v>
      </c>
      <c r="AP94" s="0" t="str">
        <f aca="false">TRIM(BA94)</f>
        <v>12V155F</v>
      </c>
      <c r="AQ94" s="59" t="e">
        <f aca="false">_xlfn.xlookup(A94,'SYS Allocations'!A:A,'SYS Allocations'!B:B)</f>
        <v>#NAME?</v>
      </c>
      <c r="AR94" s="59" t="e">
        <f aca="false">_xlfn.xlookup(A94,'SYS Allocations'!A:A,'SYS Allocations'!C:C)</f>
        <v>#NAME?</v>
      </c>
      <c r="AS94" s="59" t="e">
        <f aca="false">_xlfn.xlookup(A94,'SYS Allocations'!A:A,'SYS Allocations'!D:D)</f>
        <v>#NAME?</v>
      </c>
      <c r="AT94" s="59" t="e">
        <f aca="false">_xlfn.xlookup(A94,'SYS Allocations'!A:A,'SYS Allocations'!E:E)</f>
        <v>#NAME?</v>
      </c>
      <c r="AU94" s="59" t="e">
        <f aca="false">_xlfn.xlookup(A94,'SYS Allocations'!A:A,'SYS Allocations'!F:F)</f>
        <v>#NAME?</v>
      </c>
      <c r="BA94" s="0" t="str">
        <f aca="false">IFERROR(LEFT(R94,FIND("(",R94,1)-1),R94)</f>
        <v>12V155F</v>
      </c>
    </row>
    <row r="95" customFormat="false" ht="13.15" hidden="false" customHeight="false" outlineLevel="0" collapsed="false">
      <c r="A95" s="20" t="s">
        <v>111</v>
      </c>
      <c r="B95" s="0" t="s">
        <v>328</v>
      </c>
      <c r="C95" s="0" t="s">
        <v>550</v>
      </c>
      <c r="D95" s="0" t="s">
        <v>390</v>
      </c>
      <c r="E95" s="0" t="s">
        <v>551</v>
      </c>
      <c r="F95" s="0" t="s">
        <v>321</v>
      </c>
      <c r="G95" s="0" t="n">
        <v>36.6</v>
      </c>
      <c r="H95" s="0" t="n">
        <v>6</v>
      </c>
      <c r="I95" s="0" t="n">
        <v>44</v>
      </c>
      <c r="J95" s="0" t="n">
        <v>2.398</v>
      </c>
      <c r="K95" s="45" t="n">
        <v>45659</v>
      </c>
      <c r="L95" s="0" t="n">
        <v>7.9788</v>
      </c>
      <c r="M95" s="0" t="n">
        <v>5.5808</v>
      </c>
      <c r="N95" s="0" t="n">
        <v>6.7035</v>
      </c>
      <c r="O95" s="0" t="n">
        <v>4.3055</v>
      </c>
      <c r="P95" s="0" t="s">
        <v>374</v>
      </c>
      <c r="Q95" s="0" t="s">
        <v>331</v>
      </c>
      <c r="R95" s="0" t="s">
        <v>445</v>
      </c>
      <c r="S95" s="0" t="n">
        <v>5.3784</v>
      </c>
      <c r="T95" s="0" t="n">
        <v>2.9804</v>
      </c>
      <c r="U95" s="0" t="s">
        <v>325</v>
      </c>
      <c r="V95" s="0" t="s">
        <v>354</v>
      </c>
      <c r="W95" s="0" t="n">
        <v>5.025</v>
      </c>
      <c r="X95" s="0" t="n">
        <v>2.627</v>
      </c>
      <c r="Y95" s="0" t="n">
        <v>2</v>
      </c>
      <c r="Z95" s="0" t="s">
        <v>8</v>
      </c>
      <c r="AB95" s="58" t="n">
        <f aca="false">M95-AA95</f>
        <v>5.5808</v>
      </c>
      <c r="AC95" s="58" t="n">
        <f aca="false">O95-AA95</f>
        <v>4.3055</v>
      </c>
      <c r="AD95" s="58" t="n">
        <f aca="false">AB95/L95%</f>
        <v>69.9453551912568</v>
      </c>
      <c r="AE95" s="58" t="n">
        <f aca="false">AC95/N95%</f>
        <v>64.2276422764228</v>
      </c>
      <c r="AF95" s="58" t="n">
        <f aca="false">T95-AA95</f>
        <v>2.9804</v>
      </c>
      <c r="AG95" s="58" t="n">
        <f aca="false">AF95/S95%</f>
        <v>55.4142495909564</v>
      </c>
      <c r="AH95" s="58" t="n">
        <f aca="false">W95</f>
        <v>5.025</v>
      </c>
      <c r="AI95" s="58" t="n">
        <f aca="false">J95</f>
        <v>2.398</v>
      </c>
      <c r="AJ95" s="58" t="n">
        <f aca="false">AH95-AI95</f>
        <v>2.627</v>
      </c>
      <c r="AK95" s="58" t="n">
        <f aca="false">AA95</f>
        <v>0</v>
      </c>
      <c r="AL95" s="58" t="n">
        <f aca="false">AJ95-AK95</f>
        <v>2.627</v>
      </c>
      <c r="AM95" s="58" t="n">
        <f aca="false">AL95/AH95%</f>
        <v>52.2786069651741</v>
      </c>
      <c r="AN95" s="0" t="str">
        <f aca="false">IF(ISBLANK(Z95),"","Capped")</f>
        <v>Capped</v>
      </c>
      <c r="AO95" s="0" t="s">
        <v>327</v>
      </c>
      <c r="AP95" s="0" t="str">
        <f aca="false">TRIM(BA95)</f>
        <v>12V101F</v>
      </c>
      <c r="AQ95" s="59" t="e">
        <f aca="false">_xlfn.xlookup(A95,'SYS Allocations'!A:A,'SYS Allocations'!B:B)</f>
        <v>#NAME?</v>
      </c>
      <c r="AR95" s="59" t="e">
        <f aca="false">_xlfn.xlookup(A95,'SYS Allocations'!A:A,'SYS Allocations'!C:C)</f>
        <v>#NAME?</v>
      </c>
      <c r="AS95" s="59" t="e">
        <f aca="false">_xlfn.xlookup(A95,'SYS Allocations'!A:A,'SYS Allocations'!D:D)</f>
        <v>#NAME?</v>
      </c>
      <c r="AT95" s="59" t="e">
        <f aca="false">_xlfn.xlookup(A95,'SYS Allocations'!A:A,'SYS Allocations'!E:E)</f>
        <v>#NAME?</v>
      </c>
      <c r="AU95" s="59" t="e">
        <f aca="false">_xlfn.xlookup(A95,'SYS Allocations'!A:A,'SYS Allocations'!F:F)</f>
        <v>#NAME?</v>
      </c>
      <c r="BA95" s="0" t="str">
        <f aca="false">IFERROR(LEFT(R95,FIND("(",R95,1)-1),R95)</f>
        <v>12V101F </v>
      </c>
    </row>
    <row r="96" customFormat="false" ht="13.15" hidden="false" customHeight="false" outlineLevel="0" collapsed="false">
      <c r="A96" s="20" t="s">
        <v>112</v>
      </c>
      <c r="B96" s="0" t="s">
        <v>394</v>
      </c>
      <c r="C96" s="0" t="s">
        <v>552</v>
      </c>
      <c r="D96" s="0" t="s">
        <v>390</v>
      </c>
      <c r="E96" s="0" t="s">
        <v>553</v>
      </c>
      <c r="F96" s="0" t="s">
        <v>364</v>
      </c>
      <c r="G96" s="0" t="n">
        <v>75</v>
      </c>
      <c r="H96" s="0" t="n">
        <v>7</v>
      </c>
      <c r="I96" s="0" t="n">
        <v>160</v>
      </c>
      <c r="J96" s="0" t="n">
        <v>8.72</v>
      </c>
      <c r="K96" s="45" t="n">
        <v>45331</v>
      </c>
      <c r="L96" s="0" t="n">
        <v>19.62</v>
      </c>
      <c r="M96" s="0" t="n">
        <v>10.9</v>
      </c>
      <c r="N96" s="0" t="n">
        <v>11.445</v>
      </c>
      <c r="O96" s="0" t="n">
        <v>2.725</v>
      </c>
      <c r="P96" s="0" t="s">
        <v>325</v>
      </c>
      <c r="Q96" s="0" t="s">
        <v>331</v>
      </c>
      <c r="R96" s="0" t="s">
        <v>336</v>
      </c>
      <c r="S96" s="0" t="n">
        <v>21.1248</v>
      </c>
      <c r="T96" s="0" t="n">
        <v>12.4048</v>
      </c>
      <c r="U96" s="0" t="s">
        <v>322</v>
      </c>
      <c r="V96" s="0" t="s">
        <v>554</v>
      </c>
      <c r="W96" s="0" t="n">
        <v>19.5</v>
      </c>
      <c r="X96" s="0" t="n">
        <v>10.78</v>
      </c>
      <c r="Y96" s="0" t="n">
        <v>4</v>
      </c>
      <c r="Z96" s="0" t="s">
        <v>8</v>
      </c>
      <c r="AB96" s="58" t="n">
        <f aca="false">M96-AA96</f>
        <v>10.9</v>
      </c>
      <c r="AC96" s="58" t="n">
        <f aca="false">O96-AA96</f>
        <v>2.725</v>
      </c>
      <c r="AD96" s="58" t="n">
        <f aca="false">AB96/L96%</f>
        <v>55.5555555555556</v>
      </c>
      <c r="AE96" s="58" t="n">
        <f aca="false">AC96/N96%</f>
        <v>23.8095238095238</v>
      </c>
      <c r="AF96" s="58" t="n">
        <f aca="false">T96-AA96</f>
        <v>12.4048</v>
      </c>
      <c r="AG96" s="58" t="n">
        <f aca="false">AF96/S96%</f>
        <v>58.7215026887829</v>
      </c>
      <c r="AH96" s="58" t="n">
        <f aca="false">W96</f>
        <v>19.5</v>
      </c>
      <c r="AI96" s="58" t="n">
        <f aca="false">J96</f>
        <v>8.72</v>
      </c>
      <c r="AJ96" s="58" t="n">
        <f aca="false">AH96-AI96</f>
        <v>10.78</v>
      </c>
      <c r="AK96" s="58" t="n">
        <f aca="false">AA96</f>
        <v>0</v>
      </c>
      <c r="AL96" s="58" t="n">
        <f aca="false">AJ96-AK96</f>
        <v>10.78</v>
      </c>
      <c r="AM96" s="58" t="n">
        <f aca="false">AL96/AH96%</f>
        <v>55.2820512820513</v>
      </c>
      <c r="AN96" s="0" t="str">
        <f aca="false">IF(ISBLANK(Z96),"","Capped")</f>
        <v>Capped</v>
      </c>
      <c r="AO96" s="0" t="s">
        <v>327</v>
      </c>
      <c r="AP96" s="0" t="str">
        <f aca="false">TRIM(BA96)</f>
        <v>DDm100-25</v>
      </c>
      <c r="AQ96" s="59" t="e">
        <f aca="false">_xlfn.xlookup(A96,'SYS Allocations'!A:A,'SYS Allocations'!B:B)</f>
        <v>#NAME?</v>
      </c>
      <c r="AR96" s="59" t="e">
        <f aca="false">_xlfn.xlookup(A96,'SYS Allocations'!A:A,'SYS Allocations'!C:C)</f>
        <v>#NAME?</v>
      </c>
      <c r="AS96" s="59" t="e">
        <f aca="false">_xlfn.xlookup(A96,'SYS Allocations'!A:A,'SYS Allocations'!D:D)</f>
        <v>#NAME?</v>
      </c>
      <c r="AT96" s="59" t="e">
        <f aca="false">_xlfn.xlookup(A96,'SYS Allocations'!A:A,'SYS Allocations'!E:E)</f>
        <v>#NAME?</v>
      </c>
      <c r="AU96" s="59" t="e">
        <f aca="false">_xlfn.xlookup(A96,'SYS Allocations'!A:A,'SYS Allocations'!F:F)</f>
        <v>#NAME?</v>
      </c>
      <c r="BA96" s="0" t="str">
        <f aca="false">IFERROR(LEFT(R96,FIND("(",R96,1)-1),R96)</f>
        <v>DDm100-25</v>
      </c>
    </row>
    <row r="97" customFormat="false" ht="13.15" hidden="false" customHeight="false" outlineLevel="0" collapsed="false">
      <c r="A97" s="20" t="s">
        <v>113</v>
      </c>
      <c r="B97" s="0" t="s">
        <v>371</v>
      </c>
      <c r="C97" s="0" t="s">
        <v>555</v>
      </c>
      <c r="D97" s="0" t="s">
        <v>319</v>
      </c>
      <c r="E97" s="0" t="s">
        <v>556</v>
      </c>
      <c r="F97" s="0" t="s">
        <v>321</v>
      </c>
      <c r="G97" s="0" t="n">
        <v>36.6</v>
      </c>
      <c r="H97" s="0" t="n">
        <v>6</v>
      </c>
      <c r="I97" s="0" t="n">
        <v>9</v>
      </c>
      <c r="J97" s="0" t="n">
        <v>0.4905</v>
      </c>
      <c r="K97" s="45" t="n">
        <v>45397</v>
      </c>
      <c r="L97" s="0" t="n">
        <v>7.9788</v>
      </c>
      <c r="M97" s="0" t="n">
        <v>7.4883</v>
      </c>
      <c r="N97" s="0" t="n">
        <v>3.7605</v>
      </c>
      <c r="O97" s="0" t="n">
        <v>3.27</v>
      </c>
      <c r="P97" s="0" t="s">
        <v>374</v>
      </c>
      <c r="Q97" s="0" t="s">
        <v>352</v>
      </c>
      <c r="R97" s="0" t="s">
        <v>557</v>
      </c>
      <c r="S97" s="0" t="n">
        <v>11.18448</v>
      </c>
      <c r="T97" s="0" t="n">
        <v>10.69398</v>
      </c>
      <c r="U97" s="0" t="s">
        <v>325</v>
      </c>
      <c r="V97" s="0" t="s">
        <v>326</v>
      </c>
      <c r="W97" s="0" t="n">
        <v>7.5</v>
      </c>
      <c r="X97" s="0" t="n">
        <v>7.0095</v>
      </c>
      <c r="Y97" s="0" t="n">
        <v>14</v>
      </c>
      <c r="AB97" s="58" t="n">
        <f aca="false">M97-AA97</f>
        <v>7.4883</v>
      </c>
      <c r="AC97" s="58" t="n">
        <f aca="false">O97-AA97</f>
        <v>3.27</v>
      </c>
      <c r="AD97" s="58" t="n">
        <f aca="false">AB97/L97%</f>
        <v>93.8524590163934</v>
      </c>
      <c r="AE97" s="58" t="n">
        <f aca="false">AC97/N97%</f>
        <v>86.9565217391304</v>
      </c>
      <c r="AF97" s="58" t="n">
        <f aca="false">T97-AA97</f>
        <v>10.69398</v>
      </c>
      <c r="AG97" s="58" t="n">
        <f aca="false">AF97/S97%</f>
        <v>95.6144586069267</v>
      </c>
      <c r="AH97" s="58" t="n">
        <f aca="false">W97</f>
        <v>7.5</v>
      </c>
      <c r="AI97" s="58" t="n">
        <f aca="false">J97</f>
        <v>0.4905</v>
      </c>
      <c r="AJ97" s="58" t="n">
        <f aca="false">AH97-AI97</f>
        <v>7.0095</v>
      </c>
      <c r="AK97" s="58" t="n">
        <f aca="false">AA97</f>
        <v>0</v>
      </c>
      <c r="AL97" s="58" t="n">
        <f aca="false">AJ97-AK97</f>
        <v>7.0095</v>
      </c>
      <c r="AM97" s="58" t="n">
        <f aca="false">AL97/AH97%</f>
        <v>93.46</v>
      </c>
      <c r="AN97" s="0" t="str">
        <f aca="false">IF(ISBLANK(Z97),"","Capped")</f>
        <v/>
      </c>
      <c r="AO97" s="0" t="s">
        <v>327</v>
      </c>
      <c r="AP97" s="0" t="str">
        <f aca="false">TRIM(BA97)</f>
        <v>12V190F</v>
      </c>
      <c r="AQ97" s="59" t="e">
        <f aca="false">_xlfn.xlookup(A97,'SYS Allocations'!A:A,'SYS Allocations'!B:B)</f>
        <v>#NAME?</v>
      </c>
      <c r="AR97" s="59" t="e">
        <f aca="false">_xlfn.xlookup(A97,'SYS Allocations'!A:A,'SYS Allocations'!C:C)</f>
        <v>#NAME?</v>
      </c>
      <c r="AS97" s="59" t="e">
        <f aca="false">_xlfn.xlookup(A97,'SYS Allocations'!A:A,'SYS Allocations'!D:D)</f>
        <v>#NAME?</v>
      </c>
      <c r="AT97" s="59" t="e">
        <f aca="false">_xlfn.xlookup(A97,'SYS Allocations'!A:A,'SYS Allocations'!E:E)</f>
        <v>#NAME?</v>
      </c>
      <c r="AU97" s="59" t="e">
        <f aca="false">_xlfn.xlookup(A97,'SYS Allocations'!A:A,'SYS Allocations'!F:F)</f>
        <v>#NAME?</v>
      </c>
      <c r="BA97" s="0" t="str">
        <f aca="false">IFERROR(LEFT(R97,FIND("(",R97,1)-1),R97)</f>
        <v>12V190F</v>
      </c>
    </row>
    <row r="98" customFormat="false" ht="13.15" hidden="false" customHeight="false" outlineLevel="0" collapsed="false">
      <c r="A98" s="20" t="s">
        <v>114</v>
      </c>
      <c r="B98" s="0" t="s">
        <v>348</v>
      </c>
      <c r="C98" s="0" t="s">
        <v>558</v>
      </c>
      <c r="D98" s="0" t="s">
        <v>390</v>
      </c>
      <c r="E98" s="0" t="s">
        <v>559</v>
      </c>
      <c r="F98" s="0" t="s">
        <v>560</v>
      </c>
      <c r="G98" s="0" t="n">
        <v>37.5</v>
      </c>
      <c r="H98" s="0" t="n">
        <v>4</v>
      </c>
      <c r="I98" s="0" t="n">
        <v>51</v>
      </c>
      <c r="J98" s="0" t="n">
        <v>2.7795</v>
      </c>
      <c r="K98" s="45" t="n">
        <v>45596</v>
      </c>
      <c r="L98" s="0" t="n">
        <v>4.905</v>
      </c>
      <c r="M98" s="0" t="n">
        <v>2.1255</v>
      </c>
      <c r="N98" s="0" t="n">
        <v>5.80425</v>
      </c>
      <c r="O98" s="0" t="n">
        <v>3.02475</v>
      </c>
      <c r="P98" s="0" t="s">
        <v>374</v>
      </c>
      <c r="Q98" s="0" t="s">
        <v>352</v>
      </c>
      <c r="R98" s="0" t="s">
        <v>353</v>
      </c>
      <c r="S98" s="0" t="n">
        <v>5.184</v>
      </c>
      <c r="T98" s="0" t="n">
        <v>2.4045</v>
      </c>
      <c r="U98" s="0" t="s">
        <v>561</v>
      </c>
      <c r="V98" s="0" t="s">
        <v>561</v>
      </c>
      <c r="W98" s="0" t="n">
        <v>0</v>
      </c>
      <c r="X98" s="0" t="n">
        <v>-2.7795</v>
      </c>
      <c r="Y98" s="0" t="n">
        <v>0</v>
      </c>
      <c r="Z98" s="0" t="s">
        <v>562</v>
      </c>
      <c r="AB98" s="58" t="n">
        <f aca="false">M98-AA98</f>
        <v>2.1255</v>
      </c>
      <c r="AC98" s="58" t="n">
        <f aca="false">O98-AA98</f>
        <v>3.02475</v>
      </c>
      <c r="AD98" s="58" t="n">
        <f aca="false">AB98/L98%</f>
        <v>43.3333333333333</v>
      </c>
      <c r="AE98" s="58" t="n">
        <f aca="false">AC98/N98%</f>
        <v>52.112676056338</v>
      </c>
      <c r="AF98" s="58" t="n">
        <f aca="false">T98-AA98</f>
        <v>2.4045</v>
      </c>
      <c r="AG98" s="58" t="n">
        <f aca="false">AF98/S98%</f>
        <v>46.3831018518519</v>
      </c>
      <c r="AH98" s="58" t="n">
        <f aca="false">W98</f>
        <v>0</v>
      </c>
      <c r="AI98" s="58" t="n">
        <f aca="false">J98</f>
        <v>2.7795</v>
      </c>
      <c r="AJ98" s="58" t="n">
        <f aca="false">AH98-AI98</f>
        <v>-2.7795</v>
      </c>
      <c r="AK98" s="58" t="n">
        <f aca="false">AA98</f>
        <v>0</v>
      </c>
      <c r="AL98" s="58" t="n">
        <f aca="false">AJ98-AK98</f>
        <v>-2.7795</v>
      </c>
      <c r="AM98" s="58" t="e">
        <f aca="false">AL98/AH98%</f>
        <v>#DIV/0!</v>
      </c>
      <c r="AN98" s="0" t="str">
        <f aca="false">IF(ISBLANK(Z98),"","Capped")</f>
        <v>Capped</v>
      </c>
      <c r="AO98" s="0" t="s">
        <v>327</v>
      </c>
      <c r="AP98" s="0" t="str">
        <f aca="false">TRIM(BA98)</f>
        <v>SBS C11F</v>
      </c>
      <c r="AQ98" s="59" t="e">
        <f aca="false">_xlfn.xlookup(A98,'SYS Allocations'!A:A,'SYS Allocations'!B:B)</f>
        <v>#NAME?</v>
      </c>
      <c r="AR98" s="59" t="e">
        <f aca="false">_xlfn.xlookup(A98,'SYS Allocations'!A:A,'SYS Allocations'!C:C)</f>
        <v>#NAME?</v>
      </c>
      <c r="AS98" s="59" t="e">
        <f aca="false">_xlfn.xlookup(A98,'SYS Allocations'!A:A,'SYS Allocations'!D:D)</f>
        <v>#NAME?</v>
      </c>
      <c r="AT98" s="59" t="e">
        <f aca="false">_xlfn.xlookup(A98,'SYS Allocations'!A:A,'SYS Allocations'!E:E)</f>
        <v>#NAME?</v>
      </c>
      <c r="AU98" s="59" t="e">
        <f aca="false">_xlfn.xlookup(A98,'SYS Allocations'!A:A,'SYS Allocations'!F:F)</f>
        <v>#NAME?</v>
      </c>
      <c r="BA98" s="0" t="str">
        <f aca="false">IFERROR(LEFT(R98,FIND("(",R98,1)-1),R98)</f>
        <v>SBS C11F</v>
      </c>
    </row>
    <row r="99" customFormat="false" ht="13.15" hidden="false" customHeight="false" outlineLevel="0" collapsed="false">
      <c r="A99" s="20" t="s">
        <v>115</v>
      </c>
      <c r="B99" s="0" t="s">
        <v>394</v>
      </c>
      <c r="C99" s="0" t="s">
        <v>563</v>
      </c>
      <c r="D99" s="0" t="s">
        <v>319</v>
      </c>
      <c r="E99" s="0" t="s">
        <v>564</v>
      </c>
      <c r="F99" s="0" t="s">
        <v>351</v>
      </c>
      <c r="G99" s="0" t="n">
        <v>22</v>
      </c>
      <c r="H99" s="0" t="n">
        <v>4</v>
      </c>
      <c r="I99" s="0" t="n">
        <v>22</v>
      </c>
      <c r="J99" s="0" t="n">
        <v>1.199</v>
      </c>
      <c r="K99" s="45" t="n">
        <v>45597</v>
      </c>
      <c r="L99" s="0" t="n">
        <v>2.8776</v>
      </c>
      <c r="M99" s="0" t="n">
        <v>1.6786</v>
      </c>
      <c r="N99" s="0" t="n">
        <v>2.289</v>
      </c>
      <c r="O99" s="0" t="n">
        <v>1.09</v>
      </c>
      <c r="P99" s="0" t="s">
        <v>322</v>
      </c>
      <c r="Q99" s="0" t="s">
        <v>352</v>
      </c>
      <c r="R99" s="0" t="s">
        <v>450</v>
      </c>
      <c r="S99" s="0" t="n">
        <v>2.92896</v>
      </c>
      <c r="T99" s="0" t="n">
        <v>1.72996</v>
      </c>
      <c r="U99" s="0" t="s">
        <v>325</v>
      </c>
      <c r="V99" s="0" t="s">
        <v>565</v>
      </c>
      <c r="W99" s="0" t="n">
        <v>3.375</v>
      </c>
      <c r="X99" s="0" t="n">
        <v>2.176</v>
      </c>
      <c r="Y99" s="0" t="n">
        <v>3</v>
      </c>
      <c r="AB99" s="58" t="n">
        <f aca="false">M99-AA99</f>
        <v>1.6786</v>
      </c>
      <c r="AC99" s="58" t="n">
        <f aca="false">O99-AA99</f>
        <v>1.09</v>
      </c>
      <c r="AD99" s="58" t="n">
        <f aca="false">AB99/L99%</f>
        <v>58.3333333333333</v>
      </c>
      <c r="AE99" s="58" t="n">
        <f aca="false">AC99/N99%</f>
        <v>47.6190476190476</v>
      </c>
      <c r="AF99" s="58" t="n">
        <f aca="false">T99-AA99</f>
        <v>1.72996</v>
      </c>
      <c r="AG99" s="58" t="n">
        <f aca="false">AF99/S99%</f>
        <v>59.0639680978914</v>
      </c>
      <c r="AH99" s="58" t="n">
        <f aca="false">W99</f>
        <v>3.375</v>
      </c>
      <c r="AI99" s="58" t="n">
        <f aca="false">J99</f>
        <v>1.199</v>
      </c>
      <c r="AJ99" s="58" t="n">
        <f aca="false">AH99-AI99</f>
        <v>2.176</v>
      </c>
      <c r="AK99" s="58" t="n">
        <f aca="false">AA99</f>
        <v>0</v>
      </c>
      <c r="AL99" s="58" t="n">
        <f aca="false">AJ99-AK99</f>
        <v>2.176</v>
      </c>
      <c r="AM99" s="58" t="n">
        <f aca="false">AL99/AH99%</f>
        <v>64.4740740740741</v>
      </c>
      <c r="AN99" s="0" t="str">
        <f aca="false">IF(ISBLANK(Z99),"","Capped")</f>
        <v/>
      </c>
      <c r="AO99" s="0" t="s">
        <v>327</v>
      </c>
      <c r="AP99" s="0" t="str">
        <f aca="false">TRIM(BA99)</f>
        <v>12V100F</v>
      </c>
      <c r="AQ99" s="59" t="e">
        <f aca="false">_xlfn.xlookup(A99,'SYS Allocations'!A:A,'SYS Allocations'!B:B)</f>
        <v>#NAME?</v>
      </c>
      <c r="AR99" s="59" t="e">
        <f aca="false">_xlfn.xlookup(A99,'SYS Allocations'!A:A,'SYS Allocations'!C:C)</f>
        <v>#NAME?</v>
      </c>
      <c r="AS99" s="59" t="e">
        <f aca="false">_xlfn.xlookup(A99,'SYS Allocations'!A:A,'SYS Allocations'!D:D)</f>
        <v>#NAME?</v>
      </c>
      <c r="AT99" s="59" t="e">
        <f aca="false">_xlfn.xlookup(A99,'SYS Allocations'!A:A,'SYS Allocations'!E:E)</f>
        <v>#NAME?</v>
      </c>
      <c r="AU99" s="59" t="e">
        <f aca="false">_xlfn.xlookup(A99,'SYS Allocations'!A:A,'SYS Allocations'!F:F)</f>
        <v>#NAME?</v>
      </c>
      <c r="BA99" s="0" t="str">
        <f aca="false">IFERROR(LEFT(R99,FIND("(",R99,1)-1),R99)</f>
        <v>12V100F</v>
      </c>
    </row>
    <row r="100" customFormat="false" ht="13.15" hidden="false" customHeight="false" outlineLevel="0" collapsed="false">
      <c r="A100" s="20" t="s">
        <v>116</v>
      </c>
      <c r="B100" s="0" t="s">
        <v>328</v>
      </c>
      <c r="C100" s="0" t="s">
        <v>566</v>
      </c>
      <c r="D100" s="0" t="s">
        <v>319</v>
      </c>
      <c r="E100" s="0" t="s">
        <v>567</v>
      </c>
      <c r="F100" s="0" t="s">
        <v>364</v>
      </c>
      <c r="G100" s="0" t="n">
        <v>75</v>
      </c>
      <c r="H100" s="0" t="n">
        <v>6</v>
      </c>
      <c r="I100" s="0" t="n">
        <v>180</v>
      </c>
      <c r="J100" s="0" t="n">
        <v>9.81</v>
      </c>
      <c r="K100" s="45" t="n">
        <v>45526</v>
      </c>
      <c r="L100" s="0" t="n">
        <v>16.35</v>
      </c>
      <c r="M100" s="0" t="n">
        <v>6.54</v>
      </c>
      <c r="N100" s="0" t="n">
        <v>11.1725</v>
      </c>
      <c r="O100" s="0" t="n">
        <v>1.3625</v>
      </c>
      <c r="P100" s="0" t="s">
        <v>325</v>
      </c>
      <c r="Q100" s="0" t="s">
        <v>331</v>
      </c>
      <c r="R100" s="0" t="s">
        <v>568</v>
      </c>
      <c r="S100" s="0" t="n">
        <v>14.4288</v>
      </c>
      <c r="T100" s="0" t="n">
        <v>4.6188</v>
      </c>
      <c r="U100" s="0" t="s">
        <v>325</v>
      </c>
      <c r="V100" s="0" t="s">
        <v>326</v>
      </c>
      <c r="W100" s="0" t="n">
        <v>7.5</v>
      </c>
      <c r="X100" s="0" t="n">
        <v>-2.31</v>
      </c>
      <c r="Y100" s="0" t="n">
        <v>0</v>
      </c>
      <c r="AB100" s="58" t="n">
        <f aca="false">M100-AA100</f>
        <v>6.54</v>
      </c>
      <c r="AC100" s="58" t="n">
        <f aca="false">O100-AA100</f>
        <v>1.3625</v>
      </c>
      <c r="AD100" s="58" t="n">
        <f aca="false">AB100/L100%</f>
        <v>40</v>
      </c>
      <c r="AE100" s="58" t="n">
        <f aca="false">AC100/N100%</f>
        <v>12.1951219512195</v>
      </c>
      <c r="AF100" s="58" t="n">
        <f aca="false">T100-AA100</f>
        <v>4.6188</v>
      </c>
      <c r="AG100" s="58" t="n">
        <f aca="false">AF100/S100%</f>
        <v>32.0109780439122</v>
      </c>
      <c r="AH100" s="58" t="n">
        <f aca="false">W100</f>
        <v>7.5</v>
      </c>
      <c r="AI100" s="58" t="n">
        <f aca="false">J100</f>
        <v>9.81</v>
      </c>
      <c r="AJ100" s="58" t="n">
        <f aca="false">AH100-AI100</f>
        <v>-2.31</v>
      </c>
      <c r="AK100" s="58" t="n">
        <f aca="false">AA100</f>
        <v>0</v>
      </c>
      <c r="AL100" s="58" t="n">
        <f aca="false">AJ100-AK100</f>
        <v>-2.31</v>
      </c>
      <c r="AM100" s="58" t="n">
        <f aca="false">AL100/AH100%</f>
        <v>-30.8</v>
      </c>
      <c r="AN100" s="0" t="str">
        <f aca="false">IF(ISBLANK(Z100),"","Capped")</f>
        <v/>
      </c>
      <c r="AO100" s="0" t="s">
        <v>327</v>
      </c>
      <c r="AP100" s="0" t="str">
        <f aca="false">TRIM(BA100)</f>
        <v>DDm85-21</v>
      </c>
      <c r="AQ100" s="59" t="e">
        <f aca="false">_xlfn.xlookup(A100,'SYS Allocations'!A:A,'SYS Allocations'!B:B)</f>
        <v>#NAME?</v>
      </c>
      <c r="AR100" s="59" t="e">
        <f aca="false">_xlfn.xlookup(A100,'SYS Allocations'!A:A,'SYS Allocations'!C:C)</f>
        <v>#NAME?</v>
      </c>
      <c r="AS100" s="59" t="e">
        <f aca="false">_xlfn.xlookup(A100,'SYS Allocations'!A:A,'SYS Allocations'!D:D)</f>
        <v>#NAME?</v>
      </c>
      <c r="AT100" s="59" t="e">
        <f aca="false">_xlfn.xlookup(A100,'SYS Allocations'!A:A,'SYS Allocations'!E:E)</f>
        <v>#NAME?</v>
      </c>
      <c r="AU100" s="59" t="e">
        <f aca="false">_xlfn.xlookup(A100,'SYS Allocations'!A:A,'SYS Allocations'!F:F)</f>
        <v>#NAME?</v>
      </c>
      <c r="BA100" s="0" t="str">
        <f aca="false">IFERROR(LEFT(R100,FIND("(",R100,1)-1),R100)</f>
        <v>DDm85-21</v>
      </c>
    </row>
    <row r="101" customFormat="false" ht="13.15" hidden="false" customHeight="false" outlineLevel="0" collapsed="false">
      <c r="A101" s="20" t="s">
        <v>117</v>
      </c>
      <c r="B101" s="0" t="s">
        <v>328</v>
      </c>
      <c r="C101" s="0" t="s">
        <v>566</v>
      </c>
      <c r="D101" s="0" t="s">
        <v>390</v>
      </c>
      <c r="E101" s="0" t="s">
        <v>569</v>
      </c>
      <c r="F101" s="0" t="s">
        <v>321</v>
      </c>
      <c r="G101" s="0" t="n">
        <v>36.6</v>
      </c>
      <c r="H101" s="0" t="n">
        <v>50</v>
      </c>
      <c r="I101" s="0" t="n">
        <v>425</v>
      </c>
      <c r="J101" s="0" t="n">
        <v>23.1625</v>
      </c>
      <c r="K101" s="45" t="n">
        <v>45659</v>
      </c>
      <c r="L101" s="0" t="n">
        <v>78.19224</v>
      </c>
      <c r="M101" s="0" t="n">
        <v>55.02974</v>
      </c>
      <c r="N101" s="0" t="n">
        <v>54.1403</v>
      </c>
      <c r="O101" s="0" t="n">
        <v>30.9778</v>
      </c>
      <c r="P101" s="0" t="s">
        <v>337</v>
      </c>
      <c r="Q101" s="0" t="s">
        <v>331</v>
      </c>
      <c r="R101" s="0" t="s">
        <v>345</v>
      </c>
      <c r="S101" s="0" t="n">
        <v>71.1072000000002</v>
      </c>
      <c r="T101" s="0" t="n">
        <v>47.9447000000002</v>
      </c>
      <c r="U101" s="0" t="s">
        <v>358</v>
      </c>
      <c r="V101" s="0" t="s">
        <v>570</v>
      </c>
      <c r="W101" s="0" t="n">
        <v>105</v>
      </c>
      <c r="X101" s="0" t="n">
        <v>81.8375</v>
      </c>
      <c r="Y101" s="0" t="n">
        <v>4</v>
      </c>
      <c r="Z101" s="0" t="s">
        <v>274</v>
      </c>
      <c r="AB101" s="58" t="n">
        <f aca="false">M101-AA101</f>
        <v>55.02974</v>
      </c>
      <c r="AC101" s="58" t="n">
        <f aca="false">O101-AA101</f>
        <v>30.9778</v>
      </c>
      <c r="AD101" s="58" t="n">
        <f aca="false">AB101/L101%</f>
        <v>70.3774952603992</v>
      </c>
      <c r="AE101" s="58" t="n">
        <f aca="false">AC101/N101%</f>
        <v>57.2176364002416</v>
      </c>
      <c r="AF101" s="58" t="n">
        <f aca="false">T101-AA101</f>
        <v>47.9447000000002</v>
      </c>
      <c r="AG101" s="58" t="n">
        <f aca="false">AF101/S101%</f>
        <v>67.4259428018542</v>
      </c>
      <c r="AH101" s="58" t="n">
        <f aca="false">W101</f>
        <v>105</v>
      </c>
      <c r="AI101" s="58" t="n">
        <f aca="false">J101</f>
        <v>23.1625</v>
      </c>
      <c r="AJ101" s="58" t="n">
        <f aca="false">AH101-AI101</f>
        <v>81.8375</v>
      </c>
      <c r="AK101" s="58" t="n">
        <f aca="false">AA101</f>
        <v>0</v>
      </c>
      <c r="AL101" s="58" t="n">
        <f aca="false">AJ101-AK101</f>
        <v>81.8375</v>
      </c>
      <c r="AM101" s="58" t="n">
        <f aca="false">AL101/AH101%</f>
        <v>77.9404761904762</v>
      </c>
      <c r="AN101" s="0" t="str">
        <f aca="false">IF(ISBLANK(Z101),"","Capped")</f>
        <v>Capped</v>
      </c>
      <c r="AO101" s="0" t="s">
        <v>393</v>
      </c>
      <c r="AP101" s="0" t="str">
        <f aca="false">TRIM(BA101)</f>
        <v>DDm125-33</v>
      </c>
      <c r="AQ101" s="59" t="e">
        <f aca="false">_xlfn.xlookup(A101,'SYS Allocations'!A:A,'SYS Allocations'!B:B)</f>
        <v>#NAME?</v>
      </c>
      <c r="AR101" s="59" t="e">
        <f aca="false">_xlfn.xlookup(A101,'SYS Allocations'!A:A,'SYS Allocations'!C:C)</f>
        <v>#NAME?</v>
      </c>
      <c r="AS101" s="59" t="e">
        <f aca="false">_xlfn.xlookup(A101,'SYS Allocations'!A:A,'SYS Allocations'!D:D)</f>
        <v>#NAME?</v>
      </c>
      <c r="AT101" s="59" t="e">
        <f aca="false">_xlfn.xlookup(A101,'SYS Allocations'!A:A,'SYS Allocations'!E:E)</f>
        <v>#NAME?</v>
      </c>
      <c r="AU101" s="59" t="e">
        <f aca="false">_xlfn.xlookup(A101,'SYS Allocations'!A:A,'SYS Allocations'!F:F)</f>
        <v>#NAME?</v>
      </c>
      <c r="BA101" s="0" t="str">
        <f aca="false">IFERROR(LEFT(R101,FIND("(",R101,1)-1),R101)</f>
        <v>DDm125-33</v>
      </c>
    </row>
    <row r="102" customFormat="false" ht="13.15" hidden="false" customHeight="false" outlineLevel="0" collapsed="false">
      <c r="A102" s="20" t="s">
        <v>118</v>
      </c>
      <c r="B102" s="0" t="s">
        <v>328</v>
      </c>
      <c r="C102" s="0" t="s">
        <v>566</v>
      </c>
      <c r="D102" s="0" t="s">
        <v>390</v>
      </c>
      <c r="E102" s="0" t="s">
        <v>569</v>
      </c>
      <c r="F102" s="0" t="s">
        <v>321</v>
      </c>
      <c r="G102" s="0" t="n">
        <v>36.6</v>
      </c>
      <c r="H102" s="0" t="n">
        <v>50</v>
      </c>
      <c r="I102" s="0" t="n">
        <v>480</v>
      </c>
      <c r="J102" s="0" t="n">
        <v>26.16</v>
      </c>
      <c r="K102" s="45" t="n">
        <v>45659</v>
      </c>
      <c r="L102" s="0" t="n">
        <v>78.19224</v>
      </c>
      <c r="M102" s="0" t="n">
        <v>52.03224</v>
      </c>
      <c r="N102" s="0" t="n">
        <v>54.1403</v>
      </c>
      <c r="O102" s="0" t="n">
        <v>27.9803</v>
      </c>
      <c r="P102" s="0" t="s">
        <v>337</v>
      </c>
      <c r="Q102" s="0" t="s">
        <v>331</v>
      </c>
      <c r="R102" s="0" t="s">
        <v>345</v>
      </c>
      <c r="S102" s="0" t="n">
        <v>71.1072000000002</v>
      </c>
      <c r="T102" s="0" t="n">
        <v>44.9472000000002</v>
      </c>
      <c r="U102" s="0" t="s">
        <v>358</v>
      </c>
      <c r="V102" s="0" t="s">
        <v>570</v>
      </c>
      <c r="W102" s="0" t="n">
        <v>105</v>
      </c>
      <c r="X102" s="0" t="n">
        <v>78.84</v>
      </c>
      <c r="Y102" s="0" t="n">
        <v>4</v>
      </c>
      <c r="Z102" s="0" t="s">
        <v>274</v>
      </c>
      <c r="AB102" s="58" t="n">
        <f aca="false">M102-AA102</f>
        <v>52.03224</v>
      </c>
      <c r="AC102" s="58" t="n">
        <f aca="false">O102-AA102</f>
        <v>27.9803</v>
      </c>
      <c r="AD102" s="58" t="n">
        <f aca="false">AB102/L102%</f>
        <v>66.5439946470391</v>
      </c>
      <c r="AE102" s="58" t="n">
        <f aca="false">AC102/N102%</f>
        <v>51.6810952285081</v>
      </c>
      <c r="AF102" s="58" t="n">
        <f aca="false">T102-AA102</f>
        <v>44.9472000000002</v>
      </c>
      <c r="AG102" s="58" t="n">
        <f aca="false">AF102/S102%</f>
        <v>63.2104765762118</v>
      </c>
      <c r="AH102" s="58" t="n">
        <f aca="false">W102</f>
        <v>105</v>
      </c>
      <c r="AI102" s="58" t="n">
        <f aca="false">J102</f>
        <v>26.16</v>
      </c>
      <c r="AJ102" s="58" t="n">
        <f aca="false">AH102-AI102</f>
        <v>78.84</v>
      </c>
      <c r="AK102" s="58" t="n">
        <f aca="false">AA102</f>
        <v>0</v>
      </c>
      <c r="AL102" s="58" t="n">
        <f aca="false">AJ102-AK102</f>
        <v>78.84</v>
      </c>
      <c r="AM102" s="58" t="n">
        <f aca="false">AL102/AH102%</f>
        <v>75.0857142857143</v>
      </c>
      <c r="AN102" s="0" t="str">
        <f aca="false">IF(ISBLANK(Z102),"","Capped")</f>
        <v>Capped</v>
      </c>
      <c r="AO102" s="0" t="s">
        <v>393</v>
      </c>
      <c r="AP102" s="0" t="str">
        <f aca="false">TRIM(BA102)</f>
        <v>DDm125-33</v>
      </c>
      <c r="AQ102" s="59" t="e">
        <f aca="false">_xlfn.xlookup(A102,'SYS Allocations'!A:A,'SYS Allocations'!B:B)</f>
        <v>#NAME?</v>
      </c>
      <c r="AR102" s="59" t="e">
        <f aca="false">_xlfn.xlookup(A102,'SYS Allocations'!A:A,'SYS Allocations'!C:C)</f>
        <v>#NAME?</v>
      </c>
      <c r="AS102" s="59" t="e">
        <f aca="false">_xlfn.xlookup(A102,'SYS Allocations'!A:A,'SYS Allocations'!D:D)</f>
        <v>#NAME?</v>
      </c>
      <c r="AT102" s="59" t="e">
        <f aca="false">_xlfn.xlookup(A102,'SYS Allocations'!A:A,'SYS Allocations'!E:E)</f>
        <v>#NAME?</v>
      </c>
      <c r="AU102" s="59" t="e">
        <f aca="false">_xlfn.xlookup(A102,'SYS Allocations'!A:A,'SYS Allocations'!F:F)</f>
        <v>#NAME?</v>
      </c>
      <c r="BA102" s="0" t="str">
        <f aca="false">IFERROR(LEFT(R102,FIND("(",R102,1)-1),R102)</f>
        <v>DDm125-33</v>
      </c>
    </row>
    <row r="103" customFormat="false" ht="13.15" hidden="false" customHeight="false" outlineLevel="0" collapsed="false">
      <c r="A103" s="20" t="s">
        <v>119</v>
      </c>
      <c r="B103" s="0" t="s">
        <v>328</v>
      </c>
      <c r="C103" s="0" t="s">
        <v>566</v>
      </c>
      <c r="D103" s="0" t="s">
        <v>390</v>
      </c>
      <c r="E103" s="0" t="s">
        <v>571</v>
      </c>
      <c r="F103" s="0" t="s">
        <v>321</v>
      </c>
      <c r="G103" s="0" t="n">
        <v>36.6</v>
      </c>
      <c r="H103" s="0" t="n">
        <v>42</v>
      </c>
      <c r="I103" s="0" t="n">
        <v>510</v>
      </c>
      <c r="J103" s="0" t="n">
        <v>27.795</v>
      </c>
      <c r="K103" s="45" t="n">
        <v>45659</v>
      </c>
      <c r="L103" s="0" t="n">
        <v>65.42616</v>
      </c>
      <c r="M103" s="0" t="n">
        <v>37.63116</v>
      </c>
      <c r="N103" s="0" t="n">
        <v>55.21395</v>
      </c>
      <c r="O103" s="0" t="n">
        <v>27.41895</v>
      </c>
      <c r="P103" s="0" t="s">
        <v>322</v>
      </c>
      <c r="Q103" s="0" t="s">
        <v>331</v>
      </c>
      <c r="R103" s="0" t="s">
        <v>572</v>
      </c>
      <c r="S103" s="0" t="n">
        <v>43.2864</v>
      </c>
      <c r="T103" s="0" t="n">
        <v>15.4914</v>
      </c>
      <c r="U103" s="0" t="s">
        <v>337</v>
      </c>
      <c r="V103" s="0" t="s">
        <v>436</v>
      </c>
      <c r="W103" s="0" t="n">
        <v>67.5</v>
      </c>
      <c r="X103" s="0" t="n">
        <v>39.705</v>
      </c>
      <c r="Y103" s="0" t="n">
        <v>31</v>
      </c>
      <c r="Z103" s="0" t="s">
        <v>274</v>
      </c>
      <c r="AB103" s="58" t="n">
        <f aca="false">M103-AA103</f>
        <v>37.63116</v>
      </c>
      <c r="AC103" s="58" t="n">
        <f aca="false">O103-AA103</f>
        <v>27.41895</v>
      </c>
      <c r="AD103" s="58" t="n">
        <f aca="false">AB103/L103%</f>
        <v>57.5169932027189</v>
      </c>
      <c r="AE103" s="58" t="n">
        <f aca="false">AC103/N103%</f>
        <v>49.6594610601125</v>
      </c>
      <c r="AF103" s="58" t="n">
        <f aca="false">T103-AA103</f>
        <v>15.4914</v>
      </c>
      <c r="AG103" s="58" t="n">
        <f aca="false">AF103/S103%</f>
        <v>35.7881459303615</v>
      </c>
      <c r="AH103" s="60" t="n">
        <f aca="false">AVERAGE(W103:W104)</f>
        <v>67.5</v>
      </c>
      <c r="AI103" s="60" t="n">
        <f aca="false">SUM(J103:J104)</f>
        <v>62.784</v>
      </c>
      <c r="AJ103" s="60" t="n">
        <f aca="false">AH103-AI103</f>
        <v>4.716</v>
      </c>
      <c r="AK103" s="60" t="n">
        <f aca="false">SUM(AA103:AA104)</f>
        <v>0</v>
      </c>
      <c r="AL103" s="60" t="n">
        <f aca="false">AJ103-AK103</f>
        <v>4.716</v>
      </c>
      <c r="AM103" s="61" t="n">
        <f aca="false">AL103/AH103%</f>
        <v>6.98666666666667</v>
      </c>
      <c r="AN103" s="0" t="str">
        <f aca="false">IF(ISBLANK(Z103),"","Capped")</f>
        <v>Capped</v>
      </c>
      <c r="AO103" s="0" t="s">
        <v>393</v>
      </c>
      <c r="AP103" s="0" t="str">
        <f aca="false">TRIM(BA103)</f>
        <v>DDm125-27</v>
      </c>
      <c r="AQ103" s="59" t="e">
        <f aca="false">_xlfn.xlookup(A103,'SYS Allocations'!A:A,'SYS Allocations'!B:B)</f>
        <v>#NAME?</v>
      </c>
      <c r="AR103" s="59" t="e">
        <f aca="false">_xlfn.xlookup(A103,'SYS Allocations'!A:A,'SYS Allocations'!C:C)</f>
        <v>#NAME?</v>
      </c>
      <c r="AS103" s="59" t="e">
        <f aca="false">_xlfn.xlookup(A103,'SYS Allocations'!A:A,'SYS Allocations'!D:D)</f>
        <v>#NAME?</v>
      </c>
      <c r="AT103" s="59" t="e">
        <f aca="false">_xlfn.xlookup(A103,'SYS Allocations'!A:A,'SYS Allocations'!E:E)</f>
        <v>#NAME?</v>
      </c>
      <c r="AU103" s="59" t="e">
        <f aca="false">_xlfn.xlookup(A103,'SYS Allocations'!A:A,'SYS Allocations'!F:F)</f>
        <v>#NAME?</v>
      </c>
      <c r="BA103" s="0" t="str">
        <f aca="false">IFERROR(LEFT(R103,FIND("(",R103,1)-1),R103)</f>
        <v>DDm125-27</v>
      </c>
    </row>
    <row r="104" customFormat="false" ht="13.15" hidden="false" customHeight="false" outlineLevel="0" collapsed="false">
      <c r="A104" s="20" t="s">
        <v>120</v>
      </c>
      <c r="B104" s="0" t="s">
        <v>328</v>
      </c>
      <c r="C104" s="0" t="s">
        <v>566</v>
      </c>
      <c r="D104" s="0" t="s">
        <v>390</v>
      </c>
      <c r="E104" s="0" t="s">
        <v>571</v>
      </c>
      <c r="F104" s="0" t="s">
        <v>321</v>
      </c>
      <c r="G104" s="0" t="n">
        <v>36.6</v>
      </c>
      <c r="H104" s="0" t="n">
        <v>42</v>
      </c>
      <c r="I104" s="0" t="n">
        <v>642</v>
      </c>
      <c r="J104" s="0" t="n">
        <v>34.989</v>
      </c>
      <c r="K104" s="45" t="n">
        <v>45659</v>
      </c>
      <c r="L104" s="0" t="n">
        <v>65.42616</v>
      </c>
      <c r="M104" s="0" t="n">
        <v>30.43716</v>
      </c>
      <c r="N104" s="0" t="n">
        <v>55.21395</v>
      </c>
      <c r="O104" s="0" t="n">
        <v>20.22495</v>
      </c>
      <c r="P104" s="0" t="s">
        <v>322</v>
      </c>
      <c r="Q104" s="0" t="s">
        <v>331</v>
      </c>
      <c r="R104" s="0" t="s">
        <v>572</v>
      </c>
      <c r="S104" s="0" t="n">
        <v>43.2864</v>
      </c>
      <c r="T104" s="0" t="n">
        <v>8.2974</v>
      </c>
      <c r="U104" s="0" t="s">
        <v>337</v>
      </c>
      <c r="V104" s="0" t="s">
        <v>436</v>
      </c>
      <c r="W104" s="0" t="n">
        <v>67.5</v>
      </c>
      <c r="X104" s="0" t="n">
        <v>32.511</v>
      </c>
      <c r="Y104" s="0" t="n">
        <v>31</v>
      </c>
      <c r="Z104" s="0" t="s">
        <v>274</v>
      </c>
      <c r="AB104" s="58" t="n">
        <f aca="false">M104-AA104</f>
        <v>30.43716</v>
      </c>
      <c r="AC104" s="58" t="n">
        <f aca="false">O104-AA104</f>
        <v>20.22495</v>
      </c>
      <c r="AD104" s="58" t="n">
        <f aca="false">AB104/L104%</f>
        <v>46.5213914434226</v>
      </c>
      <c r="AE104" s="58" t="n">
        <f aca="false">AC104/N104%</f>
        <v>36.6301450992005</v>
      </c>
      <c r="AF104" s="58" t="n">
        <f aca="false">T104-AA104</f>
        <v>8.2974</v>
      </c>
      <c r="AG104" s="58" t="n">
        <f aca="false">AF104/S104%</f>
        <v>19.1686072299845</v>
      </c>
      <c r="AH104" s="60"/>
      <c r="AI104" s="60"/>
      <c r="AJ104" s="60"/>
      <c r="AK104" s="60"/>
      <c r="AL104" s="60"/>
      <c r="AM104" s="61"/>
      <c r="AN104" s="0" t="str">
        <f aca="false">IF(ISBLANK(Z104),"","Capped")</f>
        <v>Capped</v>
      </c>
      <c r="AO104" s="0" t="s">
        <v>393</v>
      </c>
      <c r="AP104" s="0" t="str">
        <f aca="false">TRIM(BA104)</f>
        <v>DDm125-27</v>
      </c>
      <c r="AQ104" s="59" t="e">
        <f aca="false">_xlfn.xlookup(A104,'SYS Allocations'!A:A,'SYS Allocations'!B:B)</f>
        <v>#NAME?</v>
      </c>
      <c r="AR104" s="59" t="e">
        <f aca="false">_xlfn.xlookup(A104,'SYS Allocations'!A:A,'SYS Allocations'!C:C)</f>
        <v>#NAME?</v>
      </c>
      <c r="AS104" s="59" t="e">
        <f aca="false">_xlfn.xlookup(A104,'SYS Allocations'!A:A,'SYS Allocations'!D:D)</f>
        <v>#NAME?</v>
      </c>
      <c r="AT104" s="59" t="e">
        <f aca="false">_xlfn.xlookup(A104,'SYS Allocations'!A:A,'SYS Allocations'!E:E)</f>
        <v>#NAME?</v>
      </c>
      <c r="AU104" s="59" t="e">
        <f aca="false">_xlfn.xlookup(A104,'SYS Allocations'!A:A,'SYS Allocations'!F:F)</f>
        <v>#NAME?</v>
      </c>
      <c r="BA104" s="0" t="str">
        <f aca="false">IFERROR(LEFT(R104,FIND("(",R104,1)-1),R104)</f>
        <v>DDm125-27</v>
      </c>
    </row>
    <row r="105" customFormat="false" ht="13.15" hidden="false" customHeight="false" outlineLevel="0" collapsed="false">
      <c r="A105" s="20" t="s">
        <v>121</v>
      </c>
      <c r="B105" s="0" t="s">
        <v>328</v>
      </c>
      <c r="C105" s="0" t="s">
        <v>573</v>
      </c>
      <c r="D105" s="0" t="s">
        <v>319</v>
      </c>
      <c r="E105" s="0" t="s">
        <v>574</v>
      </c>
      <c r="F105" s="0" t="s">
        <v>560</v>
      </c>
      <c r="G105" s="0" t="n">
        <v>37.5</v>
      </c>
      <c r="H105" s="0" t="n">
        <v>4</v>
      </c>
      <c r="I105" s="0" t="n">
        <v>41</v>
      </c>
      <c r="J105" s="0" t="n">
        <v>2.2345</v>
      </c>
      <c r="K105" s="45" t="n">
        <v>45499</v>
      </c>
      <c r="L105" s="0" t="n">
        <v>4.905</v>
      </c>
      <c r="M105" s="0" t="n">
        <v>2.6705</v>
      </c>
      <c r="N105" s="0" t="n">
        <v>5.80425</v>
      </c>
      <c r="O105" s="0" t="n">
        <v>3.56975</v>
      </c>
      <c r="P105" s="0" t="s">
        <v>374</v>
      </c>
      <c r="Q105" s="0" t="s">
        <v>352</v>
      </c>
      <c r="R105" s="0" t="s">
        <v>353</v>
      </c>
      <c r="S105" s="0" t="n">
        <v>5.184</v>
      </c>
      <c r="T105" s="0" t="n">
        <v>2.9495</v>
      </c>
      <c r="U105" s="0" t="s">
        <v>325</v>
      </c>
      <c r="V105" s="0" t="s">
        <v>354</v>
      </c>
      <c r="W105" s="0" t="n">
        <v>5.025</v>
      </c>
      <c r="X105" s="0" t="n">
        <v>2.7905</v>
      </c>
      <c r="Y105" s="0" t="n">
        <v>3</v>
      </c>
      <c r="AB105" s="58" t="n">
        <f aca="false">M105-AA105</f>
        <v>2.6705</v>
      </c>
      <c r="AC105" s="58" t="n">
        <f aca="false">O105-AA105</f>
        <v>3.56975</v>
      </c>
      <c r="AD105" s="58" t="n">
        <f aca="false">AB105/L105%</f>
        <v>54.4444444444444</v>
      </c>
      <c r="AE105" s="58" t="n">
        <f aca="false">AC105/N105%</f>
        <v>61.5023474178404</v>
      </c>
      <c r="AF105" s="58" t="n">
        <f aca="false">T105-AA105</f>
        <v>2.9495</v>
      </c>
      <c r="AG105" s="58" t="n">
        <f aca="false">AF105/S105%</f>
        <v>56.8962191358025</v>
      </c>
      <c r="AH105" s="58" t="n">
        <f aca="false">W105</f>
        <v>5.025</v>
      </c>
      <c r="AI105" s="58" t="n">
        <f aca="false">J105</f>
        <v>2.2345</v>
      </c>
      <c r="AJ105" s="58" t="n">
        <f aca="false">AH105-AI105</f>
        <v>2.7905</v>
      </c>
      <c r="AK105" s="58" t="n">
        <f aca="false">AA105</f>
        <v>0</v>
      </c>
      <c r="AL105" s="58" t="n">
        <f aca="false">AJ105-AK105</f>
        <v>2.7905</v>
      </c>
      <c r="AM105" s="58" t="n">
        <f aca="false">AL105/AH105%</f>
        <v>55.5323383084577</v>
      </c>
      <c r="AN105" s="0" t="str">
        <f aca="false">IF(ISBLANK(Z105),"","Capped")</f>
        <v/>
      </c>
      <c r="AO105" s="0" t="s">
        <v>327</v>
      </c>
      <c r="AP105" s="0" t="str">
        <f aca="false">TRIM(BA105)</f>
        <v>SBS C11F</v>
      </c>
      <c r="AQ105" s="59" t="e">
        <f aca="false">_xlfn.xlookup(A105,'SYS Allocations'!A:A,'SYS Allocations'!B:B)</f>
        <v>#NAME?</v>
      </c>
      <c r="AR105" s="59" t="e">
        <f aca="false">_xlfn.xlookup(A105,'SYS Allocations'!A:A,'SYS Allocations'!C:C)</f>
        <v>#NAME?</v>
      </c>
      <c r="AS105" s="59" t="e">
        <f aca="false">_xlfn.xlookup(A105,'SYS Allocations'!A:A,'SYS Allocations'!D:D)</f>
        <v>#NAME?</v>
      </c>
      <c r="AT105" s="59" t="e">
        <f aca="false">_xlfn.xlookup(A105,'SYS Allocations'!A:A,'SYS Allocations'!E:E)</f>
        <v>#NAME?</v>
      </c>
      <c r="AU105" s="59" t="e">
        <f aca="false">_xlfn.xlookup(A105,'SYS Allocations'!A:A,'SYS Allocations'!F:F)</f>
        <v>#NAME?</v>
      </c>
      <c r="BA105" s="0" t="str">
        <f aca="false">IFERROR(LEFT(R105,FIND("(",R105,1)-1),R105)</f>
        <v>SBS C11F</v>
      </c>
    </row>
    <row r="106" customFormat="false" ht="13.15" hidden="false" customHeight="false" outlineLevel="0" collapsed="false">
      <c r="A106" s="20" t="s">
        <v>122</v>
      </c>
      <c r="B106" s="0" t="s">
        <v>376</v>
      </c>
      <c r="C106" s="0" t="s">
        <v>575</v>
      </c>
      <c r="D106" s="0" t="s">
        <v>319</v>
      </c>
      <c r="E106" s="0" t="s">
        <v>576</v>
      </c>
      <c r="F106" s="0" t="s">
        <v>321</v>
      </c>
      <c r="G106" s="0" t="n">
        <v>36.6</v>
      </c>
      <c r="H106" s="0" t="n">
        <v>9</v>
      </c>
      <c r="I106" s="0" t="n">
        <v>46</v>
      </c>
      <c r="J106" s="0" t="n">
        <v>2.507</v>
      </c>
      <c r="K106" s="45" t="n">
        <v>45659</v>
      </c>
      <c r="L106" s="0" t="n">
        <v>12.76608</v>
      </c>
      <c r="M106" s="0" t="n">
        <v>10.25908</v>
      </c>
      <c r="N106" s="0" t="n">
        <v>9.4721</v>
      </c>
      <c r="O106" s="0" t="n">
        <v>6.9651</v>
      </c>
      <c r="P106" s="0" t="s">
        <v>325</v>
      </c>
      <c r="Q106" s="0" t="s">
        <v>331</v>
      </c>
      <c r="R106" s="0" t="s">
        <v>365</v>
      </c>
      <c r="S106" s="0" t="n">
        <v>10.1088</v>
      </c>
      <c r="T106" s="0" t="n">
        <v>7.60179999999998</v>
      </c>
      <c r="U106" s="0" t="s">
        <v>325</v>
      </c>
      <c r="V106" s="0" t="s">
        <v>442</v>
      </c>
      <c r="W106" s="0" t="n">
        <v>11.25</v>
      </c>
      <c r="X106" s="0" t="n">
        <v>8.743</v>
      </c>
      <c r="Y106" s="0" t="n">
        <v>19</v>
      </c>
      <c r="AB106" s="58" t="n">
        <f aca="false">M106-AA106</f>
        <v>10.25908</v>
      </c>
      <c r="AC106" s="58" t="n">
        <f aca="false">O106-AA106</f>
        <v>6.9651</v>
      </c>
      <c r="AD106" s="58" t="n">
        <f aca="false">AB106/L106%</f>
        <v>80.3620218579235</v>
      </c>
      <c r="AE106" s="58" t="n">
        <f aca="false">AC106/N106%</f>
        <v>73.5327963176064</v>
      </c>
      <c r="AF106" s="58" t="n">
        <f aca="false">T106-AA106</f>
        <v>7.60179999999998</v>
      </c>
      <c r="AG106" s="58" t="n">
        <f aca="false">AF106/S106%</f>
        <v>75.1998258942701</v>
      </c>
      <c r="AH106" s="58" t="n">
        <f aca="false">W106</f>
        <v>11.25</v>
      </c>
      <c r="AI106" s="58" t="n">
        <f aca="false">J106</f>
        <v>2.507</v>
      </c>
      <c r="AJ106" s="58" t="n">
        <f aca="false">AH106-AI106</f>
        <v>8.743</v>
      </c>
      <c r="AK106" s="58" t="n">
        <f aca="false">AA106</f>
        <v>0</v>
      </c>
      <c r="AL106" s="58" t="n">
        <f aca="false">AJ106-AK106</f>
        <v>8.743</v>
      </c>
      <c r="AM106" s="58" t="n">
        <f aca="false">AL106/AH106%</f>
        <v>77.7155555555556</v>
      </c>
      <c r="AN106" s="0" t="str">
        <f aca="false">IF(ISBLANK(Z106),"","Capped")</f>
        <v/>
      </c>
      <c r="AO106" s="0" t="s">
        <v>327</v>
      </c>
      <c r="AP106" s="0" t="str">
        <f aca="false">TRIM(BA106)</f>
        <v>2DDm85-15</v>
      </c>
      <c r="AQ106" s="59" t="e">
        <f aca="false">_xlfn.xlookup(A106,'SYS Allocations'!A:A,'SYS Allocations'!B:B)</f>
        <v>#NAME?</v>
      </c>
      <c r="AR106" s="59" t="e">
        <f aca="false">_xlfn.xlookup(A106,'SYS Allocations'!A:A,'SYS Allocations'!C:C)</f>
        <v>#NAME?</v>
      </c>
      <c r="AS106" s="59" t="e">
        <f aca="false">_xlfn.xlookup(A106,'SYS Allocations'!A:A,'SYS Allocations'!D:D)</f>
        <v>#NAME?</v>
      </c>
      <c r="AT106" s="59" t="e">
        <f aca="false">_xlfn.xlookup(A106,'SYS Allocations'!A:A,'SYS Allocations'!E:E)</f>
        <v>#NAME?</v>
      </c>
      <c r="AU106" s="59" t="e">
        <f aca="false">_xlfn.xlookup(A106,'SYS Allocations'!A:A,'SYS Allocations'!F:F)</f>
        <v>#NAME?</v>
      </c>
      <c r="BA106" s="0" t="str">
        <f aca="false">IFERROR(LEFT(R106,FIND("(",R106,1)-1),R106)</f>
        <v>2DDm85-15</v>
      </c>
    </row>
    <row r="107" customFormat="false" ht="13.15" hidden="false" customHeight="false" outlineLevel="0" collapsed="false">
      <c r="A107" s="20" t="s">
        <v>123</v>
      </c>
      <c r="B107" s="0" t="s">
        <v>371</v>
      </c>
      <c r="C107" s="0" t="s">
        <v>577</v>
      </c>
      <c r="D107" s="0" t="s">
        <v>319</v>
      </c>
      <c r="E107" s="0" t="s">
        <v>578</v>
      </c>
      <c r="F107" s="0" t="s">
        <v>321</v>
      </c>
      <c r="G107" s="0" t="n">
        <v>36.6</v>
      </c>
      <c r="H107" s="0" t="n">
        <v>18</v>
      </c>
      <c r="I107" s="0" t="n">
        <v>180</v>
      </c>
      <c r="J107" s="0" t="n">
        <v>9.81</v>
      </c>
      <c r="K107" s="45" t="n">
        <v>45638</v>
      </c>
      <c r="L107" s="0" t="n">
        <v>27.12792</v>
      </c>
      <c r="M107" s="0" t="n">
        <v>17.31792</v>
      </c>
      <c r="N107" s="0" t="n">
        <v>19.0859</v>
      </c>
      <c r="O107" s="0" t="n">
        <v>9.2759</v>
      </c>
      <c r="P107" s="0" t="s">
        <v>325</v>
      </c>
      <c r="Q107" s="0" t="s">
        <v>331</v>
      </c>
      <c r="R107" s="0" t="s">
        <v>472</v>
      </c>
      <c r="S107" s="0" t="n">
        <v>22.9824</v>
      </c>
      <c r="T107" s="0" t="n">
        <v>13.1724</v>
      </c>
      <c r="U107" s="0" t="s">
        <v>344</v>
      </c>
      <c r="V107" s="0" t="s">
        <v>579</v>
      </c>
      <c r="W107" s="0" t="n">
        <v>50.25</v>
      </c>
      <c r="X107" s="0" t="n">
        <v>40.44</v>
      </c>
      <c r="Y107" s="0" t="n">
        <v>71</v>
      </c>
      <c r="AB107" s="58" t="n">
        <f aca="false">M107-AA107</f>
        <v>17.31792</v>
      </c>
      <c r="AC107" s="58" t="n">
        <f aca="false">O107-AA107</f>
        <v>9.2759</v>
      </c>
      <c r="AD107" s="58" t="n">
        <f aca="false">AB107/L107%</f>
        <v>63.8379942140791</v>
      </c>
      <c r="AE107" s="58" t="n">
        <f aca="false">AC107/N107%</f>
        <v>48.6007995431182</v>
      </c>
      <c r="AF107" s="58" t="n">
        <f aca="false">T107-AA107</f>
        <v>13.1724</v>
      </c>
      <c r="AG107" s="58" t="n">
        <f aca="false">AF107/S107%</f>
        <v>57.3151629072682</v>
      </c>
      <c r="AH107" s="58" t="n">
        <f aca="false">W107</f>
        <v>50.25</v>
      </c>
      <c r="AI107" s="58" t="n">
        <f aca="false">J107</f>
        <v>9.81</v>
      </c>
      <c r="AJ107" s="58" t="n">
        <f aca="false">AH107-AI107</f>
        <v>40.44</v>
      </c>
      <c r="AK107" s="58" t="n">
        <f aca="false">AA107</f>
        <v>0</v>
      </c>
      <c r="AL107" s="58" t="n">
        <f aca="false">AJ107-AK107</f>
        <v>40.44</v>
      </c>
      <c r="AM107" s="58" t="n">
        <f aca="false">AL107/AH107%</f>
        <v>80.4776119402985</v>
      </c>
      <c r="AN107" s="0" t="str">
        <f aca="false">IF(ISBLANK(Z107),"","Capped")</f>
        <v/>
      </c>
      <c r="AO107" s="0" t="s">
        <v>327</v>
      </c>
      <c r="AP107" s="0" t="str">
        <f aca="false">TRIM(BA107)</f>
        <v>DDm85-33</v>
      </c>
      <c r="AQ107" s="59" t="e">
        <f aca="false">_xlfn.xlookup(A107,'SYS Allocations'!A:A,'SYS Allocations'!B:B)</f>
        <v>#NAME?</v>
      </c>
      <c r="AR107" s="59" t="e">
        <f aca="false">_xlfn.xlookup(A107,'SYS Allocations'!A:A,'SYS Allocations'!C:C)</f>
        <v>#NAME?</v>
      </c>
      <c r="AS107" s="59" t="e">
        <f aca="false">_xlfn.xlookup(A107,'SYS Allocations'!A:A,'SYS Allocations'!D:D)</f>
        <v>#NAME?</v>
      </c>
      <c r="AT107" s="59" t="e">
        <f aca="false">_xlfn.xlookup(A107,'SYS Allocations'!A:A,'SYS Allocations'!E:E)</f>
        <v>#NAME?</v>
      </c>
      <c r="AU107" s="59" t="e">
        <f aca="false">_xlfn.xlookup(A107,'SYS Allocations'!A:A,'SYS Allocations'!F:F)</f>
        <v>#NAME?</v>
      </c>
      <c r="BA107" s="0" t="str">
        <f aca="false">IFERROR(LEFT(R107,FIND("(",R107,1)-1),R107)</f>
        <v>DDm85-33</v>
      </c>
    </row>
    <row r="108" customFormat="false" ht="13.15" hidden="false" customHeight="false" outlineLevel="0" collapsed="false">
      <c r="A108" s="20" t="s">
        <v>124</v>
      </c>
      <c r="B108" s="0" t="s">
        <v>371</v>
      </c>
      <c r="C108" s="0" t="s">
        <v>577</v>
      </c>
      <c r="D108" s="0" t="s">
        <v>319</v>
      </c>
      <c r="E108" s="0" t="s">
        <v>578</v>
      </c>
      <c r="F108" s="0" t="s">
        <v>321</v>
      </c>
      <c r="G108" s="0" t="n">
        <v>36.6</v>
      </c>
      <c r="H108" s="0" t="n">
        <v>16</v>
      </c>
      <c r="I108" s="0" t="n">
        <v>17</v>
      </c>
      <c r="J108" s="0" t="n">
        <v>0.9265</v>
      </c>
      <c r="K108" s="45" t="n">
        <v>45638</v>
      </c>
      <c r="L108" s="0" t="n">
        <v>23.9364</v>
      </c>
      <c r="M108" s="0" t="n">
        <v>23.0099</v>
      </c>
      <c r="N108" s="0" t="n">
        <v>18.8025</v>
      </c>
      <c r="O108" s="0" t="n">
        <v>17.876</v>
      </c>
      <c r="P108" s="0" t="s">
        <v>325</v>
      </c>
      <c r="Q108" s="0" t="s">
        <v>331</v>
      </c>
      <c r="R108" s="0" t="s">
        <v>332</v>
      </c>
      <c r="S108" s="0" t="n">
        <v>17.4096</v>
      </c>
      <c r="T108" s="0" t="n">
        <v>16.4831</v>
      </c>
      <c r="U108" s="0" t="s">
        <v>344</v>
      </c>
      <c r="V108" s="0" t="s">
        <v>579</v>
      </c>
      <c r="W108" s="0" t="n">
        <v>50.25</v>
      </c>
      <c r="X108" s="0" t="n">
        <v>49.3235</v>
      </c>
      <c r="Y108" s="0" t="n">
        <v>71</v>
      </c>
      <c r="AB108" s="58" t="n">
        <f aca="false">M108-AA108</f>
        <v>23.0099</v>
      </c>
      <c r="AC108" s="58" t="n">
        <f aca="false">O108-AA108</f>
        <v>17.876</v>
      </c>
      <c r="AD108" s="58" t="n">
        <f aca="false">AB108/L108%</f>
        <v>96.1293260473588</v>
      </c>
      <c r="AE108" s="58" t="n">
        <f aca="false">AC108/N108%</f>
        <v>95.072463768116</v>
      </c>
      <c r="AF108" s="58" t="n">
        <f aca="false">T108-AA108</f>
        <v>16.4831</v>
      </c>
      <c r="AG108" s="58" t="n">
        <f aca="false">AF108/S108%</f>
        <v>94.6782235088687</v>
      </c>
      <c r="AH108" s="60" t="n">
        <f aca="false">AVERAGE(W108:W109)</f>
        <v>50.25</v>
      </c>
      <c r="AI108" s="60" t="n">
        <f aca="false">SUM(J108:J109)</f>
        <v>1.6895</v>
      </c>
      <c r="AJ108" s="60" t="n">
        <f aca="false">AH108-AI108</f>
        <v>48.5605</v>
      </c>
      <c r="AK108" s="60" t="n">
        <f aca="false">SUM(AA108:AA109)</f>
        <v>0</v>
      </c>
      <c r="AL108" s="60" t="n">
        <f aca="false">AJ108-AK108</f>
        <v>48.5605</v>
      </c>
      <c r="AM108" s="61" t="n">
        <f aca="false">AL108/AH108%</f>
        <v>96.6378109452736</v>
      </c>
      <c r="AN108" s="0" t="str">
        <f aca="false">IF(ISBLANK(Z108),"","Capped")</f>
        <v/>
      </c>
      <c r="AO108" s="44" t="s">
        <v>393</v>
      </c>
      <c r="AP108" s="0" t="str">
        <f aca="false">TRIM(BA108)</f>
        <v>DDm85-25</v>
      </c>
      <c r="AQ108" s="59" t="e">
        <f aca="false">_xlfn.xlookup(A108,'SYS Allocations'!A:A,'SYS Allocations'!B:B)</f>
        <v>#NAME?</v>
      </c>
      <c r="AR108" s="59" t="e">
        <f aca="false">_xlfn.xlookup(A108,'SYS Allocations'!A:A,'SYS Allocations'!C:C)</f>
        <v>#NAME?</v>
      </c>
      <c r="AS108" s="59" t="e">
        <f aca="false">_xlfn.xlookup(A108,'SYS Allocations'!A:A,'SYS Allocations'!D:D)</f>
        <v>#NAME?</v>
      </c>
      <c r="AT108" s="59" t="e">
        <f aca="false">_xlfn.xlookup(A108,'SYS Allocations'!A:A,'SYS Allocations'!E:E)</f>
        <v>#NAME?</v>
      </c>
      <c r="AU108" s="59" t="e">
        <f aca="false">_xlfn.xlookup(A108,'SYS Allocations'!A:A,'SYS Allocations'!F:F)</f>
        <v>#NAME?</v>
      </c>
      <c r="BA108" s="0" t="str">
        <f aca="false">IFERROR(LEFT(R108,FIND("(",R108,1)-1),R108)</f>
        <v>DDm85-25</v>
      </c>
    </row>
    <row r="109" customFormat="false" ht="13.15" hidden="false" customHeight="false" outlineLevel="0" collapsed="false">
      <c r="A109" s="20" t="s">
        <v>125</v>
      </c>
      <c r="B109" s="0" t="s">
        <v>371</v>
      </c>
      <c r="C109" s="0" t="s">
        <v>577</v>
      </c>
      <c r="D109" s="0" t="s">
        <v>319</v>
      </c>
      <c r="E109" s="0" t="s">
        <v>578</v>
      </c>
      <c r="F109" s="0" t="s">
        <v>321</v>
      </c>
      <c r="G109" s="0" t="n">
        <v>36.6</v>
      </c>
      <c r="H109" s="0" t="n">
        <v>16</v>
      </c>
      <c r="I109" s="0" t="n">
        <v>14</v>
      </c>
      <c r="J109" s="0" t="n">
        <v>0.763</v>
      </c>
      <c r="K109" s="45" t="n">
        <v>45638</v>
      </c>
      <c r="L109" s="0" t="n">
        <v>23.9364</v>
      </c>
      <c r="M109" s="0" t="n">
        <v>23.1734</v>
      </c>
      <c r="N109" s="0" t="n">
        <v>18.8025</v>
      </c>
      <c r="O109" s="0" t="n">
        <v>18.0395</v>
      </c>
      <c r="P109" s="0" t="s">
        <v>325</v>
      </c>
      <c r="Q109" s="0" t="s">
        <v>331</v>
      </c>
      <c r="R109" s="0" t="s">
        <v>332</v>
      </c>
      <c r="S109" s="0" t="n">
        <v>17.4096</v>
      </c>
      <c r="T109" s="0" t="n">
        <v>16.6466</v>
      </c>
      <c r="U109" s="0" t="s">
        <v>344</v>
      </c>
      <c r="V109" s="0" t="s">
        <v>579</v>
      </c>
      <c r="W109" s="0" t="n">
        <v>50.25</v>
      </c>
      <c r="X109" s="0" t="n">
        <v>49.487</v>
      </c>
      <c r="Y109" s="0" t="n">
        <v>71</v>
      </c>
      <c r="AB109" s="58" t="n">
        <f aca="false">M109-AA109</f>
        <v>23.1734</v>
      </c>
      <c r="AC109" s="58" t="n">
        <f aca="false">O109-AA109</f>
        <v>18.0395</v>
      </c>
      <c r="AD109" s="58" t="n">
        <f aca="false">AB109/L109%</f>
        <v>96.8123861566485</v>
      </c>
      <c r="AE109" s="58" t="n">
        <f aca="false">AC109/N109%</f>
        <v>95.9420289855072</v>
      </c>
      <c r="AF109" s="58" t="n">
        <f aca="false">T109-AA109</f>
        <v>16.6466</v>
      </c>
      <c r="AG109" s="58" t="n">
        <f aca="false">AF109/S109%</f>
        <v>95.6173605367154</v>
      </c>
      <c r="AH109" s="60"/>
      <c r="AI109" s="60"/>
      <c r="AJ109" s="60"/>
      <c r="AK109" s="60"/>
      <c r="AL109" s="60"/>
      <c r="AM109" s="61"/>
      <c r="AN109" s="0" t="str">
        <f aca="false">IF(ISBLANK(Z109),"","Capped")</f>
        <v/>
      </c>
      <c r="AO109" s="44" t="s">
        <v>393</v>
      </c>
      <c r="AP109" s="0" t="str">
        <f aca="false">TRIM(BA109)</f>
        <v>DDm85-25</v>
      </c>
      <c r="AQ109" s="59" t="e">
        <f aca="false">_xlfn.xlookup(A109,'SYS Allocations'!A:A,'SYS Allocations'!B:B)</f>
        <v>#NAME?</v>
      </c>
      <c r="AR109" s="59" t="e">
        <f aca="false">_xlfn.xlookup(A109,'SYS Allocations'!A:A,'SYS Allocations'!C:C)</f>
        <v>#NAME?</v>
      </c>
      <c r="AS109" s="59" t="e">
        <f aca="false">_xlfn.xlookup(A109,'SYS Allocations'!A:A,'SYS Allocations'!D:D)</f>
        <v>#NAME?</v>
      </c>
      <c r="AT109" s="59" t="e">
        <f aca="false">_xlfn.xlookup(A109,'SYS Allocations'!A:A,'SYS Allocations'!E:E)</f>
        <v>#NAME?</v>
      </c>
      <c r="AU109" s="59" t="e">
        <f aca="false">_xlfn.xlookup(A109,'SYS Allocations'!A:A,'SYS Allocations'!F:F)</f>
        <v>#NAME?</v>
      </c>
      <c r="BA109" s="0" t="str">
        <f aca="false">IFERROR(LEFT(R109,FIND("(",R109,1)-1),R109)</f>
        <v>DDm85-25</v>
      </c>
    </row>
    <row r="110" customFormat="false" ht="13.15" hidden="false" customHeight="false" outlineLevel="0" collapsed="false">
      <c r="A110" s="20" t="s">
        <v>126</v>
      </c>
      <c r="B110" s="0" t="s">
        <v>355</v>
      </c>
      <c r="C110" s="0" t="s">
        <v>580</v>
      </c>
      <c r="D110" s="0" t="s">
        <v>319</v>
      </c>
      <c r="E110" s="0" t="s">
        <v>581</v>
      </c>
      <c r="F110" s="0" t="s">
        <v>321</v>
      </c>
      <c r="G110" s="0" t="n">
        <v>36.6</v>
      </c>
      <c r="H110" s="0" t="n">
        <v>20</v>
      </c>
      <c r="I110" s="0" t="n">
        <v>81</v>
      </c>
      <c r="J110" s="0" t="n">
        <v>4.4145</v>
      </c>
      <c r="K110" s="45" t="n">
        <v>45406</v>
      </c>
      <c r="L110" s="0" t="n">
        <v>30.31944</v>
      </c>
      <c r="M110" s="0" t="n">
        <v>25.90494</v>
      </c>
      <c r="N110" s="0" t="n">
        <v>21.5493</v>
      </c>
      <c r="O110" s="0" t="n">
        <v>17.1348</v>
      </c>
      <c r="P110" s="0" t="s">
        <v>325</v>
      </c>
      <c r="Q110" s="0" t="s">
        <v>331</v>
      </c>
      <c r="R110" s="0" t="s">
        <v>582</v>
      </c>
      <c r="S110" s="0" t="n">
        <v>26.6544</v>
      </c>
      <c r="T110" s="0" t="n">
        <v>22.2399</v>
      </c>
      <c r="U110" s="0" t="s">
        <v>322</v>
      </c>
      <c r="V110" s="0" t="s">
        <v>333</v>
      </c>
      <c r="W110" s="0" t="n">
        <v>22.5</v>
      </c>
      <c r="X110" s="0" t="n">
        <v>18.0855</v>
      </c>
      <c r="Y110" s="0" t="n">
        <v>19</v>
      </c>
      <c r="AB110" s="58" t="n">
        <f aca="false">M110-AA110</f>
        <v>25.90494</v>
      </c>
      <c r="AC110" s="58" t="n">
        <f aca="false">O110-AA110</f>
        <v>17.1348</v>
      </c>
      <c r="AD110" s="58" t="n">
        <f aca="false">AB110/L110%</f>
        <v>85.4400345125108</v>
      </c>
      <c r="AE110" s="58" t="n">
        <f aca="false">AC110/N110%</f>
        <v>79.5144157814871</v>
      </c>
      <c r="AF110" s="58" t="n">
        <f aca="false">T110-AA110</f>
        <v>22.2399</v>
      </c>
      <c r="AG110" s="58" t="n">
        <f aca="false">AF110/S110%</f>
        <v>83.4380064829822</v>
      </c>
      <c r="AH110" s="58" t="n">
        <f aca="false">W110</f>
        <v>22.5</v>
      </c>
      <c r="AI110" s="58" t="n">
        <f aca="false">J110</f>
        <v>4.4145</v>
      </c>
      <c r="AJ110" s="58" t="n">
        <f aca="false">AH110-AI110</f>
        <v>18.0855</v>
      </c>
      <c r="AK110" s="58" t="n">
        <f aca="false">AA110</f>
        <v>0</v>
      </c>
      <c r="AL110" s="58" t="n">
        <f aca="false">AJ110-AK110</f>
        <v>18.0855</v>
      </c>
      <c r="AM110" s="58" t="n">
        <f aca="false">AL110/AH110%</f>
        <v>80.38</v>
      </c>
      <c r="AN110" s="0" t="str">
        <f aca="false">IF(ISBLANK(Z110),"","Capped")</f>
        <v/>
      </c>
      <c r="AO110" s="0" t="s">
        <v>327</v>
      </c>
      <c r="AP110" s="0" t="str">
        <f aca="false">TRIM(BA110)</f>
        <v>DDm125-25</v>
      </c>
      <c r="AQ110" s="59" t="e">
        <f aca="false">_xlfn.xlookup(A110,'SYS Allocations'!A:A,'SYS Allocations'!B:B)</f>
        <v>#NAME?</v>
      </c>
      <c r="AR110" s="59" t="e">
        <f aca="false">_xlfn.xlookup(A110,'SYS Allocations'!A:A,'SYS Allocations'!C:C)</f>
        <v>#NAME?</v>
      </c>
      <c r="AS110" s="59" t="e">
        <f aca="false">_xlfn.xlookup(A110,'SYS Allocations'!A:A,'SYS Allocations'!D:D)</f>
        <v>#NAME?</v>
      </c>
      <c r="AT110" s="59" t="e">
        <f aca="false">_xlfn.xlookup(A110,'SYS Allocations'!A:A,'SYS Allocations'!E:E)</f>
        <v>#NAME?</v>
      </c>
      <c r="AU110" s="59" t="e">
        <f aca="false">_xlfn.xlookup(A110,'SYS Allocations'!A:A,'SYS Allocations'!F:F)</f>
        <v>#NAME?</v>
      </c>
      <c r="BA110" s="0" t="str">
        <f aca="false">IFERROR(LEFT(R110,FIND("(",R110,1)-1),R110)</f>
        <v>DDm125-25</v>
      </c>
    </row>
    <row r="111" customFormat="false" ht="13.15" hidden="false" customHeight="false" outlineLevel="0" collapsed="false">
      <c r="A111" s="20" t="s">
        <v>127</v>
      </c>
      <c r="B111" s="0" t="s">
        <v>394</v>
      </c>
      <c r="C111" s="0" t="s">
        <v>583</v>
      </c>
      <c r="D111" s="0" t="s">
        <v>319</v>
      </c>
      <c r="E111" s="0" t="s">
        <v>584</v>
      </c>
      <c r="F111" s="0" t="s">
        <v>351</v>
      </c>
      <c r="G111" s="0" t="n">
        <v>22</v>
      </c>
      <c r="H111" s="0" t="n">
        <v>6</v>
      </c>
      <c r="I111" s="0" t="n">
        <v>14</v>
      </c>
      <c r="J111" s="0" t="n">
        <v>0.763</v>
      </c>
      <c r="K111" s="45" t="n">
        <v>45470</v>
      </c>
      <c r="L111" s="0" t="n">
        <v>4.796</v>
      </c>
      <c r="M111" s="0" t="n">
        <v>4.033</v>
      </c>
      <c r="N111" s="0" t="n">
        <v>3.815</v>
      </c>
      <c r="O111" s="0" t="n">
        <v>3.052</v>
      </c>
      <c r="P111" s="0" t="s">
        <v>337</v>
      </c>
      <c r="Q111" s="0" t="s">
        <v>331</v>
      </c>
      <c r="R111" s="0" t="s">
        <v>535</v>
      </c>
      <c r="S111" s="0" t="n">
        <v>3.76704</v>
      </c>
      <c r="T111" s="0" t="n">
        <v>3.00404</v>
      </c>
      <c r="U111" s="0" t="s">
        <v>325</v>
      </c>
      <c r="V111" s="0" t="s">
        <v>354</v>
      </c>
      <c r="W111" s="0" t="n">
        <v>5.025</v>
      </c>
      <c r="X111" s="0" t="n">
        <v>4.262</v>
      </c>
      <c r="Y111" s="0" t="n">
        <v>6</v>
      </c>
      <c r="AB111" s="58" t="n">
        <f aca="false">M111-AA111</f>
        <v>4.033</v>
      </c>
      <c r="AC111" s="58" t="n">
        <f aca="false">O111-AA111</f>
        <v>3.052</v>
      </c>
      <c r="AD111" s="58" t="n">
        <f aca="false">AB111/L111%</f>
        <v>84.0909090909091</v>
      </c>
      <c r="AE111" s="58" t="n">
        <f aca="false">AC111/N111%</f>
        <v>80</v>
      </c>
      <c r="AF111" s="58" t="n">
        <f aca="false">T111-AA111</f>
        <v>3.00404</v>
      </c>
      <c r="AG111" s="58" t="n">
        <f aca="false">AF111/S111%</f>
        <v>79.7453703703704</v>
      </c>
      <c r="AH111" s="58" t="n">
        <f aca="false">W111</f>
        <v>5.025</v>
      </c>
      <c r="AI111" s="58" t="n">
        <f aca="false">J111</f>
        <v>0.763</v>
      </c>
      <c r="AJ111" s="58" t="n">
        <f aca="false">AH111-AI111</f>
        <v>4.262</v>
      </c>
      <c r="AK111" s="58" t="n">
        <f aca="false">AA111</f>
        <v>0</v>
      </c>
      <c r="AL111" s="58" t="n">
        <f aca="false">AJ111-AK111</f>
        <v>4.262</v>
      </c>
      <c r="AM111" s="58" t="n">
        <f aca="false">AL111/AH111%</f>
        <v>84.81592039801</v>
      </c>
      <c r="AN111" s="0" t="str">
        <f aca="false">IF(ISBLANK(Z111),"","Capped")</f>
        <v/>
      </c>
      <c r="AO111" s="0" t="s">
        <v>327</v>
      </c>
      <c r="AP111" s="0" t="str">
        <f aca="false">TRIM(BA111)</f>
        <v>SBS 12V100F</v>
      </c>
      <c r="AQ111" s="59" t="e">
        <f aca="false">_xlfn.xlookup(A111,'SYS Allocations'!A:A,'SYS Allocations'!B:B)</f>
        <v>#NAME?</v>
      </c>
      <c r="AR111" s="59" t="e">
        <f aca="false">_xlfn.xlookup(A111,'SYS Allocations'!A:A,'SYS Allocations'!C:C)</f>
        <v>#NAME?</v>
      </c>
      <c r="AS111" s="59" t="e">
        <f aca="false">_xlfn.xlookup(A111,'SYS Allocations'!A:A,'SYS Allocations'!D:D)</f>
        <v>#NAME?</v>
      </c>
      <c r="AT111" s="59" t="e">
        <f aca="false">_xlfn.xlookup(A111,'SYS Allocations'!A:A,'SYS Allocations'!E:E)</f>
        <v>#NAME?</v>
      </c>
      <c r="AU111" s="59" t="e">
        <f aca="false">_xlfn.xlookup(A111,'SYS Allocations'!A:A,'SYS Allocations'!F:F)</f>
        <v>#NAME?</v>
      </c>
      <c r="BA111" s="0" t="str">
        <f aca="false">IFERROR(LEFT(R111,FIND("(",R111,1)-1),R111)</f>
        <v>SBS 12V100F</v>
      </c>
    </row>
    <row r="112" customFormat="false" ht="13.15" hidden="false" customHeight="false" outlineLevel="0" collapsed="false">
      <c r="A112" s="20" t="s">
        <v>128</v>
      </c>
      <c r="B112" s="0" t="s">
        <v>361</v>
      </c>
      <c r="C112" s="0" t="s">
        <v>585</v>
      </c>
      <c r="D112" s="0" t="s">
        <v>319</v>
      </c>
      <c r="E112" s="0" t="s">
        <v>586</v>
      </c>
      <c r="F112" s="0" t="s">
        <v>321</v>
      </c>
      <c r="G112" s="0" t="n">
        <v>36.6</v>
      </c>
      <c r="H112" s="0" t="n">
        <v>7</v>
      </c>
      <c r="I112" s="0" t="n">
        <v>51</v>
      </c>
      <c r="J112" s="0" t="n">
        <v>2.7795</v>
      </c>
      <c r="K112" s="45" t="n">
        <v>45659</v>
      </c>
      <c r="L112" s="0" t="n">
        <v>9.57456</v>
      </c>
      <c r="M112" s="0" t="n">
        <v>6.79506</v>
      </c>
      <c r="N112" s="0" t="n">
        <v>8.4802</v>
      </c>
      <c r="O112" s="0" t="n">
        <v>5.7007</v>
      </c>
      <c r="P112" s="0" t="s">
        <v>446</v>
      </c>
      <c r="Q112" s="0" t="s">
        <v>352</v>
      </c>
      <c r="R112" s="0" t="s">
        <v>450</v>
      </c>
      <c r="S112" s="0" t="n">
        <v>7.81056000000001</v>
      </c>
      <c r="T112" s="0" t="n">
        <v>5.03106000000001</v>
      </c>
      <c r="U112" s="0" t="s">
        <v>325</v>
      </c>
      <c r="V112" s="0" t="s">
        <v>442</v>
      </c>
      <c r="W112" s="0" t="n">
        <v>11.25</v>
      </c>
      <c r="X112" s="0" t="n">
        <v>8.4705</v>
      </c>
      <c r="Y112" s="0" t="n">
        <v>21</v>
      </c>
      <c r="AB112" s="58" t="n">
        <f aca="false">M112-AA112</f>
        <v>6.79506</v>
      </c>
      <c r="AC112" s="58" t="n">
        <f aca="false">O112-AA112</f>
        <v>5.7007</v>
      </c>
      <c r="AD112" s="58" t="n">
        <f aca="false">AB112/L112%</f>
        <v>70.9699453551913</v>
      </c>
      <c r="AE112" s="58" t="n">
        <f aca="false">AC112/N112%</f>
        <v>67.2236503856041</v>
      </c>
      <c r="AF112" s="58" t="n">
        <f aca="false">T112-AA112</f>
        <v>5.03106000000001</v>
      </c>
      <c r="AG112" s="58" t="n">
        <f aca="false">AF112/S112%</f>
        <v>64.4135631760079</v>
      </c>
      <c r="AH112" s="58" t="n">
        <f aca="false">W112</f>
        <v>11.25</v>
      </c>
      <c r="AI112" s="58" t="n">
        <f aca="false">J112</f>
        <v>2.7795</v>
      </c>
      <c r="AJ112" s="58" t="n">
        <f aca="false">AH112-AI112</f>
        <v>8.4705</v>
      </c>
      <c r="AK112" s="58" t="n">
        <f aca="false">AA112</f>
        <v>0</v>
      </c>
      <c r="AL112" s="58" t="n">
        <f aca="false">AJ112-AK112</f>
        <v>8.4705</v>
      </c>
      <c r="AM112" s="58" t="n">
        <f aca="false">AL112/AH112%</f>
        <v>75.2933333333333</v>
      </c>
      <c r="AN112" s="0" t="str">
        <f aca="false">IF(ISBLANK(Z112),"","Capped")</f>
        <v/>
      </c>
      <c r="AO112" s="0" t="s">
        <v>327</v>
      </c>
      <c r="AP112" s="0" t="str">
        <f aca="false">TRIM(BA112)</f>
        <v>12V100F</v>
      </c>
      <c r="AQ112" s="59" t="e">
        <f aca="false">_xlfn.xlookup(A112,'SYS Allocations'!A:A,'SYS Allocations'!B:B)</f>
        <v>#NAME?</v>
      </c>
      <c r="AR112" s="59" t="e">
        <f aca="false">_xlfn.xlookup(A112,'SYS Allocations'!A:A,'SYS Allocations'!C:C)</f>
        <v>#NAME?</v>
      </c>
      <c r="AS112" s="59" t="e">
        <f aca="false">_xlfn.xlookup(A112,'SYS Allocations'!A:A,'SYS Allocations'!D:D)</f>
        <v>#NAME?</v>
      </c>
      <c r="AT112" s="59" t="e">
        <f aca="false">_xlfn.xlookup(A112,'SYS Allocations'!A:A,'SYS Allocations'!E:E)</f>
        <v>#NAME?</v>
      </c>
      <c r="AU112" s="59" t="e">
        <f aca="false">_xlfn.xlookup(A112,'SYS Allocations'!A:A,'SYS Allocations'!F:F)</f>
        <v>#NAME?</v>
      </c>
      <c r="BA112" s="0" t="str">
        <f aca="false">IFERROR(LEFT(R112,FIND("(",R112,1)-1),R112)</f>
        <v>12V100F</v>
      </c>
    </row>
    <row r="113" customFormat="false" ht="13.15" hidden="false" customHeight="false" outlineLevel="0" collapsed="false">
      <c r="A113" s="20" t="s">
        <v>129</v>
      </c>
      <c r="B113" s="0" t="s">
        <v>371</v>
      </c>
      <c r="C113" s="0" t="s">
        <v>587</v>
      </c>
      <c r="D113" s="0" t="s">
        <v>319</v>
      </c>
      <c r="E113" s="0" t="s">
        <v>588</v>
      </c>
      <c r="F113" s="0" t="s">
        <v>321</v>
      </c>
      <c r="G113" s="0" t="n">
        <v>36.6</v>
      </c>
      <c r="H113" s="0" t="n">
        <v>18</v>
      </c>
      <c r="I113" s="0" t="n">
        <v>19</v>
      </c>
      <c r="J113" s="0" t="n">
        <v>1.0355</v>
      </c>
      <c r="K113" s="45" t="n">
        <v>45659</v>
      </c>
      <c r="L113" s="0" t="n">
        <v>27.12792</v>
      </c>
      <c r="M113" s="0" t="n">
        <v>26.09242</v>
      </c>
      <c r="N113" s="0" t="n">
        <v>22.7919</v>
      </c>
      <c r="O113" s="0" t="n">
        <v>21.7564</v>
      </c>
      <c r="P113" s="0" t="s">
        <v>325</v>
      </c>
      <c r="Q113" s="0" t="s">
        <v>331</v>
      </c>
      <c r="R113" s="0" t="s">
        <v>332</v>
      </c>
      <c r="S113" s="0" t="n">
        <v>17.4096</v>
      </c>
      <c r="T113" s="0" t="n">
        <v>16.3741</v>
      </c>
      <c r="U113" s="0" t="s">
        <v>374</v>
      </c>
      <c r="V113" s="0" t="s">
        <v>366</v>
      </c>
      <c r="W113" s="0" t="n">
        <v>112.5</v>
      </c>
      <c r="X113" s="0" t="n">
        <v>111.4645</v>
      </c>
      <c r="Y113" s="0" t="n">
        <v>22</v>
      </c>
      <c r="AB113" s="58" t="n">
        <f aca="false">M113-AA113</f>
        <v>26.09242</v>
      </c>
      <c r="AC113" s="58" t="n">
        <f aca="false">O113-AA113</f>
        <v>21.7564</v>
      </c>
      <c r="AD113" s="58" t="n">
        <f aca="false">AB113/L113%</f>
        <v>96.1828993892639</v>
      </c>
      <c r="AE113" s="58" t="n">
        <f aca="false">AC113/N113%</f>
        <v>95.4567192730751</v>
      </c>
      <c r="AF113" s="58" t="n">
        <f aca="false">T113-AA113</f>
        <v>16.3741</v>
      </c>
      <c r="AG113" s="58" t="n">
        <f aca="false">AF113/S113%</f>
        <v>94.0521321569709</v>
      </c>
      <c r="AH113" s="60" t="n">
        <f aca="false">AVERAGE(W113:W114)</f>
        <v>112.5</v>
      </c>
      <c r="AI113" s="60" t="n">
        <f aca="false">SUM(J113:J114)</f>
        <v>3.379</v>
      </c>
      <c r="AJ113" s="60" t="n">
        <f aca="false">AH113-AI113</f>
        <v>109.121</v>
      </c>
      <c r="AK113" s="60" t="n">
        <f aca="false">SUM(AA113:AA114)</f>
        <v>0</v>
      </c>
      <c r="AL113" s="60" t="n">
        <f aca="false">AJ113-AK113</f>
        <v>109.121</v>
      </c>
      <c r="AM113" s="61" t="n">
        <f aca="false">AL113/AH113%</f>
        <v>96.9964444444444</v>
      </c>
      <c r="AN113" s="0" t="str">
        <f aca="false">IF(ISBLANK(Z113),"","Capped")</f>
        <v/>
      </c>
      <c r="AO113" s="0" t="s">
        <v>393</v>
      </c>
      <c r="AP113" s="0" t="str">
        <f aca="false">TRIM(BA113)</f>
        <v>DDm85-25</v>
      </c>
      <c r="AQ113" s="59" t="e">
        <f aca="false">_xlfn.xlookup(A113,'SYS Allocations'!A:A,'SYS Allocations'!B:B)</f>
        <v>#NAME?</v>
      </c>
      <c r="AR113" s="59" t="e">
        <f aca="false">_xlfn.xlookup(A113,'SYS Allocations'!A:A,'SYS Allocations'!C:C)</f>
        <v>#NAME?</v>
      </c>
      <c r="AS113" s="59" t="e">
        <f aca="false">_xlfn.xlookup(A113,'SYS Allocations'!A:A,'SYS Allocations'!D:D)</f>
        <v>#NAME?</v>
      </c>
      <c r="AT113" s="59" t="e">
        <f aca="false">_xlfn.xlookup(A113,'SYS Allocations'!A:A,'SYS Allocations'!E:E)</f>
        <v>#NAME?</v>
      </c>
      <c r="AU113" s="59" t="e">
        <f aca="false">_xlfn.xlookup(A113,'SYS Allocations'!A:A,'SYS Allocations'!F:F)</f>
        <v>#NAME?</v>
      </c>
      <c r="BA113" s="0" t="str">
        <f aca="false">IFERROR(LEFT(R113,FIND("(",R113,1)-1),R113)</f>
        <v>DDm85-25</v>
      </c>
    </row>
    <row r="114" customFormat="false" ht="13.15" hidden="false" customHeight="false" outlineLevel="0" collapsed="false">
      <c r="A114" s="20" t="s">
        <v>130</v>
      </c>
      <c r="B114" s="0" t="s">
        <v>371</v>
      </c>
      <c r="C114" s="0" t="s">
        <v>587</v>
      </c>
      <c r="D114" s="0" t="s">
        <v>319</v>
      </c>
      <c r="E114" s="0" t="s">
        <v>588</v>
      </c>
      <c r="F114" s="0" t="s">
        <v>321</v>
      </c>
      <c r="G114" s="0" t="n">
        <v>36.6</v>
      </c>
      <c r="H114" s="0" t="n">
        <v>18</v>
      </c>
      <c r="I114" s="0" t="n">
        <v>43</v>
      </c>
      <c r="J114" s="0" t="n">
        <v>2.3435</v>
      </c>
      <c r="K114" s="45" t="n">
        <v>45659</v>
      </c>
      <c r="L114" s="0" t="n">
        <v>27.12792</v>
      </c>
      <c r="M114" s="0" t="n">
        <v>24.78442</v>
      </c>
      <c r="N114" s="0" t="n">
        <v>22.7919</v>
      </c>
      <c r="O114" s="0" t="n">
        <v>20.4484</v>
      </c>
      <c r="P114" s="0" t="s">
        <v>325</v>
      </c>
      <c r="Q114" s="0" t="s">
        <v>331</v>
      </c>
      <c r="R114" s="0" t="s">
        <v>332</v>
      </c>
      <c r="S114" s="0" t="n">
        <v>17.4096</v>
      </c>
      <c r="T114" s="0" t="n">
        <v>15.0661</v>
      </c>
      <c r="U114" s="0" t="s">
        <v>374</v>
      </c>
      <c r="V114" s="0" t="s">
        <v>366</v>
      </c>
      <c r="W114" s="0" t="n">
        <v>112.5</v>
      </c>
      <c r="X114" s="0" t="n">
        <v>110.1565</v>
      </c>
      <c r="Y114" s="0" t="n">
        <v>22</v>
      </c>
      <c r="AB114" s="58" t="n">
        <f aca="false">M114-AA114</f>
        <v>24.78442</v>
      </c>
      <c r="AC114" s="58" t="n">
        <f aca="false">O114-AA114</f>
        <v>20.4484</v>
      </c>
      <c r="AD114" s="58" t="n">
        <f aca="false">AB114/L114%</f>
        <v>91.3612986178078</v>
      </c>
      <c r="AE114" s="58" t="n">
        <f aca="false">AC114/N114%</f>
        <v>89.7178383548541</v>
      </c>
      <c r="AF114" s="58" t="n">
        <f aca="false">T114-AA114</f>
        <v>15.0661</v>
      </c>
      <c r="AG114" s="58" t="n">
        <f aca="false">AF114/S114%</f>
        <v>86.5390359341972</v>
      </c>
      <c r="AH114" s="60"/>
      <c r="AI114" s="60"/>
      <c r="AJ114" s="60"/>
      <c r="AK114" s="60"/>
      <c r="AL114" s="60"/>
      <c r="AM114" s="61"/>
      <c r="AN114" s="0" t="str">
        <f aca="false">IF(ISBLANK(Z114),"","Capped")</f>
        <v/>
      </c>
      <c r="AO114" s="0" t="s">
        <v>393</v>
      </c>
      <c r="AP114" s="0" t="str">
        <f aca="false">TRIM(BA114)</f>
        <v>DDm85-25</v>
      </c>
      <c r="AQ114" s="59" t="e">
        <f aca="false">_xlfn.xlookup(A114,'SYS Allocations'!A:A,'SYS Allocations'!B:B)</f>
        <v>#NAME?</v>
      </c>
      <c r="AR114" s="59" t="e">
        <f aca="false">_xlfn.xlookup(A114,'SYS Allocations'!A:A,'SYS Allocations'!C:C)</f>
        <v>#NAME?</v>
      </c>
      <c r="AS114" s="59" t="e">
        <f aca="false">_xlfn.xlookup(A114,'SYS Allocations'!A:A,'SYS Allocations'!D:D)</f>
        <v>#NAME?</v>
      </c>
      <c r="AT114" s="59" t="e">
        <f aca="false">_xlfn.xlookup(A114,'SYS Allocations'!A:A,'SYS Allocations'!E:E)</f>
        <v>#NAME?</v>
      </c>
      <c r="AU114" s="59" t="e">
        <f aca="false">_xlfn.xlookup(A114,'SYS Allocations'!A:A,'SYS Allocations'!F:F)</f>
        <v>#NAME?</v>
      </c>
      <c r="BA114" s="0" t="str">
        <f aca="false">IFERROR(LEFT(R114,FIND("(",R114,1)-1),R114)</f>
        <v>DDm85-25</v>
      </c>
    </row>
    <row r="115" customFormat="false" ht="13.15" hidden="false" customHeight="false" outlineLevel="0" collapsed="false">
      <c r="A115" s="20" t="s">
        <v>131</v>
      </c>
      <c r="B115" s="0" t="s">
        <v>371</v>
      </c>
      <c r="C115" s="0" t="s">
        <v>589</v>
      </c>
      <c r="D115" s="0" t="s">
        <v>319</v>
      </c>
      <c r="E115" s="0" t="s">
        <v>590</v>
      </c>
      <c r="F115" s="0" t="s">
        <v>321</v>
      </c>
      <c r="G115" s="0" t="n">
        <v>36.6</v>
      </c>
      <c r="H115" s="0" t="n">
        <v>23</v>
      </c>
      <c r="I115" s="0" t="n">
        <v>265</v>
      </c>
      <c r="J115" s="0" t="n">
        <v>14.4425</v>
      </c>
      <c r="K115" s="45" t="n">
        <v>45628</v>
      </c>
      <c r="L115" s="0" t="n">
        <v>35.10672</v>
      </c>
      <c r="M115" s="0" t="n">
        <v>20.66422</v>
      </c>
      <c r="N115" s="0" t="n">
        <v>22.0834</v>
      </c>
      <c r="O115" s="0" t="n">
        <v>7.6409</v>
      </c>
      <c r="P115" s="0" t="s">
        <v>325</v>
      </c>
      <c r="Q115" s="0" t="s">
        <v>331</v>
      </c>
      <c r="R115" s="0" t="s">
        <v>345</v>
      </c>
      <c r="S115" s="0" t="n">
        <v>35.5536</v>
      </c>
      <c r="T115" s="0" t="n">
        <v>21.1111</v>
      </c>
      <c r="U115" s="0" t="s">
        <v>322</v>
      </c>
      <c r="V115" s="0" t="s">
        <v>341</v>
      </c>
      <c r="W115" s="0" t="n">
        <v>45</v>
      </c>
      <c r="X115" s="0" t="n">
        <v>30.5575</v>
      </c>
      <c r="Y115" s="0" t="n">
        <v>24</v>
      </c>
      <c r="AB115" s="58" t="n">
        <f aca="false">M115-AA115</f>
        <v>20.66422</v>
      </c>
      <c r="AC115" s="58" t="n">
        <f aca="false">O115-AA115</f>
        <v>7.6409</v>
      </c>
      <c r="AD115" s="58" t="n">
        <f aca="false">AB115/L115%</f>
        <v>58.8611525086935</v>
      </c>
      <c r="AE115" s="58" t="n">
        <f aca="false">AC115/N115%</f>
        <v>34.6001974333662</v>
      </c>
      <c r="AF115" s="58" t="n">
        <f aca="false">T115-AA115</f>
        <v>21.1111</v>
      </c>
      <c r="AG115" s="58" t="n">
        <f aca="false">AF115/S115%</f>
        <v>59.3782345529004</v>
      </c>
      <c r="AH115" s="58" t="n">
        <f aca="false">W115</f>
        <v>45</v>
      </c>
      <c r="AI115" s="58" t="n">
        <f aca="false">J115</f>
        <v>14.4425</v>
      </c>
      <c r="AJ115" s="58" t="n">
        <f aca="false">AH115-AI115</f>
        <v>30.5575</v>
      </c>
      <c r="AK115" s="58" t="n">
        <f aca="false">AA115</f>
        <v>0</v>
      </c>
      <c r="AL115" s="58" t="n">
        <f aca="false">AJ115-AK115</f>
        <v>30.5575</v>
      </c>
      <c r="AM115" s="58" t="n">
        <f aca="false">AL115/AH115%</f>
        <v>67.9055555555556</v>
      </c>
      <c r="AN115" s="0" t="str">
        <f aca="false">IF(ISBLANK(Z115),"","Capped")</f>
        <v/>
      </c>
      <c r="AO115" s="0" t="s">
        <v>327</v>
      </c>
      <c r="AP115" s="0" t="str">
        <f aca="false">TRIM(BA115)</f>
        <v>DDm125-33</v>
      </c>
      <c r="AQ115" s="59" t="e">
        <f aca="false">_xlfn.xlookup(A115,'SYS Allocations'!A:A,'SYS Allocations'!B:B)</f>
        <v>#NAME?</v>
      </c>
      <c r="AR115" s="59" t="e">
        <f aca="false">_xlfn.xlookup(A115,'SYS Allocations'!A:A,'SYS Allocations'!C:C)</f>
        <v>#NAME?</v>
      </c>
      <c r="AS115" s="59" t="e">
        <f aca="false">_xlfn.xlookup(A115,'SYS Allocations'!A:A,'SYS Allocations'!D:D)</f>
        <v>#NAME?</v>
      </c>
      <c r="AT115" s="59" t="e">
        <f aca="false">_xlfn.xlookup(A115,'SYS Allocations'!A:A,'SYS Allocations'!E:E)</f>
        <v>#NAME?</v>
      </c>
      <c r="AU115" s="59" t="e">
        <f aca="false">_xlfn.xlookup(A115,'SYS Allocations'!A:A,'SYS Allocations'!F:F)</f>
        <v>#NAME?</v>
      </c>
      <c r="BA115" s="0" t="str">
        <f aca="false">IFERROR(LEFT(R115,FIND("(",R115,1)-1),R115)</f>
        <v>DDm125-33</v>
      </c>
    </row>
    <row r="116" customFormat="false" ht="13.15" hidden="false" customHeight="false" outlineLevel="0" collapsed="false">
      <c r="A116" s="20" t="s">
        <v>132</v>
      </c>
      <c r="B116" s="0" t="s">
        <v>437</v>
      </c>
      <c r="C116" s="0" t="s">
        <v>591</v>
      </c>
      <c r="D116" s="0" t="s">
        <v>319</v>
      </c>
      <c r="E116" s="0" t="s">
        <v>592</v>
      </c>
      <c r="F116" s="0" t="s">
        <v>321</v>
      </c>
      <c r="G116" s="0" t="n">
        <v>36.6</v>
      </c>
      <c r="H116" s="0" t="n">
        <v>42</v>
      </c>
      <c r="I116" s="0" t="n">
        <v>265</v>
      </c>
      <c r="J116" s="0" t="n">
        <v>14.4425</v>
      </c>
      <c r="K116" s="45" t="n">
        <v>45659</v>
      </c>
      <c r="L116" s="0" t="n">
        <v>65.42616</v>
      </c>
      <c r="M116" s="0" t="n">
        <v>50.98366</v>
      </c>
      <c r="N116" s="0" t="n">
        <v>49.0827</v>
      </c>
      <c r="O116" s="0" t="n">
        <v>34.6402</v>
      </c>
      <c r="P116" s="0" t="s">
        <v>322</v>
      </c>
      <c r="Q116" s="0" t="s">
        <v>331</v>
      </c>
      <c r="R116" s="0" t="s">
        <v>345</v>
      </c>
      <c r="S116" s="0" t="n">
        <v>53.3304</v>
      </c>
      <c r="T116" s="0" t="n">
        <v>38.8879</v>
      </c>
      <c r="U116" s="0" t="s">
        <v>344</v>
      </c>
      <c r="V116" s="0" t="s">
        <v>501</v>
      </c>
      <c r="W116" s="0" t="n">
        <v>180</v>
      </c>
      <c r="X116" s="0" t="n">
        <v>165.5575</v>
      </c>
      <c r="Y116" s="0" t="n">
        <v>60</v>
      </c>
      <c r="AB116" s="58" t="n">
        <f aca="false">M116-AA116</f>
        <v>50.98366</v>
      </c>
      <c r="AC116" s="58" t="n">
        <f aca="false">O116-AA116</f>
        <v>34.6402</v>
      </c>
      <c r="AD116" s="58" t="n">
        <f aca="false">AB116/L116%</f>
        <v>77.9254964680794</v>
      </c>
      <c r="AE116" s="58" t="n">
        <f aca="false">AC116/N116%</f>
        <v>70.5751721074839</v>
      </c>
      <c r="AF116" s="58" t="n">
        <f aca="false">T116-AA116</f>
        <v>38.8879</v>
      </c>
      <c r="AG116" s="58" t="n">
        <f aca="false">AF116/S116%</f>
        <v>72.9188230352669</v>
      </c>
      <c r="AH116" s="60" t="n">
        <f aca="false">AVERAGE(W116:W117)</f>
        <v>180</v>
      </c>
      <c r="AI116" s="60" t="n">
        <f aca="false">SUM(J116:J117)</f>
        <v>37.714</v>
      </c>
      <c r="AJ116" s="60" t="n">
        <f aca="false">AH116-AI116</f>
        <v>142.286</v>
      </c>
      <c r="AK116" s="60" t="n">
        <f aca="false">SUM(AA116:AA117)</f>
        <v>0</v>
      </c>
      <c r="AL116" s="60" t="n">
        <f aca="false">AJ116-AK116</f>
        <v>142.286</v>
      </c>
      <c r="AM116" s="61" t="n">
        <f aca="false">AL116/AH116%</f>
        <v>79.0477777777778</v>
      </c>
      <c r="AN116" s="0" t="str">
        <f aca="false">IF(ISBLANK(Z116),"","Capped")</f>
        <v/>
      </c>
      <c r="AO116" s="0" t="s">
        <v>393</v>
      </c>
      <c r="AP116" s="0" t="str">
        <f aca="false">TRIM(BA116)</f>
        <v>DDm125-33</v>
      </c>
      <c r="AQ116" s="59" t="e">
        <f aca="false">_xlfn.xlookup(A116,'SYS Allocations'!A:A,'SYS Allocations'!B:B)</f>
        <v>#NAME?</v>
      </c>
      <c r="AR116" s="59" t="e">
        <f aca="false">_xlfn.xlookup(A116,'SYS Allocations'!A:A,'SYS Allocations'!C:C)</f>
        <v>#NAME?</v>
      </c>
      <c r="AS116" s="59" t="e">
        <f aca="false">_xlfn.xlookup(A116,'SYS Allocations'!A:A,'SYS Allocations'!D:D)</f>
        <v>#NAME?</v>
      </c>
      <c r="AT116" s="59" t="e">
        <f aca="false">_xlfn.xlookup(A116,'SYS Allocations'!A:A,'SYS Allocations'!E:E)</f>
        <v>#NAME?</v>
      </c>
      <c r="AU116" s="59" t="e">
        <f aca="false">_xlfn.xlookup(A116,'SYS Allocations'!A:A,'SYS Allocations'!F:F)</f>
        <v>#NAME?</v>
      </c>
      <c r="BA116" s="0" t="str">
        <f aca="false">IFERROR(LEFT(R116,FIND("(",R116,1)-1),R116)</f>
        <v>DDm125-33</v>
      </c>
    </row>
    <row r="117" customFormat="false" ht="13.15" hidden="false" customHeight="false" outlineLevel="0" collapsed="false">
      <c r="A117" s="20" t="s">
        <v>133</v>
      </c>
      <c r="B117" s="0" t="s">
        <v>437</v>
      </c>
      <c r="C117" s="0" t="s">
        <v>591</v>
      </c>
      <c r="D117" s="0" t="s">
        <v>319</v>
      </c>
      <c r="E117" s="0" t="s">
        <v>592</v>
      </c>
      <c r="F117" s="0" t="s">
        <v>321</v>
      </c>
      <c r="G117" s="0" t="n">
        <v>36.6</v>
      </c>
      <c r="H117" s="0" t="n">
        <v>42</v>
      </c>
      <c r="I117" s="0" t="n">
        <v>427</v>
      </c>
      <c r="J117" s="0" t="n">
        <v>23.2715</v>
      </c>
      <c r="K117" s="45" t="n">
        <v>45659</v>
      </c>
      <c r="L117" s="0" t="n">
        <v>65.42616</v>
      </c>
      <c r="M117" s="0" t="n">
        <v>42.15466</v>
      </c>
      <c r="N117" s="0" t="n">
        <v>49.0827</v>
      </c>
      <c r="O117" s="0" t="n">
        <v>25.8112</v>
      </c>
      <c r="P117" s="0" t="s">
        <v>322</v>
      </c>
      <c r="Q117" s="0" t="s">
        <v>331</v>
      </c>
      <c r="R117" s="0" t="s">
        <v>345</v>
      </c>
      <c r="S117" s="0" t="n">
        <v>53.3304</v>
      </c>
      <c r="T117" s="0" t="n">
        <v>30.0589</v>
      </c>
      <c r="U117" s="0" t="s">
        <v>344</v>
      </c>
      <c r="V117" s="0" t="s">
        <v>501</v>
      </c>
      <c r="W117" s="0" t="n">
        <v>180</v>
      </c>
      <c r="X117" s="0" t="n">
        <v>156.7285</v>
      </c>
      <c r="Y117" s="0" t="n">
        <v>60</v>
      </c>
      <c r="AB117" s="58" t="n">
        <f aca="false">M117-AA117</f>
        <v>42.15466</v>
      </c>
      <c r="AC117" s="58" t="n">
        <f aca="false">O117-AA117</f>
        <v>25.8112</v>
      </c>
      <c r="AD117" s="58" t="n">
        <f aca="false">AB117/L117%</f>
        <v>64.4308943089431</v>
      </c>
      <c r="AE117" s="58" t="n">
        <f aca="false">AC117/N117%</f>
        <v>52.5871641128137</v>
      </c>
      <c r="AF117" s="58" t="n">
        <f aca="false">T117-AA117</f>
        <v>30.0589</v>
      </c>
      <c r="AG117" s="58" t="n">
        <f aca="false">AF117/S117%</f>
        <v>56.3635374945622</v>
      </c>
      <c r="AH117" s="60"/>
      <c r="AI117" s="60"/>
      <c r="AJ117" s="60"/>
      <c r="AK117" s="60"/>
      <c r="AL117" s="60"/>
      <c r="AM117" s="61"/>
      <c r="AN117" s="0" t="str">
        <f aca="false">IF(ISBLANK(Z117),"","Capped")</f>
        <v/>
      </c>
      <c r="AO117" s="0" t="s">
        <v>393</v>
      </c>
      <c r="AP117" s="0" t="str">
        <f aca="false">TRIM(BA117)</f>
        <v>DDm125-33</v>
      </c>
      <c r="AQ117" s="59" t="e">
        <f aca="false">_xlfn.xlookup(A117,'SYS Allocations'!A:A,'SYS Allocations'!B:B)</f>
        <v>#NAME?</v>
      </c>
      <c r="AR117" s="59" t="e">
        <f aca="false">_xlfn.xlookup(A117,'SYS Allocations'!A:A,'SYS Allocations'!C:C)</f>
        <v>#NAME?</v>
      </c>
      <c r="AS117" s="59" t="e">
        <f aca="false">_xlfn.xlookup(A117,'SYS Allocations'!A:A,'SYS Allocations'!D:D)</f>
        <v>#NAME?</v>
      </c>
      <c r="AT117" s="59" t="e">
        <f aca="false">_xlfn.xlookup(A117,'SYS Allocations'!A:A,'SYS Allocations'!E:E)</f>
        <v>#NAME?</v>
      </c>
      <c r="AU117" s="59" t="e">
        <f aca="false">_xlfn.xlookup(A117,'SYS Allocations'!A:A,'SYS Allocations'!F:F)</f>
        <v>#NAME?</v>
      </c>
      <c r="BA117" s="0" t="str">
        <f aca="false">IFERROR(LEFT(R117,FIND("(",R117,1)-1),R117)</f>
        <v>DDm125-33</v>
      </c>
    </row>
    <row r="118" customFormat="false" ht="13.15" hidden="false" customHeight="false" outlineLevel="0" collapsed="false">
      <c r="A118" s="20" t="s">
        <v>134</v>
      </c>
      <c r="B118" s="0" t="s">
        <v>328</v>
      </c>
      <c r="C118" s="0" t="s">
        <v>477</v>
      </c>
      <c r="D118" s="0" t="s">
        <v>390</v>
      </c>
      <c r="E118" s="0" t="s">
        <v>593</v>
      </c>
      <c r="F118" s="0" t="s">
        <v>321</v>
      </c>
      <c r="G118" s="0" t="n">
        <v>36.6</v>
      </c>
      <c r="H118" s="0" t="n">
        <v>54</v>
      </c>
      <c r="I118" s="0" t="n">
        <v>840</v>
      </c>
      <c r="J118" s="0" t="n">
        <v>45.78</v>
      </c>
      <c r="K118" s="45" t="n">
        <v>45659</v>
      </c>
      <c r="L118" s="0" t="n">
        <v>84.57528</v>
      </c>
      <c r="M118" s="0" t="n">
        <v>38.79528</v>
      </c>
      <c r="N118" s="0" t="n">
        <v>62.1191</v>
      </c>
      <c r="O118" s="0" t="n">
        <v>16.3391</v>
      </c>
      <c r="P118" s="0" t="s">
        <v>337</v>
      </c>
      <c r="Q118" s="0" t="s">
        <v>331</v>
      </c>
      <c r="R118" s="0" t="s">
        <v>345</v>
      </c>
      <c r="S118" s="0" t="n">
        <v>71.1072000000002</v>
      </c>
      <c r="T118" s="0" t="n">
        <v>25.3272000000002</v>
      </c>
      <c r="U118" s="0" t="s">
        <v>337</v>
      </c>
      <c r="V118" s="0" t="s">
        <v>416</v>
      </c>
      <c r="W118" s="0" t="n">
        <v>90</v>
      </c>
      <c r="X118" s="0" t="n">
        <v>44.22</v>
      </c>
      <c r="Y118" s="0" t="n">
        <v>51</v>
      </c>
      <c r="Z118" s="0" t="s">
        <v>274</v>
      </c>
      <c r="AB118" s="58" t="n">
        <f aca="false">M118-AA118</f>
        <v>38.79528</v>
      </c>
      <c r="AC118" s="58" t="n">
        <f aca="false">O118-AA118</f>
        <v>16.3391</v>
      </c>
      <c r="AD118" s="58" t="n">
        <f aca="false">AB118/L118%</f>
        <v>45.8707083204454</v>
      </c>
      <c r="AE118" s="58" t="n">
        <f aca="false">AC118/N118%</f>
        <v>26.3028601509037</v>
      </c>
      <c r="AF118" s="58" t="n">
        <f aca="false">T118-AA118</f>
        <v>25.3272000000002</v>
      </c>
      <c r="AG118" s="58" t="n">
        <f aca="false">AF118/S118%</f>
        <v>35.6183340083706</v>
      </c>
      <c r="AH118" s="60" t="n">
        <f aca="false">AVERAGE(W118:W119)</f>
        <v>90</v>
      </c>
      <c r="AI118" s="60" t="n">
        <f aca="false">SUM(J118:J119)</f>
        <v>80.1695</v>
      </c>
      <c r="AJ118" s="60" t="n">
        <f aca="false">AH118-AI118</f>
        <v>9.8305</v>
      </c>
      <c r="AK118" s="60" t="n">
        <f aca="false">SUM(AA118:AA119)</f>
        <v>0</v>
      </c>
      <c r="AL118" s="60" t="n">
        <f aca="false">AJ118-AK118</f>
        <v>9.8305</v>
      </c>
      <c r="AM118" s="61" t="n">
        <f aca="false">AL118/AH118%</f>
        <v>10.9227777777778</v>
      </c>
      <c r="AN118" s="0" t="str">
        <f aca="false">IF(ISBLANK(Z118),"","Capped")</f>
        <v>Capped</v>
      </c>
      <c r="AO118" s="0" t="s">
        <v>393</v>
      </c>
      <c r="AP118" s="0" t="str">
        <f aca="false">TRIM(BA118)</f>
        <v>DDm125-33</v>
      </c>
      <c r="AQ118" s="59" t="e">
        <f aca="false">_xlfn.xlookup(A118,'SYS Allocations'!A:A,'SYS Allocations'!B:B)</f>
        <v>#NAME?</v>
      </c>
      <c r="AR118" s="59" t="e">
        <f aca="false">_xlfn.xlookup(A118,'SYS Allocations'!A:A,'SYS Allocations'!C:C)</f>
        <v>#NAME?</v>
      </c>
      <c r="AS118" s="59" t="e">
        <f aca="false">_xlfn.xlookup(A118,'SYS Allocations'!A:A,'SYS Allocations'!D:D)</f>
        <v>#NAME?</v>
      </c>
      <c r="AT118" s="59" t="e">
        <f aca="false">_xlfn.xlookup(A118,'SYS Allocations'!A:A,'SYS Allocations'!E:E)</f>
        <v>#NAME?</v>
      </c>
      <c r="AU118" s="59" t="e">
        <f aca="false">_xlfn.xlookup(A118,'SYS Allocations'!A:A,'SYS Allocations'!F:F)</f>
        <v>#NAME?</v>
      </c>
      <c r="BA118" s="0" t="str">
        <f aca="false">IFERROR(LEFT(R118,FIND("(",R118,1)-1),R118)</f>
        <v>DDm125-33</v>
      </c>
    </row>
    <row r="119" customFormat="false" ht="13.15" hidden="false" customHeight="false" outlineLevel="0" collapsed="false">
      <c r="A119" s="20" t="s">
        <v>135</v>
      </c>
      <c r="B119" s="0" t="s">
        <v>328</v>
      </c>
      <c r="C119" s="0" t="s">
        <v>477</v>
      </c>
      <c r="D119" s="0" t="s">
        <v>390</v>
      </c>
      <c r="E119" s="0" t="s">
        <v>593</v>
      </c>
      <c r="F119" s="0" t="s">
        <v>321</v>
      </c>
      <c r="G119" s="0" t="n">
        <v>36.6</v>
      </c>
      <c r="H119" s="0" t="n">
        <v>54</v>
      </c>
      <c r="I119" s="0" t="n">
        <v>631</v>
      </c>
      <c r="J119" s="0" t="n">
        <v>34.3895</v>
      </c>
      <c r="K119" s="45" t="n">
        <v>45659</v>
      </c>
      <c r="L119" s="0" t="n">
        <v>84.57528</v>
      </c>
      <c r="M119" s="0" t="n">
        <v>50.18578</v>
      </c>
      <c r="N119" s="0" t="n">
        <v>62.1191</v>
      </c>
      <c r="O119" s="0" t="n">
        <v>27.7296</v>
      </c>
      <c r="P119" s="0" t="s">
        <v>337</v>
      </c>
      <c r="Q119" s="0" t="s">
        <v>331</v>
      </c>
      <c r="R119" s="0" t="s">
        <v>345</v>
      </c>
      <c r="S119" s="0" t="n">
        <v>71.1072000000002</v>
      </c>
      <c r="T119" s="0" t="n">
        <v>36.7177000000002</v>
      </c>
      <c r="U119" s="0" t="s">
        <v>337</v>
      </c>
      <c r="V119" s="0" t="s">
        <v>416</v>
      </c>
      <c r="W119" s="0" t="n">
        <v>90</v>
      </c>
      <c r="X119" s="0" t="n">
        <v>55.6105</v>
      </c>
      <c r="Y119" s="0" t="n">
        <v>51</v>
      </c>
      <c r="Z119" s="0" t="s">
        <v>274</v>
      </c>
      <c r="AB119" s="58" t="n">
        <f aca="false">M119-AA119</f>
        <v>50.18578</v>
      </c>
      <c r="AC119" s="58" t="n">
        <f aca="false">O119-AA119</f>
        <v>27.7296</v>
      </c>
      <c r="AD119" s="58" t="n">
        <f aca="false">AB119/L119%</f>
        <v>59.3385916073822</v>
      </c>
      <c r="AE119" s="58" t="n">
        <f aca="false">AC119/N119%</f>
        <v>44.6394104228812</v>
      </c>
      <c r="AF119" s="58" t="n">
        <f aca="false">T119-AA119</f>
        <v>36.7177000000002</v>
      </c>
      <c r="AG119" s="58" t="n">
        <f aca="false">AF119/S119%</f>
        <v>51.6371056658118</v>
      </c>
      <c r="AH119" s="60"/>
      <c r="AI119" s="60"/>
      <c r="AJ119" s="60"/>
      <c r="AK119" s="60"/>
      <c r="AL119" s="60"/>
      <c r="AM119" s="61"/>
      <c r="AN119" s="0" t="str">
        <f aca="false">IF(ISBLANK(Z119),"","Capped")</f>
        <v>Capped</v>
      </c>
      <c r="AO119" s="0" t="s">
        <v>393</v>
      </c>
      <c r="AP119" s="0" t="str">
        <f aca="false">TRIM(BA119)</f>
        <v>DDm125-33</v>
      </c>
      <c r="AQ119" s="59" t="e">
        <f aca="false">_xlfn.xlookup(A119,'SYS Allocations'!A:A,'SYS Allocations'!B:B)</f>
        <v>#NAME?</v>
      </c>
      <c r="AR119" s="59" t="e">
        <f aca="false">_xlfn.xlookup(A119,'SYS Allocations'!A:A,'SYS Allocations'!C:C)</f>
        <v>#NAME?</v>
      </c>
      <c r="AS119" s="59" t="e">
        <f aca="false">_xlfn.xlookup(A119,'SYS Allocations'!A:A,'SYS Allocations'!D:D)</f>
        <v>#NAME?</v>
      </c>
      <c r="AT119" s="59" t="e">
        <f aca="false">_xlfn.xlookup(A119,'SYS Allocations'!A:A,'SYS Allocations'!E:E)</f>
        <v>#NAME?</v>
      </c>
      <c r="AU119" s="59" t="e">
        <f aca="false">_xlfn.xlookup(A119,'SYS Allocations'!A:A,'SYS Allocations'!F:F)</f>
        <v>#NAME?</v>
      </c>
      <c r="BA119" s="0" t="str">
        <f aca="false">IFERROR(LEFT(R119,FIND("(",R119,1)-1),R119)</f>
        <v>DDm125-33</v>
      </c>
    </row>
    <row r="120" customFormat="false" ht="13.15" hidden="false" customHeight="false" outlineLevel="0" collapsed="false">
      <c r="A120" s="20" t="s">
        <v>136</v>
      </c>
      <c r="B120" s="0" t="s">
        <v>328</v>
      </c>
      <c r="C120" s="0" t="s">
        <v>477</v>
      </c>
      <c r="D120" s="0" t="s">
        <v>319</v>
      </c>
      <c r="E120" s="0" t="s">
        <v>594</v>
      </c>
      <c r="F120" s="0" t="s">
        <v>321</v>
      </c>
      <c r="G120" s="0" t="n">
        <v>36.6</v>
      </c>
      <c r="H120" s="0" t="n">
        <v>19</v>
      </c>
      <c r="I120" s="0" t="n">
        <v>173</v>
      </c>
      <c r="J120" s="0" t="n">
        <v>9.4285</v>
      </c>
      <c r="K120" s="45" t="n">
        <v>45659</v>
      </c>
      <c r="L120" s="0" t="n">
        <v>28.72368</v>
      </c>
      <c r="M120" s="0" t="n">
        <v>19.29518</v>
      </c>
      <c r="N120" s="0" t="n">
        <v>19.5546</v>
      </c>
      <c r="O120" s="0" t="n">
        <v>10.1261</v>
      </c>
      <c r="P120" s="0" t="s">
        <v>325</v>
      </c>
      <c r="Q120" s="0" t="s">
        <v>331</v>
      </c>
      <c r="R120" s="0" t="s">
        <v>582</v>
      </c>
      <c r="S120" s="0" t="n">
        <v>26.6544</v>
      </c>
      <c r="T120" s="0" t="n">
        <v>17.2259</v>
      </c>
      <c r="U120" s="0" t="s">
        <v>322</v>
      </c>
      <c r="V120" s="0" t="s">
        <v>333</v>
      </c>
      <c r="W120" s="0" t="n">
        <v>22.5</v>
      </c>
      <c r="X120" s="0" t="n">
        <v>13.0715</v>
      </c>
      <c r="Y120" s="0" t="n">
        <v>61</v>
      </c>
      <c r="AB120" s="58" t="n">
        <f aca="false">M120-AA120</f>
        <v>19.29518</v>
      </c>
      <c r="AC120" s="58" t="n">
        <f aca="false">O120-AA120</f>
        <v>10.1261</v>
      </c>
      <c r="AD120" s="58" t="n">
        <f aca="false">AB120/L120%</f>
        <v>67.1751669702489</v>
      </c>
      <c r="AE120" s="58" t="n">
        <f aca="false">AC120/N120%</f>
        <v>51.783723522854</v>
      </c>
      <c r="AF120" s="58" t="n">
        <f aca="false">T120-AA120</f>
        <v>17.2259</v>
      </c>
      <c r="AG120" s="58" t="n">
        <f aca="false">AF120/S120%</f>
        <v>64.6268533525422</v>
      </c>
      <c r="AH120" s="58" t="n">
        <f aca="false">W120</f>
        <v>22.5</v>
      </c>
      <c r="AI120" s="58" t="n">
        <f aca="false">J120</f>
        <v>9.4285</v>
      </c>
      <c r="AJ120" s="58" t="n">
        <f aca="false">AH120-AI120</f>
        <v>13.0715</v>
      </c>
      <c r="AK120" s="58" t="n">
        <f aca="false">AA120</f>
        <v>0</v>
      </c>
      <c r="AL120" s="58" t="n">
        <f aca="false">AJ120-AK120</f>
        <v>13.0715</v>
      </c>
      <c r="AM120" s="58" t="n">
        <f aca="false">AL120/AH120%</f>
        <v>58.0955555555556</v>
      </c>
      <c r="AN120" s="0" t="str">
        <f aca="false">IF(ISBLANK(Z120),"","Capped")</f>
        <v/>
      </c>
      <c r="AO120" s="0" t="s">
        <v>327</v>
      </c>
      <c r="AP120" s="0" t="str">
        <f aca="false">TRIM(BA120)</f>
        <v>DDm125-25</v>
      </c>
      <c r="AQ120" s="59" t="e">
        <f aca="false">_xlfn.xlookup(A120,'SYS Allocations'!A:A,'SYS Allocations'!B:B)</f>
        <v>#NAME?</v>
      </c>
      <c r="AR120" s="59" t="e">
        <f aca="false">_xlfn.xlookup(A120,'SYS Allocations'!A:A,'SYS Allocations'!C:C)</f>
        <v>#NAME?</v>
      </c>
      <c r="AS120" s="59" t="e">
        <f aca="false">_xlfn.xlookup(A120,'SYS Allocations'!A:A,'SYS Allocations'!D:D)</f>
        <v>#NAME?</v>
      </c>
      <c r="AT120" s="59" t="e">
        <f aca="false">_xlfn.xlookup(A120,'SYS Allocations'!A:A,'SYS Allocations'!E:E)</f>
        <v>#NAME?</v>
      </c>
      <c r="AU120" s="59" t="e">
        <f aca="false">_xlfn.xlookup(A120,'SYS Allocations'!A:A,'SYS Allocations'!F:F)</f>
        <v>#NAME?</v>
      </c>
      <c r="BA120" s="0" t="str">
        <f aca="false">IFERROR(LEFT(R120,FIND("(",R120,1)-1),R120)</f>
        <v>DDm125-25</v>
      </c>
    </row>
    <row r="121" customFormat="false" ht="13.15" hidden="false" customHeight="false" outlineLevel="0" collapsed="false">
      <c r="A121" s="20" t="s">
        <v>137</v>
      </c>
      <c r="B121" s="0" t="s">
        <v>328</v>
      </c>
      <c r="C121" s="0" t="s">
        <v>477</v>
      </c>
      <c r="D121" s="0" t="s">
        <v>319</v>
      </c>
      <c r="E121" s="0" t="s">
        <v>595</v>
      </c>
      <c r="F121" s="0" t="s">
        <v>321</v>
      </c>
      <c r="G121" s="0" t="n">
        <v>36.6</v>
      </c>
      <c r="H121" s="0" t="n">
        <v>35</v>
      </c>
      <c r="I121" s="0" t="n">
        <v>583</v>
      </c>
      <c r="J121" s="0" t="n">
        <v>31.7735</v>
      </c>
      <c r="K121" s="45" t="n">
        <v>45659</v>
      </c>
      <c r="L121" s="0" t="n">
        <v>54.25584</v>
      </c>
      <c r="M121" s="0" t="n">
        <v>22.48234</v>
      </c>
      <c r="N121" s="0" t="n">
        <v>35.1198</v>
      </c>
      <c r="O121" s="0" t="n">
        <v>3.3463</v>
      </c>
      <c r="P121" s="0" t="s">
        <v>322</v>
      </c>
      <c r="Q121" s="0" t="s">
        <v>331</v>
      </c>
      <c r="R121" s="0" t="s">
        <v>345</v>
      </c>
      <c r="S121" s="0" t="n">
        <v>53.3304</v>
      </c>
      <c r="T121" s="0" t="n">
        <v>21.5569</v>
      </c>
      <c r="U121" s="0" t="s">
        <v>344</v>
      </c>
      <c r="V121" s="0" t="s">
        <v>596</v>
      </c>
      <c r="W121" s="0" t="n">
        <v>63</v>
      </c>
      <c r="X121" s="0" t="n">
        <v>31.2265</v>
      </c>
      <c r="Y121" s="0" t="n">
        <v>3</v>
      </c>
      <c r="AB121" s="58" t="n">
        <f aca="false">M121-AA121</f>
        <v>22.48234</v>
      </c>
      <c r="AC121" s="58" t="n">
        <f aca="false">O121-AA121</f>
        <v>3.3463</v>
      </c>
      <c r="AD121" s="58" t="n">
        <f aca="false">AB121/L121%</f>
        <v>41.4376406300225</v>
      </c>
      <c r="AE121" s="58" t="n">
        <f aca="false">AC121/N121%</f>
        <v>9.52824332712601</v>
      </c>
      <c r="AF121" s="58" t="n">
        <f aca="false">T121-AA121</f>
        <v>21.5569</v>
      </c>
      <c r="AG121" s="58" t="n">
        <f aca="false">AF121/S121%</f>
        <v>40.4214106775873</v>
      </c>
      <c r="AH121" s="58" t="n">
        <f aca="false">W121</f>
        <v>63</v>
      </c>
      <c r="AI121" s="58" t="n">
        <f aca="false">J121</f>
        <v>31.7735</v>
      </c>
      <c r="AJ121" s="58" t="n">
        <f aca="false">AH121-AI121</f>
        <v>31.2265</v>
      </c>
      <c r="AK121" s="58" t="n">
        <f aca="false">AA121</f>
        <v>0</v>
      </c>
      <c r="AL121" s="58" t="n">
        <f aca="false">AJ121-AK121</f>
        <v>31.2265</v>
      </c>
      <c r="AM121" s="58" t="n">
        <f aca="false">AL121/AH121%</f>
        <v>49.565873015873</v>
      </c>
      <c r="AN121" s="0" t="str">
        <f aca="false">IF(ISBLANK(Z121),"","Capped")</f>
        <v/>
      </c>
      <c r="AO121" s="0" t="s">
        <v>327</v>
      </c>
      <c r="AP121" s="0" t="str">
        <f aca="false">TRIM(BA121)</f>
        <v>DDm125-33</v>
      </c>
      <c r="AQ121" s="59" t="e">
        <f aca="false">_xlfn.xlookup(A121,'SYS Allocations'!A:A,'SYS Allocations'!B:B)</f>
        <v>#NAME?</v>
      </c>
      <c r="AR121" s="59" t="e">
        <f aca="false">_xlfn.xlookup(A121,'SYS Allocations'!A:A,'SYS Allocations'!C:C)</f>
        <v>#NAME?</v>
      </c>
      <c r="AS121" s="59" t="e">
        <f aca="false">_xlfn.xlookup(A121,'SYS Allocations'!A:A,'SYS Allocations'!D:D)</f>
        <v>#NAME?</v>
      </c>
      <c r="AT121" s="59" t="e">
        <f aca="false">_xlfn.xlookup(A121,'SYS Allocations'!A:A,'SYS Allocations'!E:E)</f>
        <v>#NAME?</v>
      </c>
      <c r="AU121" s="59" t="e">
        <f aca="false">_xlfn.xlookup(A121,'SYS Allocations'!A:A,'SYS Allocations'!F:F)</f>
        <v>#NAME?</v>
      </c>
      <c r="BA121" s="0" t="str">
        <f aca="false">IFERROR(LEFT(R121,FIND("(",R121,1)-1),R121)</f>
        <v>DDm125-33</v>
      </c>
    </row>
    <row r="122" customFormat="false" ht="13.15" hidden="false" customHeight="false" outlineLevel="0" collapsed="false">
      <c r="A122" s="20" t="s">
        <v>138</v>
      </c>
      <c r="B122" s="0" t="s">
        <v>328</v>
      </c>
      <c r="C122" s="0" t="s">
        <v>597</v>
      </c>
      <c r="D122" s="0" t="s">
        <v>319</v>
      </c>
      <c r="E122" s="0" t="s">
        <v>598</v>
      </c>
      <c r="F122" s="0" t="s">
        <v>321</v>
      </c>
      <c r="G122" s="0" t="n">
        <v>36.6</v>
      </c>
      <c r="H122" s="0" t="n">
        <v>3</v>
      </c>
      <c r="I122" s="0" t="n">
        <v>14</v>
      </c>
      <c r="J122" s="0" t="n">
        <v>0.763</v>
      </c>
      <c r="K122" s="45" t="n">
        <v>45659</v>
      </c>
      <c r="L122" s="0" t="n">
        <v>3.19152</v>
      </c>
      <c r="M122" s="0" t="n">
        <v>2.42852</v>
      </c>
      <c r="N122" s="0" t="n">
        <v>2.8994</v>
      </c>
      <c r="O122" s="0" t="n">
        <v>2.1364</v>
      </c>
      <c r="P122" s="0" t="s">
        <v>325</v>
      </c>
      <c r="Q122" s="0" t="s">
        <v>331</v>
      </c>
      <c r="R122" s="0" t="s">
        <v>445</v>
      </c>
      <c r="S122" s="0" t="n">
        <v>1.7928</v>
      </c>
      <c r="T122" s="0" t="n">
        <v>1.0298</v>
      </c>
      <c r="U122" s="0" t="s">
        <v>325</v>
      </c>
      <c r="V122" s="0" t="s">
        <v>354</v>
      </c>
      <c r="W122" s="0" t="n">
        <v>5.025</v>
      </c>
      <c r="X122" s="0" t="n">
        <v>4.262</v>
      </c>
      <c r="Y122" s="0" t="n">
        <v>6</v>
      </c>
      <c r="AB122" s="58" t="n">
        <f aca="false">M122-AA122</f>
        <v>2.42852</v>
      </c>
      <c r="AC122" s="58" t="n">
        <f aca="false">O122-AA122</f>
        <v>2.1364</v>
      </c>
      <c r="AD122" s="58" t="n">
        <f aca="false">AB122/L122%</f>
        <v>76.0928961748634</v>
      </c>
      <c r="AE122" s="58" t="n">
        <f aca="false">AC122/N122%</f>
        <v>73.6842105263158</v>
      </c>
      <c r="AF122" s="58" t="n">
        <f aca="false">T122-AA122</f>
        <v>1.0298</v>
      </c>
      <c r="AG122" s="58" t="n">
        <f aca="false">AF122/S122%</f>
        <v>57.4408746095493</v>
      </c>
      <c r="AH122" s="58" t="n">
        <f aca="false">W122</f>
        <v>5.025</v>
      </c>
      <c r="AI122" s="58" t="n">
        <f aca="false">J122</f>
        <v>0.763</v>
      </c>
      <c r="AJ122" s="58" t="n">
        <f aca="false">AH122-AI122</f>
        <v>4.262</v>
      </c>
      <c r="AK122" s="58" t="n">
        <f aca="false">AA122</f>
        <v>0</v>
      </c>
      <c r="AL122" s="58" t="n">
        <f aca="false">AJ122-AK122</f>
        <v>4.262</v>
      </c>
      <c r="AM122" s="58" t="n">
        <f aca="false">AL122/AH122%</f>
        <v>84.81592039801</v>
      </c>
      <c r="AN122" s="0" t="str">
        <f aca="false">IF(ISBLANK(Z122),"","Capped")</f>
        <v/>
      </c>
      <c r="AO122" s="0" t="s">
        <v>327</v>
      </c>
      <c r="AP122" s="0" t="str">
        <f aca="false">TRIM(BA122)</f>
        <v>12V101F</v>
      </c>
      <c r="AQ122" s="59" t="e">
        <f aca="false">_xlfn.xlookup(A122,'SYS Allocations'!A:A,'SYS Allocations'!B:B)</f>
        <v>#NAME?</v>
      </c>
      <c r="AR122" s="59" t="e">
        <f aca="false">_xlfn.xlookup(A122,'SYS Allocations'!A:A,'SYS Allocations'!C:C)</f>
        <v>#NAME?</v>
      </c>
      <c r="AS122" s="59" t="e">
        <f aca="false">_xlfn.xlookup(A122,'SYS Allocations'!A:A,'SYS Allocations'!D:D)</f>
        <v>#NAME?</v>
      </c>
      <c r="AT122" s="59" t="e">
        <f aca="false">_xlfn.xlookup(A122,'SYS Allocations'!A:A,'SYS Allocations'!E:E)</f>
        <v>#NAME?</v>
      </c>
      <c r="AU122" s="59" t="e">
        <f aca="false">_xlfn.xlookup(A122,'SYS Allocations'!A:A,'SYS Allocations'!F:F)</f>
        <v>#NAME?</v>
      </c>
      <c r="BA122" s="0" t="str">
        <f aca="false">IFERROR(LEFT(R122,FIND("(",R122,1)-1),R122)</f>
        <v>12V101F </v>
      </c>
    </row>
    <row r="123" customFormat="false" ht="13.15" hidden="false" customHeight="false" outlineLevel="0" collapsed="false">
      <c r="A123" s="20" t="s">
        <v>139</v>
      </c>
      <c r="B123" s="0" t="s">
        <v>355</v>
      </c>
      <c r="C123" s="0" t="s">
        <v>599</v>
      </c>
      <c r="D123" s="0" t="s">
        <v>390</v>
      </c>
      <c r="E123" s="0" t="s">
        <v>600</v>
      </c>
      <c r="F123" s="0" t="s">
        <v>601</v>
      </c>
      <c r="G123" s="0" t="n">
        <v>37.5</v>
      </c>
      <c r="H123" s="0" t="n">
        <v>8</v>
      </c>
      <c r="I123" s="0" t="n">
        <v>148</v>
      </c>
      <c r="J123" s="0" t="n">
        <v>8.066</v>
      </c>
      <c r="K123" s="45" t="n">
        <v>45659</v>
      </c>
      <c r="L123" s="0" t="n">
        <v>11.445</v>
      </c>
      <c r="M123" s="0" t="n">
        <v>3.379</v>
      </c>
      <c r="N123" s="0" t="n">
        <v>10.087949673</v>
      </c>
      <c r="O123" s="0" t="n">
        <v>2.021949673</v>
      </c>
      <c r="P123" s="0" t="s">
        <v>374</v>
      </c>
      <c r="Q123" s="0" t="s">
        <v>352</v>
      </c>
      <c r="R123" s="0" t="s">
        <v>359</v>
      </c>
      <c r="S123" s="0" t="n">
        <v>8.42400000000003</v>
      </c>
      <c r="T123" s="0" t="n">
        <v>0.358000000000025</v>
      </c>
      <c r="U123" s="0" t="s">
        <v>322</v>
      </c>
      <c r="V123" s="0" t="s">
        <v>602</v>
      </c>
      <c r="W123" s="0" t="n">
        <v>12</v>
      </c>
      <c r="X123" s="0" t="n">
        <v>3.934</v>
      </c>
      <c r="Y123" s="0" t="n">
        <v>3</v>
      </c>
      <c r="Z123" s="0" t="s">
        <v>8</v>
      </c>
      <c r="AB123" s="58" t="n">
        <f aca="false">M123-AA123</f>
        <v>3.379</v>
      </c>
      <c r="AC123" s="58" t="n">
        <f aca="false">O123-AA123</f>
        <v>2.021949673</v>
      </c>
      <c r="AD123" s="58" t="n">
        <f aca="false">AB123/L123%</f>
        <v>29.5238095238095</v>
      </c>
      <c r="AE123" s="58" t="n">
        <f aca="false">AC123/N123%</f>
        <v>20.0432172893533</v>
      </c>
      <c r="AF123" s="58" t="n">
        <f aca="false">T123-AA123</f>
        <v>0.358000000000025</v>
      </c>
      <c r="AG123" s="58" t="n">
        <f aca="false">AF123/S123%</f>
        <v>4.2497625830962</v>
      </c>
      <c r="AH123" s="58" t="n">
        <f aca="false">W123</f>
        <v>12</v>
      </c>
      <c r="AI123" s="58" t="n">
        <f aca="false">J123</f>
        <v>8.066</v>
      </c>
      <c r="AJ123" s="58" t="n">
        <f aca="false">AH123-AI123</f>
        <v>3.934</v>
      </c>
      <c r="AK123" s="58" t="n">
        <f aca="false">AA123</f>
        <v>0</v>
      </c>
      <c r="AL123" s="58" t="n">
        <f aca="false">AJ123-AK123</f>
        <v>3.934</v>
      </c>
      <c r="AM123" s="58" t="n">
        <f aca="false">AL123/AH123%</f>
        <v>32.7833333333333</v>
      </c>
      <c r="AN123" s="0" t="str">
        <f aca="false">IF(ISBLANK(Z123),"","Capped")</f>
        <v>Capped</v>
      </c>
      <c r="AO123" s="0" t="s">
        <v>327</v>
      </c>
      <c r="AP123" s="0" t="str">
        <f aca="false">TRIM(BA123)</f>
        <v>12V155F</v>
      </c>
      <c r="AQ123" s="59" t="e">
        <f aca="false">_xlfn.xlookup(A123,'SYS Allocations'!A:A,'SYS Allocations'!B:B)</f>
        <v>#NAME?</v>
      </c>
      <c r="AR123" s="59" t="e">
        <f aca="false">_xlfn.xlookup(A123,'SYS Allocations'!A:A,'SYS Allocations'!C:C)</f>
        <v>#NAME?</v>
      </c>
      <c r="AS123" s="59" t="e">
        <f aca="false">_xlfn.xlookup(A123,'SYS Allocations'!A:A,'SYS Allocations'!D:D)</f>
        <v>#NAME?</v>
      </c>
      <c r="AT123" s="59" t="e">
        <f aca="false">_xlfn.xlookup(A123,'SYS Allocations'!A:A,'SYS Allocations'!E:E)</f>
        <v>#NAME?</v>
      </c>
      <c r="AU123" s="59" t="e">
        <f aca="false">_xlfn.xlookup(A123,'SYS Allocations'!A:A,'SYS Allocations'!F:F)</f>
        <v>#NAME?</v>
      </c>
      <c r="BA123" s="0" t="str">
        <f aca="false">IFERROR(LEFT(R123,FIND("(",R123,1)-1),R123)</f>
        <v>12V155F</v>
      </c>
    </row>
    <row r="124" customFormat="false" ht="13.15" hidden="false" customHeight="false" outlineLevel="0" collapsed="false">
      <c r="A124" s="20" t="s">
        <v>140</v>
      </c>
      <c r="B124" s="0" t="s">
        <v>388</v>
      </c>
      <c r="C124" s="0" t="s">
        <v>603</v>
      </c>
      <c r="D124" s="0" t="s">
        <v>319</v>
      </c>
      <c r="E124" s="0" t="s">
        <v>604</v>
      </c>
      <c r="F124" s="0" t="s">
        <v>321</v>
      </c>
      <c r="G124" s="0" t="n">
        <v>36.6</v>
      </c>
      <c r="H124" s="0" t="n">
        <v>19</v>
      </c>
      <c r="I124" s="0" t="n">
        <v>171</v>
      </c>
      <c r="J124" s="0" t="n">
        <v>9.3195</v>
      </c>
      <c r="K124" s="45" t="n">
        <v>45529</v>
      </c>
      <c r="L124" s="0" t="n">
        <v>28.72368</v>
      </c>
      <c r="M124" s="0" t="n">
        <v>19.40418</v>
      </c>
      <c r="N124" s="0" t="n">
        <v>17.83785</v>
      </c>
      <c r="O124" s="0" t="n">
        <v>8.51835</v>
      </c>
      <c r="P124" s="0" t="s">
        <v>322</v>
      </c>
      <c r="Q124" s="0" t="s">
        <v>331</v>
      </c>
      <c r="R124" s="0" t="s">
        <v>605</v>
      </c>
      <c r="S124" s="0" t="n">
        <v>28.188</v>
      </c>
      <c r="T124" s="0" t="n">
        <v>18.8685</v>
      </c>
      <c r="U124" s="0" t="s">
        <v>374</v>
      </c>
      <c r="V124" s="0" t="s">
        <v>333</v>
      </c>
      <c r="W124" s="0" t="n">
        <v>22.5</v>
      </c>
      <c r="X124" s="0" t="n">
        <v>13.1805</v>
      </c>
      <c r="Y124" s="0" t="n">
        <v>16</v>
      </c>
      <c r="AB124" s="58" t="n">
        <f aca="false">M124-AA124</f>
        <v>19.40418</v>
      </c>
      <c r="AC124" s="58" t="n">
        <f aca="false">O124-AA124</f>
        <v>8.51835</v>
      </c>
      <c r="AD124" s="58" t="n">
        <f aca="false">AB124/L124%</f>
        <v>67.5546448087432</v>
      </c>
      <c r="AE124" s="58" t="n">
        <f aca="false">AC124/N124%</f>
        <v>47.7543538038497</v>
      </c>
      <c r="AF124" s="58" t="n">
        <f aca="false">T124-AA124</f>
        <v>18.8685</v>
      </c>
      <c r="AG124" s="58" t="n">
        <f aca="false">AF124/S124%</f>
        <v>66.9380587484036</v>
      </c>
      <c r="AH124" s="58" t="n">
        <f aca="false">W124</f>
        <v>22.5</v>
      </c>
      <c r="AI124" s="58" t="n">
        <f aca="false">J124</f>
        <v>9.3195</v>
      </c>
      <c r="AJ124" s="58" t="n">
        <f aca="false">AH124-AI124</f>
        <v>13.1805</v>
      </c>
      <c r="AK124" s="58" t="n">
        <f aca="false">AA124</f>
        <v>0</v>
      </c>
      <c r="AL124" s="58" t="n">
        <f aca="false">AJ124-AK124</f>
        <v>13.1805</v>
      </c>
      <c r="AM124" s="58" t="n">
        <f aca="false">AL124/AH124%</f>
        <v>58.58</v>
      </c>
      <c r="AN124" s="0" t="str">
        <f aca="false">IF(ISBLANK(Z124),"","Capped")</f>
        <v/>
      </c>
      <c r="AO124" s="0" t="s">
        <v>327</v>
      </c>
      <c r="AP124" s="0" t="str">
        <f aca="false">TRIM(BA124)</f>
        <v>DDm85-27</v>
      </c>
      <c r="AQ124" s="59" t="e">
        <f aca="false">_xlfn.xlookup(A124,'SYS Allocations'!A:A,'SYS Allocations'!B:B)</f>
        <v>#NAME?</v>
      </c>
      <c r="AR124" s="59" t="e">
        <f aca="false">_xlfn.xlookup(A124,'SYS Allocations'!A:A,'SYS Allocations'!C:C)</f>
        <v>#NAME?</v>
      </c>
      <c r="AS124" s="59" t="e">
        <f aca="false">_xlfn.xlookup(A124,'SYS Allocations'!A:A,'SYS Allocations'!D:D)</f>
        <v>#NAME?</v>
      </c>
      <c r="AT124" s="59" t="e">
        <f aca="false">_xlfn.xlookup(A124,'SYS Allocations'!A:A,'SYS Allocations'!E:E)</f>
        <v>#NAME?</v>
      </c>
      <c r="AU124" s="59" t="e">
        <f aca="false">_xlfn.xlookup(A124,'SYS Allocations'!A:A,'SYS Allocations'!F:F)</f>
        <v>#NAME?</v>
      </c>
      <c r="BA124" s="0" t="str">
        <f aca="false">IFERROR(LEFT(R124,FIND("(",R124,1)-1),R124)</f>
        <v>DDm85-27</v>
      </c>
    </row>
    <row r="125" customFormat="false" ht="13.15" hidden="false" customHeight="false" outlineLevel="0" collapsed="false">
      <c r="A125" s="20" t="s">
        <v>141</v>
      </c>
      <c r="B125" s="0" t="s">
        <v>342</v>
      </c>
      <c r="C125" s="0" t="s">
        <v>606</v>
      </c>
      <c r="D125" s="0" t="s">
        <v>319</v>
      </c>
      <c r="E125" s="0" t="s">
        <v>607</v>
      </c>
      <c r="F125" s="0" t="s">
        <v>321</v>
      </c>
      <c r="G125" s="0" t="n">
        <v>36.6</v>
      </c>
      <c r="H125" s="0" t="n">
        <v>8</v>
      </c>
      <c r="I125" s="0" t="n">
        <v>109</v>
      </c>
      <c r="J125" s="0" t="n">
        <v>5.9405</v>
      </c>
      <c r="K125" s="45" t="n">
        <v>45659</v>
      </c>
      <c r="L125" s="0" t="n">
        <v>11.17032</v>
      </c>
      <c r="M125" s="0" t="n">
        <v>5.22982</v>
      </c>
      <c r="N125" s="0" t="n">
        <v>6.9869</v>
      </c>
      <c r="O125" s="0" t="n">
        <v>1.0464</v>
      </c>
      <c r="P125" s="0" t="s">
        <v>602</v>
      </c>
      <c r="Q125" s="0" t="s">
        <v>352</v>
      </c>
      <c r="R125" s="0" t="s">
        <v>450</v>
      </c>
      <c r="S125" s="0" t="n">
        <v>15.62112</v>
      </c>
      <c r="T125" s="0" t="n">
        <v>9.68062000000003</v>
      </c>
      <c r="U125" s="0" t="s">
        <v>325</v>
      </c>
      <c r="V125" s="0" t="s">
        <v>375</v>
      </c>
      <c r="W125" s="0" t="n">
        <v>48.75</v>
      </c>
      <c r="X125" s="0" t="n">
        <v>42.8095</v>
      </c>
      <c r="Y125" s="0" t="n">
        <v>12</v>
      </c>
      <c r="AB125" s="58" t="n">
        <f aca="false">M125-AA125</f>
        <v>5.22982</v>
      </c>
      <c r="AC125" s="58" t="n">
        <f aca="false">O125-AA125</f>
        <v>1.0464</v>
      </c>
      <c r="AD125" s="58" t="n">
        <f aca="false">AB125/L125%</f>
        <v>46.8188914910226</v>
      </c>
      <c r="AE125" s="58" t="n">
        <f aca="false">AC125/N125%</f>
        <v>14.9765990639626</v>
      </c>
      <c r="AF125" s="58" t="n">
        <f aca="false">T125-AA125</f>
        <v>9.68062000000003</v>
      </c>
      <c r="AG125" s="58" t="n">
        <f aca="false">AF125/S125%</f>
        <v>61.9713567273027</v>
      </c>
      <c r="AH125" s="58" t="n">
        <f aca="false">W125</f>
        <v>48.75</v>
      </c>
      <c r="AI125" s="58" t="n">
        <f aca="false">J125</f>
        <v>5.9405</v>
      </c>
      <c r="AJ125" s="58" t="n">
        <f aca="false">AH125-AI125</f>
        <v>42.8095</v>
      </c>
      <c r="AK125" s="58" t="n">
        <f aca="false">AA125</f>
        <v>0</v>
      </c>
      <c r="AL125" s="58" t="n">
        <f aca="false">AJ125-AK125</f>
        <v>42.8095</v>
      </c>
      <c r="AM125" s="58" t="n">
        <f aca="false">AL125/AH125%</f>
        <v>87.814358974359</v>
      </c>
      <c r="AN125" s="0" t="str">
        <f aca="false">IF(ISBLANK(Z125),"","Capped")</f>
        <v/>
      </c>
      <c r="AO125" s="0" t="s">
        <v>327</v>
      </c>
      <c r="AP125" s="0" t="str">
        <f aca="false">TRIM(BA125)</f>
        <v>12V100F</v>
      </c>
      <c r="AQ125" s="59" t="e">
        <f aca="false">_xlfn.xlookup(A125,'SYS Allocations'!A:A,'SYS Allocations'!B:B)</f>
        <v>#NAME?</v>
      </c>
      <c r="AR125" s="59" t="e">
        <f aca="false">_xlfn.xlookup(A125,'SYS Allocations'!A:A,'SYS Allocations'!C:C)</f>
        <v>#NAME?</v>
      </c>
      <c r="AS125" s="59" t="e">
        <f aca="false">_xlfn.xlookup(A125,'SYS Allocations'!A:A,'SYS Allocations'!D:D)</f>
        <v>#NAME?</v>
      </c>
      <c r="AT125" s="59" t="e">
        <f aca="false">_xlfn.xlookup(A125,'SYS Allocations'!A:A,'SYS Allocations'!E:E)</f>
        <v>#NAME?</v>
      </c>
      <c r="AU125" s="59" t="e">
        <f aca="false">_xlfn.xlookup(A125,'SYS Allocations'!A:A,'SYS Allocations'!F:F)</f>
        <v>#NAME?</v>
      </c>
      <c r="BA125" s="0" t="str">
        <f aca="false">IFERROR(LEFT(R125,FIND("(",R125,1)-1),R125)</f>
        <v>12V100F</v>
      </c>
    </row>
    <row r="126" customFormat="false" ht="13.15" hidden="false" customHeight="false" outlineLevel="0" collapsed="false">
      <c r="A126" s="20" t="s">
        <v>142</v>
      </c>
      <c r="B126" s="0" t="s">
        <v>342</v>
      </c>
      <c r="C126" s="0" t="s">
        <v>606</v>
      </c>
      <c r="D126" s="0" t="s">
        <v>319</v>
      </c>
      <c r="E126" s="0" t="s">
        <v>608</v>
      </c>
      <c r="F126" s="0" t="s">
        <v>321</v>
      </c>
      <c r="G126" s="0" t="n">
        <v>36.6</v>
      </c>
      <c r="H126" s="0" t="n">
        <v>8</v>
      </c>
      <c r="I126" s="0" t="n">
        <v>109</v>
      </c>
      <c r="J126" s="0" t="n">
        <v>5.9405</v>
      </c>
      <c r="K126" s="45" t="n">
        <v>45659</v>
      </c>
      <c r="L126" s="0" t="n">
        <v>11.17032</v>
      </c>
      <c r="M126" s="0" t="n">
        <v>5.22982</v>
      </c>
      <c r="N126" s="0" t="n">
        <v>6.9869</v>
      </c>
      <c r="O126" s="0" t="n">
        <v>1.0464</v>
      </c>
      <c r="P126" s="0" t="s">
        <v>602</v>
      </c>
      <c r="Q126" s="0" t="s">
        <v>352</v>
      </c>
      <c r="R126" s="0" t="s">
        <v>450</v>
      </c>
      <c r="S126" s="0" t="n">
        <v>15.62112</v>
      </c>
      <c r="T126" s="0" t="n">
        <v>9.68062000000003</v>
      </c>
      <c r="U126" s="0" t="s">
        <v>325</v>
      </c>
      <c r="V126" s="0" t="s">
        <v>375</v>
      </c>
      <c r="W126" s="0" t="n">
        <v>48.75</v>
      </c>
      <c r="X126" s="0" t="n">
        <v>42.8095</v>
      </c>
      <c r="Y126" s="0" t="n">
        <v>4</v>
      </c>
      <c r="AB126" s="58" t="n">
        <f aca="false">M126-AA126</f>
        <v>5.22982</v>
      </c>
      <c r="AC126" s="58" t="n">
        <f aca="false">O126-AA126</f>
        <v>1.0464</v>
      </c>
      <c r="AD126" s="58" t="n">
        <f aca="false">AB126/L126%</f>
        <v>46.8188914910226</v>
      </c>
      <c r="AE126" s="58" t="n">
        <f aca="false">AC126/N126%</f>
        <v>14.9765990639626</v>
      </c>
      <c r="AF126" s="58" t="n">
        <f aca="false">T126-AA126</f>
        <v>9.68062000000003</v>
      </c>
      <c r="AG126" s="58" t="n">
        <f aca="false">AF126/S126%</f>
        <v>61.9713567273027</v>
      </c>
      <c r="AH126" s="58" t="n">
        <f aca="false">W126</f>
        <v>48.75</v>
      </c>
      <c r="AI126" s="58" t="n">
        <f aca="false">J126</f>
        <v>5.9405</v>
      </c>
      <c r="AJ126" s="58" t="n">
        <f aca="false">AH126-AI126</f>
        <v>42.8095</v>
      </c>
      <c r="AK126" s="58" t="n">
        <f aca="false">AA126</f>
        <v>0</v>
      </c>
      <c r="AL126" s="58" t="n">
        <f aca="false">AJ126-AK126</f>
        <v>42.8095</v>
      </c>
      <c r="AM126" s="58" t="n">
        <f aca="false">AL126/AH126%</f>
        <v>87.814358974359</v>
      </c>
      <c r="AN126" s="0" t="str">
        <f aca="false">IF(ISBLANK(Z126),"","Capped")</f>
        <v/>
      </c>
      <c r="AO126" s="0" t="s">
        <v>327</v>
      </c>
      <c r="AP126" s="0" t="str">
        <f aca="false">TRIM(BA126)</f>
        <v>12V100F</v>
      </c>
      <c r="AQ126" s="59" t="e">
        <f aca="false">_xlfn.xlookup(A126,'SYS Allocations'!A:A,'SYS Allocations'!B:B)</f>
        <v>#NAME?</v>
      </c>
      <c r="AR126" s="59" t="e">
        <f aca="false">_xlfn.xlookup(A126,'SYS Allocations'!A:A,'SYS Allocations'!C:C)</f>
        <v>#NAME?</v>
      </c>
      <c r="AS126" s="59" t="e">
        <f aca="false">_xlfn.xlookup(A126,'SYS Allocations'!A:A,'SYS Allocations'!D:D)</f>
        <v>#NAME?</v>
      </c>
      <c r="AT126" s="59" t="e">
        <f aca="false">_xlfn.xlookup(A126,'SYS Allocations'!A:A,'SYS Allocations'!E:E)</f>
        <v>#NAME?</v>
      </c>
      <c r="AU126" s="59" t="e">
        <f aca="false">_xlfn.xlookup(A126,'SYS Allocations'!A:A,'SYS Allocations'!F:F)</f>
        <v>#NAME?</v>
      </c>
      <c r="BA126" s="0" t="str">
        <f aca="false">IFERROR(LEFT(R126,FIND("(",R126,1)-1),R126)</f>
        <v>12V100F</v>
      </c>
    </row>
    <row r="127" customFormat="false" ht="13.15" hidden="false" customHeight="false" outlineLevel="0" collapsed="false">
      <c r="A127" s="20" t="s">
        <v>143</v>
      </c>
      <c r="B127" s="0" t="s">
        <v>317</v>
      </c>
      <c r="C127" s="0" t="s">
        <v>609</v>
      </c>
      <c r="D127" s="0" t="s">
        <v>319</v>
      </c>
      <c r="E127" s="0" t="s">
        <v>610</v>
      </c>
      <c r="F127" s="0" t="s">
        <v>321</v>
      </c>
      <c r="G127" s="0" t="n">
        <v>36.6</v>
      </c>
      <c r="H127" s="0" t="n">
        <v>17</v>
      </c>
      <c r="I127" s="0" t="n">
        <v>186</v>
      </c>
      <c r="J127" s="0" t="n">
        <v>10.137</v>
      </c>
      <c r="K127" s="45" t="n">
        <v>45337</v>
      </c>
      <c r="L127" s="0" t="n">
        <v>25.53216</v>
      </c>
      <c r="M127" s="0" t="n">
        <v>15.39516</v>
      </c>
      <c r="N127" s="0" t="n">
        <v>22.6502</v>
      </c>
      <c r="O127" s="0" t="n">
        <v>12.5132</v>
      </c>
      <c r="P127" s="0" t="s">
        <v>325</v>
      </c>
      <c r="Q127" s="0" t="s">
        <v>331</v>
      </c>
      <c r="R127" s="0" t="s">
        <v>568</v>
      </c>
      <c r="S127" s="0" t="n">
        <v>14.4288</v>
      </c>
      <c r="T127" s="0" t="n">
        <v>4.2918</v>
      </c>
      <c r="U127" s="0" t="s">
        <v>337</v>
      </c>
      <c r="V127" s="0" t="s">
        <v>436</v>
      </c>
      <c r="W127" s="0" t="n">
        <v>67.5</v>
      </c>
      <c r="X127" s="0" t="n">
        <v>57.363</v>
      </c>
      <c r="Y127" s="0" t="n">
        <v>38</v>
      </c>
      <c r="AB127" s="58" t="n">
        <f aca="false">M127-AA127</f>
        <v>15.39516</v>
      </c>
      <c r="AC127" s="58" t="n">
        <f aca="false">O127-AA127</f>
        <v>12.5132</v>
      </c>
      <c r="AD127" s="58" t="n">
        <f aca="false">AB127/L127%</f>
        <v>60.297131147541</v>
      </c>
      <c r="AE127" s="58" t="n">
        <f aca="false">AC127/N127%</f>
        <v>55.2454282964389</v>
      </c>
      <c r="AF127" s="58" t="n">
        <f aca="false">T127-AA127</f>
        <v>4.2918</v>
      </c>
      <c r="AG127" s="58" t="n">
        <f aca="false">AF127/S127%</f>
        <v>29.7446773120426</v>
      </c>
      <c r="AH127" s="58" t="n">
        <f aca="false">W127</f>
        <v>67.5</v>
      </c>
      <c r="AI127" s="58" t="n">
        <f aca="false">J127</f>
        <v>10.137</v>
      </c>
      <c r="AJ127" s="58" t="n">
        <f aca="false">AH127-AI127</f>
        <v>57.363</v>
      </c>
      <c r="AK127" s="58" t="n">
        <f aca="false">AA127</f>
        <v>0</v>
      </c>
      <c r="AL127" s="58" t="n">
        <f aca="false">AJ127-AK127</f>
        <v>57.363</v>
      </c>
      <c r="AM127" s="58" t="n">
        <f aca="false">AL127/AH127%</f>
        <v>84.9822222222222</v>
      </c>
      <c r="AN127" s="0" t="str">
        <f aca="false">IF(ISBLANK(Z127),"","Capped")</f>
        <v/>
      </c>
      <c r="AO127" s="0" t="s">
        <v>327</v>
      </c>
      <c r="AP127" s="0" t="str">
        <f aca="false">TRIM(BA127)</f>
        <v>DDm85-21</v>
      </c>
      <c r="AQ127" s="59" t="e">
        <f aca="false">_xlfn.xlookup(A127,'SYS Allocations'!A:A,'SYS Allocations'!B:B)</f>
        <v>#NAME?</v>
      </c>
      <c r="AR127" s="59" t="e">
        <f aca="false">_xlfn.xlookup(A127,'SYS Allocations'!A:A,'SYS Allocations'!C:C)</f>
        <v>#NAME?</v>
      </c>
      <c r="AS127" s="59" t="e">
        <f aca="false">_xlfn.xlookup(A127,'SYS Allocations'!A:A,'SYS Allocations'!D:D)</f>
        <v>#NAME?</v>
      </c>
      <c r="AT127" s="59" t="e">
        <f aca="false">_xlfn.xlookup(A127,'SYS Allocations'!A:A,'SYS Allocations'!E:E)</f>
        <v>#NAME?</v>
      </c>
      <c r="AU127" s="59" t="e">
        <f aca="false">_xlfn.xlookup(A127,'SYS Allocations'!A:A,'SYS Allocations'!F:F)</f>
        <v>#NAME?</v>
      </c>
      <c r="BA127" s="0" t="str">
        <f aca="false">IFERROR(LEFT(R127,FIND("(",R127,1)-1),R127)</f>
        <v>DDm85-21</v>
      </c>
    </row>
    <row r="128" customFormat="false" ht="13.15" hidden="false" customHeight="false" outlineLevel="0" collapsed="false">
      <c r="A128" s="20" t="s">
        <v>144</v>
      </c>
      <c r="B128" s="0" t="s">
        <v>342</v>
      </c>
      <c r="C128" s="0" t="s">
        <v>611</v>
      </c>
      <c r="D128" s="0" t="s">
        <v>319</v>
      </c>
      <c r="E128" s="0" t="s">
        <v>612</v>
      </c>
      <c r="F128" s="0" t="s">
        <v>321</v>
      </c>
      <c r="G128" s="0" t="n">
        <v>36.6</v>
      </c>
      <c r="H128" s="0" t="n">
        <v>45</v>
      </c>
      <c r="I128" s="0" t="n">
        <v>235</v>
      </c>
      <c r="J128" s="0" t="n">
        <v>12.8075</v>
      </c>
      <c r="K128" s="45" t="n">
        <v>45503</v>
      </c>
      <c r="L128" s="0" t="n">
        <v>70.21344</v>
      </c>
      <c r="M128" s="0" t="n">
        <v>57.40594</v>
      </c>
      <c r="N128" s="0" t="n">
        <v>55.0668</v>
      </c>
      <c r="O128" s="0" t="n">
        <v>42.2593</v>
      </c>
      <c r="P128" s="0" t="s">
        <v>322</v>
      </c>
      <c r="Q128" s="0" t="s">
        <v>331</v>
      </c>
      <c r="R128" s="0" t="s">
        <v>345</v>
      </c>
      <c r="S128" s="0" t="n">
        <v>53.3304</v>
      </c>
      <c r="T128" s="0" t="n">
        <v>40.5229</v>
      </c>
      <c r="U128" s="0" t="s">
        <v>337</v>
      </c>
      <c r="V128" s="0" t="s">
        <v>436</v>
      </c>
      <c r="W128" s="0" t="n">
        <v>67.5</v>
      </c>
      <c r="X128" s="0" t="n">
        <v>54.6925</v>
      </c>
      <c r="Y128" s="0" t="n">
        <v>235</v>
      </c>
      <c r="AB128" s="58" t="n">
        <f aca="false">M128-AA128</f>
        <v>57.40594</v>
      </c>
      <c r="AC128" s="58" t="n">
        <f aca="false">O128-AA128</f>
        <v>42.2593</v>
      </c>
      <c r="AD128" s="58" t="n">
        <f aca="false">AB128/L128%</f>
        <v>81.7591902632886</v>
      </c>
      <c r="AE128" s="58" t="n">
        <f aca="false">AC128/N128%</f>
        <v>76.7418844022169</v>
      </c>
      <c r="AF128" s="58" t="n">
        <f aca="false">T128-AA128</f>
        <v>40.5229</v>
      </c>
      <c r="AG128" s="58" t="n">
        <f aca="false">AF128/S128%</f>
        <v>75.984616653916</v>
      </c>
      <c r="AH128" s="58" t="n">
        <f aca="false">W128</f>
        <v>67.5</v>
      </c>
      <c r="AI128" s="58" t="n">
        <f aca="false">J128</f>
        <v>12.8075</v>
      </c>
      <c r="AJ128" s="58" t="n">
        <f aca="false">AH128-AI128</f>
        <v>54.6925</v>
      </c>
      <c r="AK128" s="58" t="n">
        <f aca="false">AA128</f>
        <v>0</v>
      </c>
      <c r="AL128" s="58" t="n">
        <f aca="false">AJ128-AK128</f>
        <v>54.6925</v>
      </c>
      <c r="AM128" s="58" t="n">
        <f aca="false">AL128/AH128%</f>
        <v>81.0259259259259</v>
      </c>
      <c r="AN128" s="0" t="str">
        <f aca="false">IF(ISBLANK(Z128),"","Capped")</f>
        <v/>
      </c>
      <c r="AO128" s="0" t="s">
        <v>327</v>
      </c>
      <c r="AP128" s="0" t="str">
        <f aca="false">TRIM(BA128)</f>
        <v>DDm125-33</v>
      </c>
      <c r="AQ128" s="59" t="e">
        <f aca="false">_xlfn.xlookup(A128,'SYS Allocations'!A:A,'SYS Allocations'!B:B)</f>
        <v>#NAME?</v>
      </c>
      <c r="AR128" s="59" t="e">
        <f aca="false">_xlfn.xlookup(A128,'SYS Allocations'!A:A,'SYS Allocations'!C:C)</f>
        <v>#NAME?</v>
      </c>
      <c r="AS128" s="59" t="e">
        <f aca="false">_xlfn.xlookup(A128,'SYS Allocations'!A:A,'SYS Allocations'!D:D)</f>
        <v>#NAME?</v>
      </c>
      <c r="AT128" s="59" t="e">
        <f aca="false">_xlfn.xlookup(A128,'SYS Allocations'!A:A,'SYS Allocations'!E:E)</f>
        <v>#NAME?</v>
      </c>
      <c r="AU128" s="59" t="e">
        <f aca="false">_xlfn.xlookup(A128,'SYS Allocations'!A:A,'SYS Allocations'!F:F)</f>
        <v>#NAME?</v>
      </c>
      <c r="BA128" s="0" t="str">
        <f aca="false">IFERROR(LEFT(R128,FIND("(",R128,1)-1),R128)</f>
        <v>DDm125-33</v>
      </c>
    </row>
    <row r="129" customFormat="false" ht="13.15" hidden="false" customHeight="false" outlineLevel="0" collapsed="false">
      <c r="A129" s="20" t="s">
        <v>145</v>
      </c>
      <c r="B129" s="0" t="s">
        <v>394</v>
      </c>
      <c r="C129" s="0" t="s">
        <v>613</v>
      </c>
      <c r="D129" s="0" t="s">
        <v>319</v>
      </c>
      <c r="E129" s="0" t="s">
        <v>614</v>
      </c>
      <c r="F129" s="0" t="s">
        <v>364</v>
      </c>
      <c r="G129" s="0" t="n">
        <v>75</v>
      </c>
      <c r="H129" s="0" t="n">
        <v>5</v>
      </c>
      <c r="I129" s="0" t="n">
        <v>62</v>
      </c>
      <c r="J129" s="0" t="n">
        <v>3.379</v>
      </c>
      <c r="K129" s="45" t="n">
        <v>45419</v>
      </c>
      <c r="L129" s="0" t="n">
        <v>13.08</v>
      </c>
      <c r="M129" s="0" t="n">
        <v>9.701</v>
      </c>
      <c r="N129" s="0" t="n">
        <v>9.8645</v>
      </c>
      <c r="O129" s="0" t="n">
        <v>6.4855</v>
      </c>
      <c r="P129" s="0" t="s">
        <v>325</v>
      </c>
      <c r="Q129" s="0" t="s">
        <v>331</v>
      </c>
      <c r="R129" s="0" t="s">
        <v>365</v>
      </c>
      <c r="S129" s="0" t="n">
        <v>10.1088</v>
      </c>
      <c r="T129" s="0" t="n">
        <v>6.72979999999998</v>
      </c>
      <c r="U129" s="0" t="s">
        <v>325</v>
      </c>
      <c r="V129" s="0" t="s">
        <v>428</v>
      </c>
      <c r="W129" s="0" t="n">
        <v>9</v>
      </c>
      <c r="X129" s="0" t="n">
        <v>5.621</v>
      </c>
      <c r="Y129" s="0" t="n">
        <v>4</v>
      </c>
      <c r="AB129" s="58" t="n">
        <f aca="false">M129-AA129</f>
        <v>9.701</v>
      </c>
      <c r="AC129" s="58" t="n">
        <f aca="false">O129-AA129</f>
        <v>6.4855</v>
      </c>
      <c r="AD129" s="58" t="n">
        <f aca="false">AB129/L129%</f>
        <v>74.1666666666667</v>
      </c>
      <c r="AE129" s="58" t="n">
        <f aca="false">AC129/N129%</f>
        <v>65.7458563535912</v>
      </c>
      <c r="AF129" s="58" t="n">
        <f aca="false">T129-AA129</f>
        <v>6.72979999999998</v>
      </c>
      <c r="AG129" s="58" t="n">
        <f aca="false">AF129/S129%</f>
        <v>66.5736783792337</v>
      </c>
      <c r="AH129" s="58" t="n">
        <f aca="false">W129</f>
        <v>9</v>
      </c>
      <c r="AI129" s="58" t="n">
        <f aca="false">J129</f>
        <v>3.379</v>
      </c>
      <c r="AJ129" s="58" t="n">
        <f aca="false">AH129-AI129</f>
        <v>5.621</v>
      </c>
      <c r="AK129" s="58" t="n">
        <f aca="false">AA129</f>
        <v>0</v>
      </c>
      <c r="AL129" s="58" t="n">
        <f aca="false">AJ129-AK129</f>
        <v>5.621</v>
      </c>
      <c r="AM129" s="58" t="n">
        <f aca="false">AL129/AH129%</f>
        <v>62.4555555555556</v>
      </c>
      <c r="AN129" s="0" t="str">
        <f aca="false">IF(ISBLANK(Z129),"","Capped")</f>
        <v/>
      </c>
      <c r="AO129" s="0" t="s">
        <v>327</v>
      </c>
      <c r="AP129" s="0" t="str">
        <f aca="false">TRIM(BA129)</f>
        <v>2DDm85-15</v>
      </c>
      <c r="AQ129" s="59" t="e">
        <f aca="false">_xlfn.xlookup(A129,'SYS Allocations'!A:A,'SYS Allocations'!B:B)</f>
        <v>#NAME?</v>
      </c>
      <c r="AR129" s="59" t="e">
        <f aca="false">_xlfn.xlookup(A129,'SYS Allocations'!A:A,'SYS Allocations'!C:C)</f>
        <v>#NAME?</v>
      </c>
      <c r="AS129" s="59" t="e">
        <f aca="false">_xlfn.xlookup(A129,'SYS Allocations'!A:A,'SYS Allocations'!D:D)</f>
        <v>#NAME?</v>
      </c>
      <c r="AT129" s="59" t="e">
        <f aca="false">_xlfn.xlookup(A129,'SYS Allocations'!A:A,'SYS Allocations'!E:E)</f>
        <v>#NAME?</v>
      </c>
      <c r="AU129" s="59" t="e">
        <f aca="false">_xlfn.xlookup(A129,'SYS Allocations'!A:A,'SYS Allocations'!F:F)</f>
        <v>#NAME?</v>
      </c>
      <c r="BA129" s="0" t="str">
        <f aca="false">IFERROR(LEFT(R129,FIND("(",R129,1)-1),R129)</f>
        <v>2DDm85-15</v>
      </c>
    </row>
    <row r="130" customFormat="false" ht="13.15" hidden="false" customHeight="false" outlineLevel="0" collapsed="false">
      <c r="A130" s="20" t="s">
        <v>146</v>
      </c>
      <c r="B130" s="0" t="s">
        <v>342</v>
      </c>
      <c r="C130" s="0" t="s">
        <v>342</v>
      </c>
      <c r="D130" s="0" t="s">
        <v>390</v>
      </c>
      <c r="E130" s="0" t="s">
        <v>615</v>
      </c>
      <c r="F130" s="0" t="s">
        <v>321</v>
      </c>
      <c r="G130" s="0" t="n">
        <v>36.6</v>
      </c>
      <c r="H130" s="0" t="n">
        <v>40</v>
      </c>
      <c r="I130" s="0" t="n">
        <v>647</v>
      </c>
      <c r="J130" s="0" t="n">
        <v>35.2615</v>
      </c>
      <c r="K130" s="45" t="n">
        <v>45659</v>
      </c>
      <c r="L130" s="0" t="n">
        <v>62.23464</v>
      </c>
      <c r="M130" s="0" t="n">
        <v>26.97314</v>
      </c>
      <c r="N130" s="0" t="n">
        <v>45.0933</v>
      </c>
      <c r="O130" s="0" t="n">
        <v>9.8318</v>
      </c>
      <c r="P130" s="0" t="s">
        <v>322</v>
      </c>
      <c r="Q130" s="0" t="s">
        <v>331</v>
      </c>
      <c r="R130" s="0" t="s">
        <v>345</v>
      </c>
      <c r="S130" s="0" t="n">
        <v>53.3304</v>
      </c>
      <c r="T130" s="0" t="n">
        <v>18.0689</v>
      </c>
      <c r="U130" s="0" t="s">
        <v>322</v>
      </c>
      <c r="V130" s="0" t="s">
        <v>616</v>
      </c>
      <c r="W130" s="0" t="n">
        <v>73.5</v>
      </c>
      <c r="X130" s="0" t="n">
        <v>38.2385</v>
      </c>
      <c r="Y130" s="0" t="n">
        <v>119</v>
      </c>
      <c r="Z130" s="0" t="s">
        <v>617</v>
      </c>
      <c r="AB130" s="58" t="n">
        <f aca="false">M130-AA130</f>
        <v>26.97314</v>
      </c>
      <c r="AC130" s="58" t="n">
        <f aca="false">O130-AA130</f>
        <v>9.8318</v>
      </c>
      <c r="AD130" s="58" t="n">
        <f aca="false">AB130/L130%</f>
        <v>43.3410396525151</v>
      </c>
      <c r="AE130" s="58" t="n">
        <f aca="false">AC130/N130%</f>
        <v>21.8032390621223</v>
      </c>
      <c r="AF130" s="58" t="n">
        <f aca="false">T130-AA130</f>
        <v>18.0689</v>
      </c>
      <c r="AG130" s="58" t="n">
        <f aca="false">AF130/S130%</f>
        <v>33.8810509578027</v>
      </c>
      <c r="AH130" s="58" t="n">
        <f aca="false">W130</f>
        <v>73.5</v>
      </c>
      <c r="AI130" s="58" t="n">
        <f aca="false">J130</f>
        <v>35.2615</v>
      </c>
      <c r="AJ130" s="58" t="n">
        <f aca="false">AH130-AI130</f>
        <v>38.2385</v>
      </c>
      <c r="AK130" s="58" t="n">
        <f aca="false">AA130</f>
        <v>0</v>
      </c>
      <c r="AL130" s="58" t="n">
        <f aca="false">AJ130-AK130</f>
        <v>38.2385</v>
      </c>
      <c r="AM130" s="58" t="n">
        <f aca="false">AL130/AH130%</f>
        <v>52.0251700680272</v>
      </c>
      <c r="AN130" s="0" t="str">
        <f aca="false">IF(ISBLANK(Z130),"","Capped")</f>
        <v>Capped</v>
      </c>
      <c r="AO130" s="0" t="s">
        <v>327</v>
      </c>
      <c r="AP130" s="0" t="str">
        <f aca="false">TRIM(BA130)</f>
        <v>DDm125-33</v>
      </c>
      <c r="AQ130" s="59" t="e">
        <f aca="false">_xlfn.xlookup(A130,'SYS Allocations'!A:A,'SYS Allocations'!B:B)</f>
        <v>#NAME?</v>
      </c>
      <c r="AR130" s="59" t="e">
        <f aca="false">_xlfn.xlookup(A130,'SYS Allocations'!A:A,'SYS Allocations'!C:C)</f>
        <v>#NAME?</v>
      </c>
      <c r="AS130" s="59" t="e">
        <f aca="false">_xlfn.xlookup(A130,'SYS Allocations'!A:A,'SYS Allocations'!D:D)</f>
        <v>#NAME?</v>
      </c>
      <c r="AT130" s="59" t="e">
        <f aca="false">_xlfn.xlookup(A130,'SYS Allocations'!A:A,'SYS Allocations'!E:E)</f>
        <v>#NAME?</v>
      </c>
      <c r="AU130" s="59" t="e">
        <f aca="false">_xlfn.xlookup(A130,'SYS Allocations'!A:A,'SYS Allocations'!F:F)</f>
        <v>#NAME?</v>
      </c>
      <c r="BA130" s="0" t="str">
        <f aca="false">IFERROR(LEFT(R130,FIND("(",R130,1)-1),R130)</f>
        <v>DDm125-33</v>
      </c>
    </row>
    <row r="131" customFormat="false" ht="13.15" hidden="false" customHeight="false" outlineLevel="0" collapsed="false">
      <c r="A131" s="20" t="s">
        <v>147</v>
      </c>
      <c r="B131" s="0" t="s">
        <v>328</v>
      </c>
      <c r="C131" s="0" t="s">
        <v>618</v>
      </c>
      <c r="D131" s="0" t="s">
        <v>319</v>
      </c>
      <c r="E131" s="0" t="s">
        <v>619</v>
      </c>
      <c r="F131" s="0" t="s">
        <v>321</v>
      </c>
      <c r="G131" s="0" t="n">
        <v>36.6</v>
      </c>
      <c r="H131" s="0" t="n">
        <v>17</v>
      </c>
      <c r="I131" s="0" t="n">
        <v>135</v>
      </c>
      <c r="J131" s="0" t="n">
        <v>7.3575</v>
      </c>
      <c r="K131" s="45" t="n">
        <v>45659</v>
      </c>
      <c r="L131" s="0" t="n">
        <v>25.53216</v>
      </c>
      <c r="M131" s="0" t="n">
        <v>18.17466</v>
      </c>
      <c r="N131" s="0" t="n">
        <v>18.9442</v>
      </c>
      <c r="O131" s="0" t="n">
        <v>11.5867</v>
      </c>
      <c r="P131" s="0" t="s">
        <v>337</v>
      </c>
      <c r="Q131" s="0" t="s">
        <v>331</v>
      </c>
      <c r="R131" s="0" t="s">
        <v>365</v>
      </c>
      <c r="S131" s="0" t="n">
        <v>20.2176</v>
      </c>
      <c r="T131" s="0" t="n">
        <v>12.8601</v>
      </c>
      <c r="U131" s="0" t="s">
        <v>325</v>
      </c>
      <c r="V131" s="0" t="s">
        <v>442</v>
      </c>
      <c r="W131" s="0" t="n">
        <v>11.25</v>
      </c>
      <c r="X131" s="0" t="n">
        <v>3.8925</v>
      </c>
      <c r="Y131" s="0" t="n">
        <v>29</v>
      </c>
      <c r="AB131" s="58" t="n">
        <f aca="false">M131-AA131</f>
        <v>18.17466</v>
      </c>
      <c r="AC131" s="58" t="n">
        <f aca="false">O131-AA131</f>
        <v>11.5867</v>
      </c>
      <c r="AD131" s="58" t="n">
        <f aca="false">AB131/L131%</f>
        <v>71.1834016393443</v>
      </c>
      <c r="AE131" s="58" t="n">
        <f aca="false">AC131/N131%</f>
        <v>61.1622554660529</v>
      </c>
      <c r="AF131" s="58" t="n">
        <f aca="false">T131-AA131</f>
        <v>12.8601</v>
      </c>
      <c r="AG131" s="58" t="n">
        <f aca="false">AF131/S131%</f>
        <v>63.6084401709402</v>
      </c>
      <c r="AH131" s="58" t="n">
        <f aca="false">W131</f>
        <v>11.25</v>
      </c>
      <c r="AI131" s="58" t="n">
        <f aca="false">J131</f>
        <v>7.3575</v>
      </c>
      <c r="AJ131" s="58" t="n">
        <f aca="false">AH131-AI131</f>
        <v>3.8925</v>
      </c>
      <c r="AK131" s="58" t="n">
        <f aca="false">AA131</f>
        <v>0</v>
      </c>
      <c r="AL131" s="58" t="n">
        <f aca="false">AJ131-AK131</f>
        <v>3.8925</v>
      </c>
      <c r="AM131" s="58" t="n">
        <f aca="false">AL131/AH131%</f>
        <v>34.6</v>
      </c>
      <c r="AN131" s="0" t="str">
        <f aca="false">IF(ISBLANK(Z131),"","Capped")</f>
        <v/>
      </c>
      <c r="AO131" s="0" t="s">
        <v>327</v>
      </c>
      <c r="AP131" s="0" t="str">
        <f aca="false">TRIM(BA131)</f>
        <v>2DDm85-15</v>
      </c>
      <c r="AQ131" s="59" t="e">
        <f aca="false">_xlfn.xlookup(A131,'SYS Allocations'!A:A,'SYS Allocations'!B:B)</f>
        <v>#NAME?</v>
      </c>
      <c r="AR131" s="59" t="e">
        <f aca="false">_xlfn.xlookup(A131,'SYS Allocations'!A:A,'SYS Allocations'!C:C)</f>
        <v>#NAME?</v>
      </c>
      <c r="AS131" s="59" t="e">
        <f aca="false">_xlfn.xlookup(A131,'SYS Allocations'!A:A,'SYS Allocations'!D:D)</f>
        <v>#NAME?</v>
      </c>
      <c r="AT131" s="59" t="e">
        <f aca="false">_xlfn.xlookup(A131,'SYS Allocations'!A:A,'SYS Allocations'!E:E)</f>
        <v>#NAME?</v>
      </c>
      <c r="AU131" s="59" t="e">
        <f aca="false">_xlfn.xlookup(A131,'SYS Allocations'!A:A,'SYS Allocations'!F:F)</f>
        <v>#NAME?</v>
      </c>
      <c r="BA131" s="0" t="str">
        <f aca="false">IFERROR(LEFT(R131,FIND("(",R131,1)-1),R131)</f>
        <v>2DDm85-15</v>
      </c>
    </row>
    <row r="132" customFormat="false" ht="13.15" hidden="false" customHeight="false" outlineLevel="0" collapsed="false">
      <c r="A132" s="20" t="s">
        <v>148</v>
      </c>
      <c r="B132" s="0" t="s">
        <v>328</v>
      </c>
      <c r="C132" s="0" t="s">
        <v>618</v>
      </c>
      <c r="D132" s="0" t="s">
        <v>390</v>
      </c>
      <c r="E132" s="0" t="s">
        <v>620</v>
      </c>
      <c r="F132" s="0" t="s">
        <v>321</v>
      </c>
      <c r="G132" s="0" t="n">
        <v>36.6</v>
      </c>
      <c r="H132" s="0" t="n">
        <v>9</v>
      </c>
      <c r="I132" s="0" t="n">
        <v>109</v>
      </c>
      <c r="J132" s="0" t="n">
        <v>5.9405</v>
      </c>
      <c r="K132" s="45" t="n">
        <v>45659</v>
      </c>
      <c r="L132" s="0" t="n">
        <v>12.76608</v>
      </c>
      <c r="M132" s="0" t="n">
        <v>6.82558</v>
      </c>
      <c r="N132" s="0" t="n">
        <v>10.333199564</v>
      </c>
      <c r="O132" s="0" t="n">
        <v>4.392699564</v>
      </c>
      <c r="P132" s="0" t="s">
        <v>446</v>
      </c>
      <c r="Q132" s="0" t="s">
        <v>352</v>
      </c>
      <c r="R132" s="0" t="s">
        <v>359</v>
      </c>
      <c r="S132" s="0" t="n">
        <v>11.232</v>
      </c>
      <c r="T132" s="0" t="n">
        <v>5.2915</v>
      </c>
      <c r="U132" s="0" t="s">
        <v>325</v>
      </c>
      <c r="V132" s="0" t="s">
        <v>512</v>
      </c>
      <c r="W132" s="0" t="n">
        <v>10.5</v>
      </c>
      <c r="X132" s="0" t="n">
        <v>4.5595</v>
      </c>
      <c r="Y132" s="0" t="n">
        <v>1</v>
      </c>
      <c r="Z132" s="0" t="s">
        <v>621</v>
      </c>
      <c r="AB132" s="58" t="n">
        <f aca="false">M132-AA132</f>
        <v>6.82558</v>
      </c>
      <c r="AC132" s="58" t="n">
        <f aca="false">O132-AA132</f>
        <v>4.392699564</v>
      </c>
      <c r="AD132" s="58" t="n">
        <f aca="false">AB132/L132%</f>
        <v>53.4665300546448</v>
      </c>
      <c r="AE132" s="58" t="n">
        <f aca="false">AC132/N132%</f>
        <v>42.5105460974914</v>
      </c>
      <c r="AF132" s="58" t="n">
        <f aca="false">T132-AA132</f>
        <v>5.2915</v>
      </c>
      <c r="AG132" s="58" t="n">
        <f aca="false">AF132/S132%</f>
        <v>47.1109330484331</v>
      </c>
      <c r="AH132" s="58" t="n">
        <f aca="false">W132</f>
        <v>10.5</v>
      </c>
      <c r="AI132" s="58" t="n">
        <f aca="false">J132</f>
        <v>5.9405</v>
      </c>
      <c r="AJ132" s="58" t="n">
        <f aca="false">AH132-AI132</f>
        <v>4.5595</v>
      </c>
      <c r="AK132" s="58" t="n">
        <f aca="false">AA132</f>
        <v>0</v>
      </c>
      <c r="AL132" s="58" t="n">
        <f aca="false">AJ132-AK132</f>
        <v>4.5595</v>
      </c>
      <c r="AM132" s="58" t="n">
        <f aca="false">AL132/AH132%</f>
        <v>43.4238095238095</v>
      </c>
      <c r="AN132" s="0" t="str">
        <f aca="false">IF(ISBLANK(Z132),"","Capped")</f>
        <v>Capped</v>
      </c>
      <c r="AO132" s="0" t="s">
        <v>327</v>
      </c>
      <c r="AP132" s="0" t="str">
        <f aca="false">TRIM(BA132)</f>
        <v>12V155F</v>
      </c>
      <c r="AQ132" s="59" t="e">
        <f aca="false">_xlfn.xlookup(A132,'SYS Allocations'!A:A,'SYS Allocations'!B:B)</f>
        <v>#NAME?</v>
      </c>
      <c r="AR132" s="59" t="e">
        <f aca="false">_xlfn.xlookup(A132,'SYS Allocations'!A:A,'SYS Allocations'!C:C)</f>
        <v>#NAME?</v>
      </c>
      <c r="AS132" s="59" t="e">
        <f aca="false">_xlfn.xlookup(A132,'SYS Allocations'!A:A,'SYS Allocations'!D:D)</f>
        <v>#NAME?</v>
      </c>
      <c r="AT132" s="59" t="e">
        <f aca="false">_xlfn.xlookup(A132,'SYS Allocations'!A:A,'SYS Allocations'!E:E)</f>
        <v>#NAME?</v>
      </c>
      <c r="AU132" s="59" t="e">
        <f aca="false">_xlfn.xlookup(A132,'SYS Allocations'!A:A,'SYS Allocations'!F:F)</f>
        <v>#NAME?</v>
      </c>
      <c r="BA132" s="0" t="str">
        <f aca="false">IFERROR(LEFT(R132,FIND("(",R132,1)-1),R132)</f>
        <v>12V155F</v>
      </c>
    </row>
    <row r="133" customFormat="false" ht="13.15" hidden="false" customHeight="false" outlineLevel="0" collapsed="false">
      <c r="A133" s="20" t="s">
        <v>149</v>
      </c>
      <c r="B133" s="0" t="s">
        <v>342</v>
      </c>
      <c r="C133" s="0" t="s">
        <v>342</v>
      </c>
      <c r="D133" s="0" t="s">
        <v>319</v>
      </c>
      <c r="E133" s="0" t="s">
        <v>622</v>
      </c>
      <c r="F133" s="0" t="s">
        <v>383</v>
      </c>
      <c r="G133" s="0" t="n">
        <v>55</v>
      </c>
      <c r="H133" s="0" t="n">
        <v>20</v>
      </c>
      <c r="I133" s="0" t="n">
        <v>577</v>
      </c>
      <c r="J133" s="0" t="n">
        <v>31.4465</v>
      </c>
      <c r="K133" s="45" t="n">
        <v>45295</v>
      </c>
      <c r="L133" s="0" t="n">
        <v>45.562</v>
      </c>
      <c r="M133" s="0" t="n">
        <v>14.1155</v>
      </c>
      <c r="N133" s="0" t="n">
        <v>35.1525</v>
      </c>
      <c r="O133" s="0" t="n">
        <v>3.706</v>
      </c>
      <c r="P133" s="0" t="s">
        <v>325</v>
      </c>
      <c r="Q133" s="0" t="s">
        <v>331</v>
      </c>
      <c r="R133" s="0" t="s">
        <v>345</v>
      </c>
      <c r="S133" s="0" t="n">
        <v>35.5536</v>
      </c>
      <c r="T133" s="0" t="n">
        <v>4.1071</v>
      </c>
      <c r="U133" s="0" t="s">
        <v>322</v>
      </c>
      <c r="V133" s="0" t="s">
        <v>542</v>
      </c>
      <c r="W133" s="0" t="n">
        <v>150</v>
      </c>
      <c r="X133" s="0" t="n">
        <v>118.5535</v>
      </c>
      <c r="Y133" s="0" t="n">
        <v>16</v>
      </c>
      <c r="AB133" s="58" t="n">
        <f aca="false">M133-AA133</f>
        <v>14.1155</v>
      </c>
      <c r="AC133" s="58" t="n">
        <f aca="false">O133-AA133</f>
        <v>3.706</v>
      </c>
      <c r="AD133" s="58" t="n">
        <f aca="false">AB133/L133%</f>
        <v>30.9808612440191</v>
      </c>
      <c r="AE133" s="58" t="n">
        <f aca="false">AC133/N133%</f>
        <v>10.5426356589147</v>
      </c>
      <c r="AF133" s="58" t="n">
        <f aca="false">T133-AA133</f>
        <v>4.1071</v>
      </c>
      <c r="AG133" s="58" t="n">
        <f aca="false">AF133/S133%</f>
        <v>11.5518541019756</v>
      </c>
      <c r="AH133" s="58" t="n">
        <f aca="false">W133</f>
        <v>150</v>
      </c>
      <c r="AI133" s="58" t="n">
        <f aca="false">J133</f>
        <v>31.4465</v>
      </c>
      <c r="AJ133" s="58" t="n">
        <f aca="false">AH133-AI133</f>
        <v>118.5535</v>
      </c>
      <c r="AK133" s="58" t="n">
        <f aca="false">AA133</f>
        <v>0</v>
      </c>
      <c r="AL133" s="58" t="n">
        <f aca="false">AJ133-AK133</f>
        <v>118.5535</v>
      </c>
      <c r="AM133" s="58" t="n">
        <f aca="false">AL133/AH133%</f>
        <v>79.0356666666667</v>
      </c>
      <c r="AN133" s="0" t="str">
        <f aca="false">IF(ISBLANK(Z133),"","Capped")</f>
        <v/>
      </c>
      <c r="AO133" s="0" t="s">
        <v>327</v>
      </c>
      <c r="AP133" s="0" t="str">
        <f aca="false">TRIM(BA133)</f>
        <v>DDm125-33</v>
      </c>
      <c r="AQ133" s="59" t="e">
        <f aca="false">_xlfn.xlookup(A133,'SYS Allocations'!A:A,'SYS Allocations'!B:B)</f>
        <v>#NAME?</v>
      </c>
      <c r="AR133" s="59" t="e">
        <f aca="false">_xlfn.xlookup(A133,'SYS Allocations'!A:A,'SYS Allocations'!C:C)</f>
        <v>#NAME?</v>
      </c>
      <c r="AS133" s="59" t="e">
        <f aca="false">_xlfn.xlookup(A133,'SYS Allocations'!A:A,'SYS Allocations'!D:D)</f>
        <v>#NAME?</v>
      </c>
      <c r="AT133" s="59" t="e">
        <f aca="false">_xlfn.xlookup(A133,'SYS Allocations'!A:A,'SYS Allocations'!E:E)</f>
        <v>#NAME?</v>
      </c>
      <c r="AU133" s="59" t="e">
        <f aca="false">_xlfn.xlookup(A133,'SYS Allocations'!A:A,'SYS Allocations'!F:F)</f>
        <v>#NAME?</v>
      </c>
      <c r="BA133" s="0" t="str">
        <f aca="false">IFERROR(LEFT(R133,FIND("(",R133,1)-1),R133)</f>
        <v>DDm125-33</v>
      </c>
    </row>
    <row r="134" customFormat="false" ht="13.15" hidden="false" customHeight="false" outlineLevel="0" collapsed="false">
      <c r="A134" s="20" t="s">
        <v>150</v>
      </c>
      <c r="B134" s="0" t="s">
        <v>342</v>
      </c>
      <c r="C134" s="0" t="s">
        <v>342</v>
      </c>
      <c r="D134" s="0" t="s">
        <v>319</v>
      </c>
      <c r="E134" s="0" t="s">
        <v>623</v>
      </c>
      <c r="F134" s="0" t="s">
        <v>321</v>
      </c>
      <c r="G134" s="0" t="n">
        <v>36.6</v>
      </c>
      <c r="H134" s="0" t="n">
        <v>42</v>
      </c>
      <c r="I134" s="0" t="n">
        <v>529</v>
      </c>
      <c r="J134" s="0" t="n">
        <v>28.8305</v>
      </c>
      <c r="K134" s="45" t="n">
        <v>45475</v>
      </c>
      <c r="L134" s="0" t="n">
        <v>65.42616</v>
      </c>
      <c r="M134" s="0" t="n">
        <v>36.59566</v>
      </c>
      <c r="N134" s="0" t="n">
        <v>51.2082</v>
      </c>
      <c r="O134" s="0" t="n">
        <v>22.3777</v>
      </c>
      <c r="P134" s="0" t="s">
        <v>322</v>
      </c>
      <c r="Q134" s="0" t="s">
        <v>331</v>
      </c>
      <c r="R134" s="0" t="s">
        <v>624</v>
      </c>
      <c r="S134" s="0" t="n">
        <v>49.248</v>
      </c>
      <c r="T134" s="0" t="n">
        <v>20.4175</v>
      </c>
      <c r="U134" s="0" t="s">
        <v>337</v>
      </c>
      <c r="V134" s="0" t="s">
        <v>625</v>
      </c>
      <c r="W134" s="0" t="n">
        <v>60.75</v>
      </c>
      <c r="X134" s="0" t="n">
        <v>31.9195</v>
      </c>
      <c r="Y134" s="0" t="n">
        <v>3</v>
      </c>
      <c r="AB134" s="58" t="n">
        <f aca="false">M134-AA134</f>
        <v>36.59566</v>
      </c>
      <c r="AC134" s="58" t="n">
        <f aca="false">O134-AA134</f>
        <v>22.3777</v>
      </c>
      <c r="AD134" s="58" t="n">
        <f aca="false">AB134/L134%</f>
        <v>55.9342929494869</v>
      </c>
      <c r="AE134" s="58" t="n">
        <f aca="false">AC134/N134%</f>
        <v>43.6994465730098</v>
      </c>
      <c r="AF134" s="58" t="n">
        <f aca="false">T134-AA134</f>
        <v>20.4175</v>
      </c>
      <c r="AG134" s="58" t="n">
        <f aca="false">AF134/S134%</f>
        <v>41.4585363872645</v>
      </c>
      <c r="AH134" s="58" t="n">
        <f aca="false">W134</f>
        <v>60.75</v>
      </c>
      <c r="AI134" s="58" t="n">
        <f aca="false">J134</f>
        <v>28.8305</v>
      </c>
      <c r="AJ134" s="58" t="n">
        <f aca="false">AH134-AI134</f>
        <v>31.9195</v>
      </c>
      <c r="AK134" s="58" t="n">
        <f aca="false">AA134</f>
        <v>0</v>
      </c>
      <c r="AL134" s="58" t="n">
        <f aca="false">AJ134-AK134</f>
        <v>31.9195</v>
      </c>
      <c r="AM134" s="58" t="n">
        <f aca="false">AL134/AH134%</f>
        <v>52.5423868312757</v>
      </c>
      <c r="AN134" s="0" t="str">
        <f aca="false">IF(ISBLANK(Z134),"","Capped")</f>
        <v/>
      </c>
      <c r="AO134" s="0" t="s">
        <v>327</v>
      </c>
      <c r="AP134" s="0" t="str">
        <f aca="false">TRIM(BA134)</f>
        <v>SBS EON 1800</v>
      </c>
      <c r="AQ134" s="59"/>
      <c r="AR134" s="59"/>
      <c r="AS134" s="59"/>
      <c r="AT134" s="59"/>
      <c r="AU134" s="59" t="e">
        <f aca="false">_xlfn.xlookup(A134,'SYS Allocations'!A:A,'SYS Allocations'!F:F)</f>
        <v>#NAME?</v>
      </c>
      <c r="BA134" s="0" t="str">
        <f aca="false">IFERROR(LEFT(R134,FIND("(",R134,1)-1),R134)</f>
        <v>SBS EON 1800</v>
      </c>
    </row>
    <row r="135" customFormat="false" ht="13.15" hidden="false" customHeight="false" outlineLevel="0" collapsed="false">
      <c r="A135" s="20" t="s">
        <v>151</v>
      </c>
      <c r="B135" s="0" t="s">
        <v>317</v>
      </c>
      <c r="C135" s="0" t="s">
        <v>626</v>
      </c>
      <c r="D135" s="0" t="s">
        <v>319</v>
      </c>
      <c r="E135" s="0" t="s">
        <v>627</v>
      </c>
      <c r="F135" s="0" t="s">
        <v>321</v>
      </c>
      <c r="G135" s="0" t="n">
        <v>36.6</v>
      </c>
      <c r="H135" s="0" t="n">
        <v>26</v>
      </c>
      <c r="I135" s="0" t="n">
        <v>272</v>
      </c>
      <c r="J135" s="0" t="n">
        <v>14.824</v>
      </c>
      <c r="K135" s="45" t="n">
        <v>45350</v>
      </c>
      <c r="L135" s="0" t="n">
        <v>39.894</v>
      </c>
      <c r="M135" s="0" t="n">
        <v>25.07</v>
      </c>
      <c r="N135" s="0" t="n">
        <v>28.0675</v>
      </c>
      <c r="O135" s="0" t="n">
        <v>13.2435</v>
      </c>
      <c r="P135" s="0" t="s">
        <v>325</v>
      </c>
      <c r="Q135" s="0" t="s">
        <v>331</v>
      </c>
      <c r="R135" s="0" t="s">
        <v>345</v>
      </c>
      <c r="S135" s="0" t="n">
        <v>35.5536</v>
      </c>
      <c r="T135" s="0" t="n">
        <v>20.7296</v>
      </c>
      <c r="U135" s="0" t="s">
        <v>322</v>
      </c>
      <c r="V135" s="0" t="s">
        <v>333</v>
      </c>
      <c r="W135" s="0" t="n">
        <v>22.5</v>
      </c>
      <c r="X135" s="0" t="n">
        <v>7.676</v>
      </c>
      <c r="Y135" s="0" t="n">
        <v>98</v>
      </c>
      <c r="AB135" s="58" t="n">
        <f aca="false">M135-AA135</f>
        <v>25.07</v>
      </c>
      <c r="AC135" s="58" t="n">
        <f aca="false">O135-AA135</f>
        <v>13.2435</v>
      </c>
      <c r="AD135" s="58" t="n">
        <f aca="false">AB135/L135%</f>
        <v>62.8415300546448</v>
      </c>
      <c r="AE135" s="58" t="n">
        <f aca="false">AC135/N135%</f>
        <v>47.1844660194175</v>
      </c>
      <c r="AF135" s="58" t="n">
        <f aca="false">T135-AA135</f>
        <v>20.7296</v>
      </c>
      <c r="AG135" s="58" t="n">
        <f aca="false">AF135/S135%</f>
        <v>58.3052067863733</v>
      </c>
      <c r="AH135" s="58" t="n">
        <f aca="false">W135</f>
        <v>22.5</v>
      </c>
      <c r="AI135" s="58" t="n">
        <f aca="false">J135</f>
        <v>14.824</v>
      </c>
      <c r="AJ135" s="58" t="n">
        <f aca="false">AH135-AI135</f>
        <v>7.676</v>
      </c>
      <c r="AK135" s="58" t="n">
        <f aca="false">AA135</f>
        <v>0</v>
      </c>
      <c r="AL135" s="58" t="n">
        <f aca="false">AJ135-AK135</f>
        <v>7.676</v>
      </c>
      <c r="AM135" s="58" t="n">
        <f aca="false">AL135/AH135%</f>
        <v>34.1155555555556</v>
      </c>
      <c r="AN135" s="0" t="str">
        <f aca="false">IF(ISBLANK(Z135),"","Capped")</f>
        <v/>
      </c>
      <c r="AO135" s="0" t="s">
        <v>327</v>
      </c>
      <c r="AP135" s="0" t="str">
        <f aca="false">TRIM(BA135)</f>
        <v>DDm125-33</v>
      </c>
      <c r="AQ135" s="59" t="e">
        <f aca="false">_xlfn.xlookup(A135,'SYS Allocations'!A:A,'SYS Allocations'!B:B)</f>
        <v>#NAME?</v>
      </c>
      <c r="AR135" s="59" t="e">
        <f aca="false">_xlfn.xlookup(A135,'SYS Allocations'!A:A,'SYS Allocations'!C:C)</f>
        <v>#NAME?</v>
      </c>
      <c r="AS135" s="59" t="e">
        <f aca="false">_xlfn.xlookup(A135,'SYS Allocations'!A:A,'SYS Allocations'!D:D)</f>
        <v>#NAME?</v>
      </c>
      <c r="AT135" s="59" t="e">
        <f aca="false">_xlfn.xlookup(A135,'SYS Allocations'!A:A,'SYS Allocations'!E:E)</f>
        <v>#NAME?</v>
      </c>
      <c r="AU135" s="59" t="e">
        <f aca="false">_xlfn.xlookup(A135,'SYS Allocations'!A:A,'SYS Allocations'!F:F)</f>
        <v>#NAME?</v>
      </c>
      <c r="BA135" s="0" t="str">
        <f aca="false">IFERROR(LEFT(R135,FIND("(",R135,1)-1),R135)</f>
        <v>DDm125-33</v>
      </c>
    </row>
    <row r="136" customFormat="false" ht="13.15" hidden="false" customHeight="false" outlineLevel="0" collapsed="false">
      <c r="A136" s="20" t="s">
        <v>152</v>
      </c>
      <c r="B136" s="0" t="s">
        <v>361</v>
      </c>
      <c r="C136" s="0" t="s">
        <v>628</v>
      </c>
      <c r="D136" s="0" t="s">
        <v>390</v>
      </c>
      <c r="E136" s="0" t="s">
        <v>629</v>
      </c>
      <c r="F136" s="0" t="s">
        <v>321</v>
      </c>
      <c r="G136" s="0" t="n">
        <v>36.6</v>
      </c>
      <c r="H136" s="0" t="n">
        <v>5</v>
      </c>
      <c r="I136" s="0" t="n">
        <v>117</v>
      </c>
      <c r="J136" s="0" t="n">
        <v>6.3765</v>
      </c>
      <c r="K136" s="45" t="n">
        <v>45524</v>
      </c>
      <c r="L136" s="0" t="n">
        <v>6.38304</v>
      </c>
      <c r="M136" s="0" t="n">
        <v>0.00654000000000025</v>
      </c>
      <c r="N136" s="0" t="n">
        <v>4.7088</v>
      </c>
      <c r="O136" s="0" t="n">
        <v>-1.6677</v>
      </c>
      <c r="P136" s="0" t="s">
        <v>374</v>
      </c>
      <c r="Q136" s="0" t="s">
        <v>331</v>
      </c>
      <c r="R136" s="0" t="s">
        <v>630</v>
      </c>
      <c r="S136" s="0" t="n">
        <v>9.21456</v>
      </c>
      <c r="T136" s="0" t="n">
        <v>2.83806</v>
      </c>
      <c r="U136" s="0" t="s">
        <v>422</v>
      </c>
      <c r="V136" s="0" t="s">
        <v>428</v>
      </c>
      <c r="W136" s="0" t="n">
        <v>9</v>
      </c>
      <c r="X136" s="0" t="n">
        <v>2.6235</v>
      </c>
      <c r="Y136" s="0" t="n">
        <v>4</v>
      </c>
      <c r="Z136" s="0" t="s">
        <v>631</v>
      </c>
      <c r="AB136" s="58" t="n">
        <f aca="false">M136-AA136</f>
        <v>0.00654000000000025</v>
      </c>
      <c r="AC136" s="58" t="n">
        <f aca="false">O136-AA136</f>
        <v>-1.6677</v>
      </c>
      <c r="AD136" s="58" t="n">
        <f aca="false">AB136/L136%</f>
        <v>0.102459016393447</v>
      </c>
      <c r="AE136" s="58" t="n">
        <f aca="false">AC136/N136%</f>
        <v>-35.4166666666667</v>
      </c>
      <c r="AF136" s="58" t="n">
        <f aca="false">T136-AA136</f>
        <v>2.83806</v>
      </c>
      <c r="AG136" s="58" t="n">
        <f aca="false">AF136/S136%</f>
        <v>30.7997343334896</v>
      </c>
      <c r="AH136" s="58" t="n">
        <f aca="false">W136</f>
        <v>9</v>
      </c>
      <c r="AI136" s="58" t="n">
        <f aca="false">J136</f>
        <v>6.3765</v>
      </c>
      <c r="AJ136" s="58" t="n">
        <f aca="false">AH136-AI136</f>
        <v>2.6235</v>
      </c>
      <c r="AK136" s="58" t="n">
        <f aca="false">AA136</f>
        <v>0</v>
      </c>
      <c r="AL136" s="58" t="n">
        <f aca="false">AJ136-AK136</f>
        <v>2.6235</v>
      </c>
      <c r="AM136" s="58" t="n">
        <f aca="false">AL136/AH136%</f>
        <v>29.15</v>
      </c>
      <c r="AN136" s="0" t="str">
        <f aca="false">IF(ISBLANK(Z136),"","Capped")</f>
        <v>Capped</v>
      </c>
      <c r="AO136" s="0" t="s">
        <v>327</v>
      </c>
      <c r="AP136" s="0" t="str">
        <f aca="false">TRIM(BA136)</f>
        <v>12V101F</v>
      </c>
      <c r="AQ136" s="59" t="e">
        <f aca="false">_xlfn.xlookup(A136,'SYS Allocations'!A:A,'SYS Allocations'!B:B)</f>
        <v>#NAME?</v>
      </c>
      <c r="AR136" s="59" t="e">
        <f aca="false">_xlfn.xlookup(A136,'SYS Allocations'!A:A,'SYS Allocations'!C:C)</f>
        <v>#NAME?</v>
      </c>
      <c r="AS136" s="59" t="e">
        <f aca="false">_xlfn.xlookup(A136,'SYS Allocations'!A:A,'SYS Allocations'!D:D)</f>
        <v>#NAME?</v>
      </c>
      <c r="AT136" s="59" t="e">
        <f aca="false">_xlfn.xlookup(A136,'SYS Allocations'!A:A,'SYS Allocations'!E:E)</f>
        <v>#NAME?</v>
      </c>
      <c r="AU136" s="59" t="e">
        <f aca="false">_xlfn.xlookup(A136,'SYS Allocations'!A:A,'SYS Allocations'!F:F)</f>
        <v>#NAME?</v>
      </c>
      <c r="BA136" s="0" t="str">
        <f aca="false">IFERROR(LEFT(R136,FIND("(",R136,1)-1),R136)</f>
        <v>12V101F </v>
      </c>
    </row>
    <row r="137" customFormat="false" ht="13.15" hidden="false" customHeight="false" outlineLevel="0" collapsed="false">
      <c r="A137" s="20" t="s">
        <v>153</v>
      </c>
      <c r="B137" s="0" t="s">
        <v>317</v>
      </c>
      <c r="C137" s="0" t="s">
        <v>632</v>
      </c>
      <c r="D137" s="0" t="s">
        <v>390</v>
      </c>
      <c r="E137" s="0" t="s">
        <v>633</v>
      </c>
      <c r="F137" s="0" t="s">
        <v>364</v>
      </c>
      <c r="G137" s="0" t="n">
        <v>75</v>
      </c>
      <c r="H137" s="0" t="n">
        <v>3</v>
      </c>
      <c r="I137" s="0" t="n">
        <v>7</v>
      </c>
      <c r="J137" s="0" t="n">
        <v>0.3815</v>
      </c>
      <c r="K137" s="45" t="n">
        <v>45351</v>
      </c>
      <c r="L137" s="0" t="n">
        <v>6.54</v>
      </c>
      <c r="M137" s="0" t="n">
        <v>6.1585</v>
      </c>
      <c r="N137" s="0" t="n">
        <v>7.2267</v>
      </c>
      <c r="O137" s="0" t="n">
        <v>6.8452</v>
      </c>
      <c r="P137" s="0" t="s">
        <v>325</v>
      </c>
      <c r="Q137" s="0" t="s">
        <v>352</v>
      </c>
      <c r="R137" s="0" t="s">
        <v>511</v>
      </c>
      <c r="S137" s="0" t="n">
        <v>1.7928</v>
      </c>
      <c r="T137" s="0" t="n">
        <v>1.4113</v>
      </c>
      <c r="U137" s="0" t="s">
        <v>325</v>
      </c>
      <c r="V137" s="0" t="s">
        <v>344</v>
      </c>
      <c r="W137" s="0" t="n">
        <v>3.75</v>
      </c>
      <c r="X137" s="0" t="n">
        <v>3.3685</v>
      </c>
      <c r="Y137" s="0" t="n">
        <v>1</v>
      </c>
      <c r="Z137" s="0" t="s">
        <v>423</v>
      </c>
      <c r="AB137" s="58" t="n">
        <f aca="false">M137-AA137</f>
        <v>6.1585</v>
      </c>
      <c r="AC137" s="58" t="n">
        <f aca="false">O137-AA137</f>
        <v>6.8452</v>
      </c>
      <c r="AD137" s="58" t="n">
        <f aca="false">AB137/L137%</f>
        <v>94.1666666666667</v>
      </c>
      <c r="AE137" s="58" t="n">
        <f aca="false">AC137/N137%</f>
        <v>94.7209653092006</v>
      </c>
      <c r="AF137" s="58" t="n">
        <f aca="false">T137-AA137</f>
        <v>1.4113</v>
      </c>
      <c r="AG137" s="58" t="n">
        <f aca="false">AF137/S137%</f>
        <v>78.7204373047747</v>
      </c>
      <c r="AH137" s="58" t="n">
        <f aca="false">W137</f>
        <v>3.75</v>
      </c>
      <c r="AI137" s="58" t="n">
        <f aca="false">J137</f>
        <v>0.3815</v>
      </c>
      <c r="AJ137" s="58" t="n">
        <f aca="false">AH137-AI137</f>
        <v>3.3685</v>
      </c>
      <c r="AK137" s="58" t="n">
        <f aca="false">AA137</f>
        <v>0</v>
      </c>
      <c r="AL137" s="58" t="n">
        <f aca="false">AJ137-AK137</f>
        <v>3.3685</v>
      </c>
      <c r="AM137" s="58" t="n">
        <f aca="false">AL137/AH137%</f>
        <v>89.8266666666667</v>
      </c>
      <c r="AN137" s="0" t="str">
        <f aca="false">IF(ISBLANK(Z137),"","Capped")</f>
        <v>Capped</v>
      </c>
      <c r="AO137" s="0" t="s">
        <v>327</v>
      </c>
      <c r="AP137" s="0" t="str">
        <f aca="false">TRIM(BA137)</f>
        <v>12V105F</v>
      </c>
      <c r="AQ137" s="59" t="e">
        <f aca="false">_xlfn.xlookup(A137,'SYS Allocations'!A:A,'SYS Allocations'!B:B)</f>
        <v>#NAME?</v>
      </c>
      <c r="AR137" s="59" t="e">
        <f aca="false">_xlfn.xlookup(A137,'SYS Allocations'!A:A,'SYS Allocations'!C:C)</f>
        <v>#NAME?</v>
      </c>
      <c r="AS137" s="59" t="e">
        <f aca="false">_xlfn.xlookup(A137,'SYS Allocations'!A:A,'SYS Allocations'!D:D)</f>
        <v>#NAME?</v>
      </c>
      <c r="AT137" s="59" t="e">
        <f aca="false">_xlfn.xlookup(A137,'SYS Allocations'!A:A,'SYS Allocations'!E:E)</f>
        <v>#NAME?</v>
      </c>
      <c r="AU137" s="59" t="e">
        <f aca="false">_xlfn.xlookup(A137,'SYS Allocations'!A:A,'SYS Allocations'!F:F)</f>
        <v>#NAME?</v>
      </c>
      <c r="BA137" s="0" t="str">
        <f aca="false">IFERROR(LEFT(R137,FIND("(",R137,1)-1),R137)</f>
        <v>12V105F</v>
      </c>
    </row>
    <row r="138" customFormat="false" ht="13.15" hidden="false" customHeight="false" outlineLevel="0" collapsed="false">
      <c r="A138" s="20" t="s">
        <v>154</v>
      </c>
      <c r="B138" s="0" t="s">
        <v>419</v>
      </c>
      <c r="C138" s="0" t="s">
        <v>634</v>
      </c>
      <c r="D138" s="0" t="s">
        <v>319</v>
      </c>
      <c r="E138" s="0" t="s">
        <v>635</v>
      </c>
      <c r="F138" s="0" t="s">
        <v>321</v>
      </c>
      <c r="G138" s="0" t="n">
        <v>36.6</v>
      </c>
      <c r="H138" s="0" t="n">
        <v>9</v>
      </c>
      <c r="I138" s="0" t="n">
        <v>127</v>
      </c>
      <c r="J138" s="0" t="n">
        <v>6.9215</v>
      </c>
      <c r="K138" s="45" t="n">
        <v>45659</v>
      </c>
      <c r="L138" s="0" t="n">
        <v>12.76608</v>
      </c>
      <c r="M138" s="0" t="n">
        <v>5.84458</v>
      </c>
      <c r="N138" s="0" t="n">
        <v>6.6926</v>
      </c>
      <c r="O138" s="0" t="n">
        <v>-0.2289</v>
      </c>
      <c r="P138" s="0" t="s">
        <v>325</v>
      </c>
      <c r="Q138" s="0" t="s">
        <v>331</v>
      </c>
      <c r="R138" s="0" t="s">
        <v>568</v>
      </c>
      <c r="S138" s="0" t="n">
        <v>14.4288</v>
      </c>
      <c r="T138" s="0" t="n">
        <v>7.5073</v>
      </c>
      <c r="U138" s="0" t="s">
        <v>325</v>
      </c>
      <c r="V138" s="0" t="s">
        <v>333</v>
      </c>
      <c r="W138" s="0" t="n">
        <v>22.5</v>
      </c>
      <c r="X138" s="0" t="n">
        <v>15.5785</v>
      </c>
      <c r="Y138" s="0" t="n">
        <v>4</v>
      </c>
      <c r="AB138" s="58" t="n">
        <f aca="false">M138-AA138</f>
        <v>5.84458</v>
      </c>
      <c r="AC138" s="58" t="n">
        <f aca="false">O138-AA138</f>
        <v>-0.2289</v>
      </c>
      <c r="AD138" s="58" t="n">
        <f aca="false">AB138/L138%</f>
        <v>45.7821038251366</v>
      </c>
      <c r="AE138" s="58" t="n">
        <f aca="false">AC138/N138%</f>
        <v>-3.42019543973941</v>
      </c>
      <c r="AF138" s="58" t="n">
        <f aca="false">T138-AA138</f>
        <v>7.5073</v>
      </c>
      <c r="AG138" s="58" t="n">
        <f aca="false">AF138/S138%</f>
        <v>52.0299678420936</v>
      </c>
      <c r="AH138" s="58" t="n">
        <f aca="false">W138</f>
        <v>22.5</v>
      </c>
      <c r="AI138" s="58" t="n">
        <f aca="false">J138</f>
        <v>6.9215</v>
      </c>
      <c r="AJ138" s="58" t="n">
        <f aca="false">AH138-AI138</f>
        <v>15.5785</v>
      </c>
      <c r="AK138" s="58" t="n">
        <f aca="false">AA138</f>
        <v>0</v>
      </c>
      <c r="AL138" s="58" t="n">
        <f aca="false">AJ138-AK138</f>
        <v>15.5785</v>
      </c>
      <c r="AM138" s="58" t="n">
        <f aca="false">AL138/AH138%</f>
        <v>69.2377777777778</v>
      </c>
      <c r="AN138" s="0" t="str">
        <f aca="false">IF(ISBLANK(Z138),"","Capped")</f>
        <v/>
      </c>
      <c r="AO138" s="0" t="s">
        <v>327</v>
      </c>
      <c r="AP138" s="0" t="str">
        <f aca="false">TRIM(BA138)</f>
        <v>DDm85-21</v>
      </c>
      <c r="AQ138" s="59" t="e">
        <f aca="false">_xlfn.xlookup(A138,'SYS Allocations'!A:A,'SYS Allocations'!B:B)</f>
        <v>#NAME?</v>
      </c>
      <c r="AR138" s="59" t="e">
        <f aca="false">_xlfn.xlookup(A138,'SYS Allocations'!A:A,'SYS Allocations'!C:C)</f>
        <v>#NAME?</v>
      </c>
      <c r="AS138" s="59" t="e">
        <f aca="false">_xlfn.xlookup(A138,'SYS Allocations'!A:A,'SYS Allocations'!D:D)</f>
        <v>#NAME?</v>
      </c>
      <c r="AT138" s="59" t="e">
        <f aca="false">_xlfn.xlookup(A138,'SYS Allocations'!A:A,'SYS Allocations'!E:E)</f>
        <v>#NAME?</v>
      </c>
      <c r="AU138" s="59" t="e">
        <f aca="false">_xlfn.xlookup(A138,'SYS Allocations'!A:A,'SYS Allocations'!F:F)</f>
        <v>#NAME?</v>
      </c>
      <c r="BA138" s="0" t="str">
        <f aca="false">IFERROR(LEFT(R138,FIND("(",R138,1)-1),R138)</f>
        <v>DDm85-21</v>
      </c>
    </row>
    <row r="139" customFormat="false" ht="13.15" hidden="false" customHeight="false" outlineLevel="0" collapsed="false">
      <c r="A139" s="20" t="s">
        <v>155</v>
      </c>
      <c r="B139" s="0" t="s">
        <v>376</v>
      </c>
      <c r="C139" s="0" t="s">
        <v>636</v>
      </c>
      <c r="D139" s="0" t="s">
        <v>319</v>
      </c>
      <c r="E139" s="0" t="s">
        <v>637</v>
      </c>
      <c r="F139" s="0" t="s">
        <v>321</v>
      </c>
      <c r="G139" s="0" t="n">
        <v>36.6</v>
      </c>
      <c r="H139" s="0" t="n">
        <v>70</v>
      </c>
      <c r="I139" s="0" t="n">
        <v>897</v>
      </c>
      <c r="J139" s="0" t="n">
        <v>48.8865</v>
      </c>
      <c r="K139" s="45" t="n">
        <v>45630</v>
      </c>
      <c r="L139" s="0" t="n">
        <v>110.10744</v>
      </c>
      <c r="M139" s="0" t="n">
        <v>61.22094</v>
      </c>
      <c r="N139" s="0" t="n">
        <v>76.5943</v>
      </c>
      <c r="O139" s="0" t="n">
        <v>27.7078</v>
      </c>
      <c r="P139" s="0" t="s">
        <v>337</v>
      </c>
      <c r="Q139" s="0" t="s">
        <v>331</v>
      </c>
      <c r="R139" s="0" t="s">
        <v>638</v>
      </c>
      <c r="S139" s="0" t="n">
        <v>95.61024</v>
      </c>
      <c r="T139" s="0" t="n">
        <v>46.72374</v>
      </c>
      <c r="U139" s="0" t="s">
        <v>322</v>
      </c>
      <c r="V139" s="0" t="s">
        <v>473</v>
      </c>
      <c r="W139" s="0" t="n">
        <v>60</v>
      </c>
      <c r="X139" s="0" t="n">
        <v>11.1135</v>
      </c>
      <c r="Y139" s="0" t="n">
        <v>11</v>
      </c>
      <c r="AB139" s="58" t="n">
        <f aca="false">M139-AA139</f>
        <v>61.22094</v>
      </c>
      <c r="AC139" s="58" t="n">
        <f aca="false">O139-AA139</f>
        <v>27.7078</v>
      </c>
      <c r="AD139" s="58" t="n">
        <f aca="false">AB139/L139%</f>
        <v>55.6010928961749</v>
      </c>
      <c r="AE139" s="58" t="n">
        <f aca="false">AC139/N139%</f>
        <v>36.1747545182866</v>
      </c>
      <c r="AF139" s="58" t="n">
        <f aca="false">T139-AA139</f>
        <v>46.72374</v>
      </c>
      <c r="AG139" s="58" t="n">
        <f aca="false">AF139/S139%</f>
        <v>48.8689705203125</v>
      </c>
      <c r="AH139" s="58" t="n">
        <f aca="false">'Multiroom cooling'!F12</f>
        <v>82.5</v>
      </c>
      <c r="AI139" s="58" t="n">
        <f aca="false">J139</f>
        <v>48.8865</v>
      </c>
      <c r="AJ139" s="58" t="n">
        <f aca="false">AH139-AI139</f>
        <v>33.6135</v>
      </c>
      <c r="AK139" s="58" t="n">
        <f aca="false">AA139</f>
        <v>0</v>
      </c>
      <c r="AL139" s="58" t="n">
        <f aca="false">AJ139-AK139</f>
        <v>33.6135</v>
      </c>
      <c r="AM139" s="58" t="n">
        <f aca="false">AL139/AH139%</f>
        <v>40.7436363636364</v>
      </c>
      <c r="AN139" s="0" t="str">
        <f aca="false">IF(ISBLANK(Z139),"","Capped")</f>
        <v/>
      </c>
      <c r="AO139" s="0" t="s">
        <v>327</v>
      </c>
      <c r="AP139" s="0" t="str">
        <f aca="false">TRIM(BA139)</f>
        <v>2CP3000</v>
      </c>
      <c r="AQ139" s="59" t="e">
        <f aca="false">_xlfn.xlookup(A139,'SYS Allocations'!A:A,'SYS Allocations'!B:B)</f>
        <v>#NAME?</v>
      </c>
      <c r="AR139" s="59" t="e">
        <f aca="false">_xlfn.xlookup(A139,'SYS Allocations'!A:A,'SYS Allocations'!C:C)</f>
        <v>#NAME?</v>
      </c>
      <c r="AS139" s="59" t="e">
        <f aca="false">_xlfn.xlookup(A139,'SYS Allocations'!A:A,'SYS Allocations'!D:D)</f>
        <v>#NAME?</v>
      </c>
      <c r="AT139" s="59" t="e">
        <f aca="false">_xlfn.xlookup(A139,'SYS Allocations'!A:A,'SYS Allocations'!E:E)</f>
        <v>#NAME?</v>
      </c>
      <c r="AU139" s="59" t="e">
        <f aca="false">_xlfn.xlookup(A139,'SYS Allocations'!A:A,'SYS Allocations'!F:F)</f>
        <v>#NAME?</v>
      </c>
      <c r="BA139" s="0" t="str">
        <f aca="false">IFERROR(LEFT(R139,FIND("(",R139,1)-1),R139)</f>
        <v>2CP3000</v>
      </c>
    </row>
    <row r="140" customFormat="false" ht="13.15" hidden="false" customHeight="false" outlineLevel="0" collapsed="false">
      <c r="A140" s="20" t="s">
        <v>156</v>
      </c>
      <c r="B140" s="0" t="s">
        <v>394</v>
      </c>
      <c r="C140" s="0" t="s">
        <v>639</v>
      </c>
      <c r="D140" s="0" t="s">
        <v>640</v>
      </c>
      <c r="E140" s="0" t="s">
        <v>641</v>
      </c>
      <c r="F140" s="0" t="s">
        <v>383</v>
      </c>
      <c r="G140" s="0" t="n">
        <v>55</v>
      </c>
      <c r="H140" s="0" t="n">
        <v>8</v>
      </c>
      <c r="I140" s="0" t="n">
        <v>45</v>
      </c>
      <c r="J140" s="0" t="n">
        <v>2.4525</v>
      </c>
      <c r="K140" s="45" t="n">
        <v>44713.5416666667</v>
      </c>
      <c r="L140" s="0" t="n">
        <v>16.786</v>
      </c>
      <c r="M140" s="0" t="n">
        <v>14.3335</v>
      </c>
      <c r="N140" s="0" t="n">
        <v>17.7125</v>
      </c>
      <c r="O140" s="0" t="n">
        <v>15.26</v>
      </c>
      <c r="P140" s="0" t="s">
        <v>374</v>
      </c>
      <c r="Q140" s="0" t="s">
        <v>331</v>
      </c>
      <c r="R140" s="0" t="s">
        <v>445</v>
      </c>
      <c r="S140" s="0" t="n">
        <v>5.3784</v>
      </c>
      <c r="T140" s="0" t="n">
        <v>2.9259</v>
      </c>
      <c r="U140" s="0" t="s">
        <v>422</v>
      </c>
      <c r="V140" s="0" t="s">
        <v>642</v>
      </c>
      <c r="W140" s="0" t="n">
        <v>24</v>
      </c>
      <c r="X140" s="0" t="n">
        <v>21.5475</v>
      </c>
      <c r="Y140" s="0" t="n">
        <v>4</v>
      </c>
      <c r="AB140" s="58" t="n">
        <f aca="false">M140-AA140</f>
        <v>14.3335</v>
      </c>
      <c r="AC140" s="58" t="n">
        <f aca="false">O140-AA140</f>
        <v>15.26</v>
      </c>
      <c r="AD140" s="58" t="n">
        <f aca="false">AB140/L140%</f>
        <v>85.3896103896104</v>
      </c>
      <c r="AE140" s="58" t="n">
        <f aca="false">AC140/N140%</f>
        <v>86.1538461538462</v>
      </c>
      <c r="AF140" s="58" t="n">
        <f aca="false">T140-AA140</f>
        <v>2.9259</v>
      </c>
      <c r="AG140" s="58" t="n">
        <f aca="false">AF140/S140%</f>
        <v>54.40093708166</v>
      </c>
      <c r="AH140" s="60" t="n">
        <f aca="false">AVERAGE(W140:W141)</f>
        <v>24</v>
      </c>
      <c r="AI140" s="60" t="n">
        <f aca="false">SUM(J140:J141)</f>
        <v>7.0305</v>
      </c>
      <c r="AJ140" s="60" t="n">
        <f aca="false">AH140-AI140</f>
        <v>16.9695</v>
      </c>
      <c r="AK140" s="60" t="n">
        <f aca="false">SUM(AA140:AA141)</f>
        <v>0</v>
      </c>
      <c r="AL140" s="60" t="n">
        <f aca="false">AJ140-AK140</f>
        <v>16.9695</v>
      </c>
      <c r="AM140" s="61" t="n">
        <f aca="false">AL140/AH140%</f>
        <v>70.70625</v>
      </c>
      <c r="AN140" s="0" t="str">
        <f aca="false">IF(ISBLANK(Z140),"","Capped")</f>
        <v/>
      </c>
      <c r="AO140" s="0" t="s">
        <v>393</v>
      </c>
      <c r="AP140" s="0" t="str">
        <f aca="false">TRIM(BA140)</f>
        <v>12V101F</v>
      </c>
      <c r="AQ140" s="59" t="e">
        <f aca="false">_xlfn.xlookup(A140,'SYS Allocations'!A:A,'SYS Allocations'!B:B)</f>
        <v>#NAME?</v>
      </c>
      <c r="AR140" s="59" t="e">
        <f aca="false">_xlfn.xlookup(A140,'SYS Allocations'!A:A,'SYS Allocations'!C:C)</f>
        <v>#NAME?</v>
      </c>
      <c r="AS140" s="59" t="e">
        <f aca="false">_xlfn.xlookup(A140,'SYS Allocations'!A:A,'SYS Allocations'!D:D)</f>
        <v>#NAME?</v>
      </c>
      <c r="AT140" s="59" t="e">
        <f aca="false">_xlfn.xlookup(A140,'SYS Allocations'!A:A,'SYS Allocations'!E:E)</f>
        <v>#NAME?</v>
      </c>
      <c r="AU140" s="59" t="e">
        <f aca="false">_xlfn.xlookup(A140,'SYS Allocations'!A:A,'SYS Allocations'!F:F)</f>
        <v>#NAME?</v>
      </c>
      <c r="BA140" s="0" t="str">
        <f aca="false">IFERROR(LEFT(R140,FIND("(",R140,1)-1),R140)</f>
        <v>12V101F </v>
      </c>
    </row>
    <row r="141" customFormat="false" ht="13.15" hidden="false" customHeight="false" outlineLevel="0" collapsed="false">
      <c r="A141" s="20" t="s">
        <v>157</v>
      </c>
      <c r="B141" s="0" t="s">
        <v>394</v>
      </c>
      <c r="C141" s="0" t="s">
        <v>639</v>
      </c>
      <c r="D141" s="0" t="s">
        <v>640</v>
      </c>
      <c r="E141" s="0" t="s">
        <v>641</v>
      </c>
      <c r="F141" s="0" t="s">
        <v>383</v>
      </c>
      <c r="G141" s="0" t="n">
        <v>55</v>
      </c>
      <c r="H141" s="0" t="n">
        <v>8</v>
      </c>
      <c r="I141" s="0" t="n">
        <v>84</v>
      </c>
      <c r="J141" s="0" t="n">
        <v>4.578</v>
      </c>
      <c r="K141" s="45" t="n">
        <v>44700.6458333333</v>
      </c>
      <c r="L141" s="0" t="n">
        <v>16.786</v>
      </c>
      <c r="M141" s="0" t="n">
        <v>12.208</v>
      </c>
      <c r="N141" s="0" t="n">
        <v>17.7125</v>
      </c>
      <c r="O141" s="0" t="n">
        <v>13.1345</v>
      </c>
      <c r="P141" s="0" t="s">
        <v>374</v>
      </c>
      <c r="Q141" s="0" t="s">
        <v>331</v>
      </c>
      <c r="R141" s="0" t="s">
        <v>445</v>
      </c>
      <c r="S141" s="0" t="n">
        <v>5.3784</v>
      </c>
      <c r="T141" s="0" t="n">
        <v>0.8004</v>
      </c>
      <c r="U141" s="0" t="s">
        <v>422</v>
      </c>
      <c r="V141" s="0" t="s">
        <v>642</v>
      </c>
      <c r="W141" s="0" t="n">
        <v>24</v>
      </c>
      <c r="X141" s="0" t="n">
        <v>19.422</v>
      </c>
      <c r="Y141" s="0" t="n">
        <v>4</v>
      </c>
      <c r="AB141" s="58" t="n">
        <f aca="false">M141-AA141</f>
        <v>12.208</v>
      </c>
      <c r="AC141" s="58" t="n">
        <f aca="false">O141-AA141</f>
        <v>13.1345</v>
      </c>
      <c r="AD141" s="58" t="n">
        <f aca="false">AB141/L141%</f>
        <v>72.7272727272727</v>
      </c>
      <c r="AE141" s="58" t="n">
        <f aca="false">AC141/N141%</f>
        <v>74.1538461538462</v>
      </c>
      <c r="AF141" s="58" t="n">
        <f aca="false">T141-AA141</f>
        <v>0.8004</v>
      </c>
      <c r="AG141" s="58" t="n">
        <f aca="false">AF141/S141%</f>
        <v>14.8817492190986</v>
      </c>
      <c r="AH141" s="60"/>
      <c r="AI141" s="60"/>
      <c r="AJ141" s="60"/>
      <c r="AK141" s="60"/>
      <c r="AL141" s="60"/>
      <c r="AM141" s="61"/>
      <c r="AN141" s="0" t="str">
        <f aca="false">IF(ISBLANK(Z141),"","Capped")</f>
        <v/>
      </c>
      <c r="AO141" s="0" t="s">
        <v>393</v>
      </c>
      <c r="AP141" s="0" t="str">
        <f aca="false">TRIM(BA141)</f>
        <v>12V101F</v>
      </c>
      <c r="AQ141" s="59" t="e">
        <f aca="false">_xlfn.xlookup(A141,'SYS Allocations'!A:A,'SYS Allocations'!B:B)</f>
        <v>#NAME?</v>
      </c>
      <c r="AR141" s="59" t="e">
        <f aca="false">_xlfn.xlookup(A141,'SYS Allocations'!A:A,'SYS Allocations'!C:C)</f>
        <v>#NAME?</v>
      </c>
      <c r="AS141" s="59" t="e">
        <f aca="false">_xlfn.xlookup(A141,'SYS Allocations'!A:A,'SYS Allocations'!D:D)</f>
        <v>#NAME?</v>
      </c>
      <c r="AT141" s="59" t="e">
        <f aca="false">_xlfn.xlookup(A141,'SYS Allocations'!A:A,'SYS Allocations'!E:E)</f>
        <v>#NAME?</v>
      </c>
      <c r="AU141" s="59" t="e">
        <f aca="false">_xlfn.xlookup(A141,'SYS Allocations'!A:A,'SYS Allocations'!F:F)</f>
        <v>#NAME?</v>
      </c>
      <c r="BA141" s="0" t="str">
        <f aca="false">IFERROR(LEFT(R141,FIND("(",R141,1)-1),R141)</f>
        <v>12V101F </v>
      </c>
    </row>
    <row r="142" customFormat="false" ht="13.15" hidden="false" customHeight="false" outlineLevel="0" collapsed="false">
      <c r="A142" s="20" t="s">
        <v>158</v>
      </c>
      <c r="B142" s="0" t="s">
        <v>394</v>
      </c>
      <c r="C142" s="0" t="s">
        <v>639</v>
      </c>
      <c r="D142" s="0" t="s">
        <v>319</v>
      </c>
      <c r="E142" s="0" t="s">
        <v>643</v>
      </c>
      <c r="F142" s="0" t="s">
        <v>383</v>
      </c>
      <c r="G142" s="0" t="n">
        <v>55</v>
      </c>
      <c r="H142" s="0" t="n">
        <v>69</v>
      </c>
      <c r="I142" s="0" t="n">
        <v>1604</v>
      </c>
      <c r="J142" s="0" t="n">
        <v>87.418</v>
      </c>
      <c r="K142" s="45" t="n">
        <v>45659</v>
      </c>
      <c r="L142" s="0" t="n">
        <v>163.064</v>
      </c>
      <c r="M142" s="0" t="n">
        <v>75.646</v>
      </c>
      <c r="N142" s="0" t="n">
        <v>138.43</v>
      </c>
      <c r="O142" s="0" t="n">
        <v>51.012</v>
      </c>
      <c r="P142" s="0" t="s">
        <v>374</v>
      </c>
      <c r="Q142" s="0" t="s">
        <v>331</v>
      </c>
      <c r="R142" s="0" t="s">
        <v>345</v>
      </c>
      <c r="S142" s="0" t="n">
        <v>106.6608</v>
      </c>
      <c r="T142" s="0" t="n">
        <v>19.2428000000001</v>
      </c>
      <c r="U142" s="0" t="s">
        <v>379</v>
      </c>
      <c r="V142" s="0" t="s">
        <v>644</v>
      </c>
      <c r="W142" s="0" t="n">
        <v>195</v>
      </c>
      <c r="X142" s="0" t="n">
        <v>107.582</v>
      </c>
      <c r="Y142" s="0" t="n">
        <v>37</v>
      </c>
      <c r="AB142" s="58" t="n">
        <f aca="false">M142-AA142</f>
        <v>75.646</v>
      </c>
      <c r="AC142" s="58" t="n">
        <f aca="false">O142-AA142</f>
        <v>51.012</v>
      </c>
      <c r="AD142" s="58" t="n">
        <f aca="false">AB142/L142%</f>
        <v>46.3903743315508</v>
      </c>
      <c r="AE142" s="58" t="n">
        <f aca="false">AC142/N142%</f>
        <v>36.8503937007874</v>
      </c>
      <c r="AF142" s="58" t="n">
        <f aca="false">T142-AA142</f>
        <v>19.2428000000001</v>
      </c>
      <c r="AG142" s="58" t="n">
        <f aca="false">AF142/S142%</f>
        <v>18.0411172614495</v>
      </c>
      <c r="AH142" s="60" t="n">
        <f aca="false">AVERAGE(W142:W143)</f>
        <v>195</v>
      </c>
      <c r="AI142" s="60" t="n">
        <f aca="false">SUM(J142:J143)</f>
        <v>144.97</v>
      </c>
      <c r="AJ142" s="60" t="n">
        <f aca="false">AH142-AI142</f>
        <v>50.03</v>
      </c>
      <c r="AK142" s="60" t="n">
        <f aca="false">SUM(AA142:AA143)</f>
        <v>0</v>
      </c>
      <c r="AL142" s="60" t="n">
        <f aca="false">AJ142-AK142</f>
        <v>50.03</v>
      </c>
      <c r="AM142" s="61" t="n">
        <f aca="false">AL142/AH142%</f>
        <v>25.6564102564103</v>
      </c>
      <c r="AN142" s="0" t="str">
        <f aca="false">IF(ISBLANK(Z142),"","Capped")</f>
        <v/>
      </c>
      <c r="AO142" s="0" t="s">
        <v>393</v>
      </c>
      <c r="AP142" s="0" t="str">
        <f aca="false">TRIM(BA142)</f>
        <v>DDm125-33</v>
      </c>
      <c r="AQ142" s="59" t="e">
        <f aca="false">_xlfn.xlookup(A142,'SYS Allocations'!A:A,'SYS Allocations'!B:B)</f>
        <v>#NAME?</v>
      </c>
      <c r="AR142" s="59" t="e">
        <f aca="false">_xlfn.xlookup(A142,'SYS Allocations'!A:A,'SYS Allocations'!C:C)</f>
        <v>#NAME?</v>
      </c>
      <c r="AS142" s="59" t="e">
        <f aca="false">_xlfn.xlookup(A142,'SYS Allocations'!A:A,'SYS Allocations'!D:D)</f>
        <v>#NAME?</v>
      </c>
      <c r="AT142" s="59" t="e">
        <f aca="false">_xlfn.xlookup(A142,'SYS Allocations'!A:A,'SYS Allocations'!E:E)</f>
        <v>#NAME?</v>
      </c>
      <c r="AU142" s="59" t="e">
        <f aca="false">_xlfn.xlookup(A142,'SYS Allocations'!A:A,'SYS Allocations'!F:F)</f>
        <v>#NAME?</v>
      </c>
      <c r="BA142" s="0" t="str">
        <f aca="false">IFERROR(LEFT(R142,FIND("(",R142,1)-1),R142)</f>
        <v>DDm125-33</v>
      </c>
    </row>
    <row r="143" customFormat="false" ht="13.15" hidden="false" customHeight="false" outlineLevel="0" collapsed="false">
      <c r="A143" s="20" t="s">
        <v>159</v>
      </c>
      <c r="B143" s="0" t="s">
        <v>394</v>
      </c>
      <c r="C143" s="0" t="s">
        <v>639</v>
      </c>
      <c r="D143" s="0" t="s">
        <v>319</v>
      </c>
      <c r="E143" s="0" t="s">
        <v>643</v>
      </c>
      <c r="F143" s="0" t="s">
        <v>383</v>
      </c>
      <c r="G143" s="0" t="n">
        <v>55</v>
      </c>
      <c r="H143" s="0" t="n">
        <v>70</v>
      </c>
      <c r="I143" s="0" t="n">
        <v>1056</v>
      </c>
      <c r="J143" s="0" t="n">
        <v>57.552</v>
      </c>
      <c r="K143" s="45" t="n">
        <v>45659</v>
      </c>
      <c r="L143" s="0" t="n">
        <v>165.462</v>
      </c>
      <c r="M143" s="0" t="n">
        <v>107.91</v>
      </c>
      <c r="N143" s="0" t="n">
        <v>141.4275</v>
      </c>
      <c r="O143" s="0" t="n">
        <v>83.8755</v>
      </c>
      <c r="P143" s="0" t="s">
        <v>374</v>
      </c>
      <c r="Q143" s="0" t="s">
        <v>331</v>
      </c>
      <c r="R143" s="0" t="s">
        <v>345</v>
      </c>
      <c r="S143" s="0" t="n">
        <v>106.6608</v>
      </c>
      <c r="T143" s="0" t="n">
        <v>49.1088000000001</v>
      </c>
      <c r="U143" s="0" t="s">
        <v>379</v>
      </c>
      <c r="V143" s="0" t="s">
        <v>644</v>
      </c>
      <c r="W143" s="0" t="n">
        <v>195</v>
      </c>
      <c r="X143" s="0" t="n">
        <v>137.448</v>
      </c>
      <c r="Y143" s="0" t="n">
        <v>37</v>
      </c>
      <c r="AB143" s="58" t="n">
        <f aca="false">M143-AA143</f>
        <v>107.91</v>
      </c>
      <c r="AC143" s="58" t="n">
        <f aca="false">O143-AA143</f>
        <v>83.8755</v>
      </c>
      <c r="AD143" s="58" t="n">
        <f aca="false">AB143/L143%</f>
        <v>65.2173913043478</v>
      </c>
      <c r="AE143" s="58" t="n">
        <f aca="false">AC143/N143%</f>
        <v>59.3063583815029</v>
      </c>
      <c r="AF143" s="58" t="n">
        <f aca="false">T143-AA143</f>
        <v>49.1088000000001</v>
      </c>
      <c r="AG143" s="58" t="n">
        <f aca="false">AF143/S143%</f>
        <v>46.0420323117772</v>
      </c>
      <c r="AH143" s="60"/>
      <c r="AI143" s="60"/>
      <c r="AJ143" s="60"/>
      <c r="AK143" s="60"/>
      <c r="AL143" s="60"/>
      <c r="AM143" s="61"/>
      <c r="AN143" s="0" t="str">
        <f aca="false">IF(ISBLANK(Z143),"","Capped")</f>
        <v/>
      </c>
      <c r="AO143" s="0" t="s">
        <v>393</v>
      </c>
      <c r="AP143" s="0" t="str">
        <f aca="false">TRIM(BA143)</f>
        <v>DDm125-33</v>
      </c>
      <c r="AQ143" s="59" t="e">
        <f aca="false">_xlfn.xlookup(A143,'SYS Allocations'!A:A,'SYS Allocations'!B:B)</f>
        <v>#NAME?</v>
      </c>
      <c r="AR143" s="59" t="e">
        <f aca="false">_xlfn.xlookup(A143,'SYS Allocations'!A:A,'SYS Allocations'!C:C)</f>
        <v>#NAME?</v>
      </c>
      <c r="AS143" s="59" t="e">
        <f aca="false">_xlfn.xlookup(A143,'SYS Allocations'!A:A,'SYS Allocations'!D:D)</f>
        <v>#NAME?</v>
      </c>
      <c r="AT143" s="59" t="e">
        <f aca="false">_xlfn.xlookup(A143,'SYS Allocations'!A:A,'SYS Allocations'!E:E)</f>
        <v>#NAME?</v>
      </c>
      <c r="AU143" s="59" t="e">
        <f aca="false">_xlfn.xlookup(A143,'SYS Allocations'!A:A,'SYS Allocations'!F:F)</f>
        <v>#NAME?</v>
      </c>
      <c r="BA143" s="0" t="str">
        <f aca="false">IFERROR(LEFT(R143,FIND("(",R143,1)-1),R143)</f>
        <v>DDm125-33</v>
      </c>
    </row>
    <row r="144" customFormat="false" ht="13.15" hidden="false" customHeight="false" outlineLevel="0" collapsed="false">
      <c r="A144" s="20" t="s">
        <v>160</v>
      </c>
      <c r="B144" s="0" t="s">
        <v>394</v>
      </c>
      <c r="C144" s="0" t="s">
        <v>639</v>
      </c>
      <c r="D144" s="0" t="s">
        <v>319</v>
      </c>
      <c r="E144" s="0" t="s">
        <v>645</v>
      </c>
      <c r="F144" s="0" t="s">
        <v>601</v>
      </c>
      <c r="G144" s="0" t="n">
        <v>37.5</v>
      </c>
      <c r="H144" s="0" t="n">
        <v>12</v>
      </c>
      <c r="I144" s="0" t="n">
        <v>120</v>
      </c>
      <c r="J144" s="0" t="n">
        <v>6.54</v>
      </c>
      <c r="K144" s="45" t="n">
        <v>44637.6666666667</v>
      </c>
      <c r="L144" s="0" t="n">
        <v>17.985</v>
      </c>
      <c r="M144" s="0" t="n">
        <v>11.445</v>
      </c>
      <c r="N144" s="0" t="n">
        <v>10.43675</v>
      </c>
      <c r="O144" s="0" t="n">
        <v>3.89675</v>
      </c>
      <c r="P144" s="0" t="s">
        <v>325</v>
      </c>
      <c r="Q144" s="0" t="s">
        <v>331</v>
      </c>
      <c r="R144" s="0" t="s">
        <v>605</v>
      </c>
      <c r="S144" s="0" t="n">
        <v>18.792</v>
      </c>
      <c r="T144" s="0" t="n">
        <v>12.252</v>
      </c>
      <c r="U144" s="0" t="s">
        <v>325</v>
      </c>
      <c r="V144" s="0" t="s">
        <v>642</v>
      </c>
      <c r="W144" s="0" t="n">
        <v>24</v>
      </c>
      <c r="X144" s="0" t="n">
        <v>17.46</v>
      </c>
      <c r="Y144" s="0" t="n">
        <v>3</v>
      </c>
      <c r="AB144" s="58" t="n">
        <f aca="false">M144-AA144</f>
        <v>11.445</v>
      </c>
      <c r="AC144" s="58" t="n">
        <f aca="false">O144-AA144</f>
        <v>3.89675</v>
      </c>
      <c r="AD144" s="58" t="n">
        <f aca="false">AB144/L144%</f>
        <v>63.6363636363637</v>
      </c>
      <c r="AE144" s="58" t="n">
        <f aca="false">AC144/N144%</f>
        <v>37.3368146214099</v>
      </c>
      <c r="AF144" s="58" t="n">
        <f aca="false">T144-AA144</f>
        <v>12.252</v>
      </c>
      <c r="AG144" s="58" t="n">
        <f aca="false">AF144/S144%</f>
        <v>65.1979565772669</v>
      </c>
      <c r="AH144" s="58" t="n">
        <f aca="false">W144</f>
        <v>24</v>
      </c>
      <c r="AI144" s="58" t="n">
        <f aca="false">J144</f>
        <v>6.54</v>
      </c>
      <c r="AJ144" s="58" t="n">
        <f aca="false">AH144-AI144</f>
        <v>17.46</v>
      </c>
      <c r="AK144" s="58" t="n">
        <f aca="false">AA144</f>
        <v>0</v>
      </c>
      <c r="AL144" s="58" t="n">
        <f aca="false">AJ144-AK144</f>
        <v>17.46</v>
      </c>
      <c r="AM144" s="58" t="n">
        <f aca="false">AL144/AH144%</f>
        <v>72.75</v>
      </c>
      <c r="AN144" s="0" t="str">
        <f aca="false">IF(ISBLANK(Z144),"","Capped")</f>
        <v/>
      </c>
      <c r="AO144" s="0" t="s">
        <v>327</v>
      </c>
      <c r="AP144" s="0" t="str">
        <f aca="false">TRIM(BA144)</f>
        <v>DDm85-27</v>
      </c>
      <c r="AQ144" s="59" t="e">
        <f aca="false">_xlfn.xlookup(A144,'SYS Allocations'!A:A,'SYS Allocations'!B:B)</f>
        <v>#NAME?</v>
      </c>
      <c r="AR144" s="59" t="e">
        <f aca="false">_xlfn.xlookup(A144,'SYS Allocations'!A:A,'SYS Allocations'!C:C)</f>
        <v>#NAME?</v>
      </c>
      <c r="AS144" s="59" t="e">
        <f aca="false">_xlfn.xlookup(A144,'SYS Allocations'!A:A,'SYS Allocations'!D:D)</f>
        <v>#NAME?</v>
      </c>
      <c r="AT144" s="59" t="e">
        <f aca="false">_xlfn.xlookup(A144,'SYS Allocations'!A:A,'SYS Allocations'!E:E)</f>
        <v>#NAME?</v>
      </c>
      <c r="AU144" s="59" t="e">
        <f aca="false">_xlfn.xlookup(A144,'SYS Allocations'!A:A,'SYS Allocations'!F:F)</f>
        <v>#NAME?</v>
      </c>
      <c r="BA144" s="0" t="str">
        <f aca="false">IFERROR(LEFT(R144,FIND("(",R144,1)-1),R144)</f>
        <v>DDm85-27</v>
      </c>
    </row>
    <row r="145" customFormat="false" ht="13.15" hidden="false" customHeight="false" outlineLevel="0" collapsed="false">
      <c r="A145" s="20" t="s">
        <v>161</v>
      </c>
      <c r="B145" s="0" t="s">
        <v>394</v>
      </c>
      <c r="C145" s="0" t="s">
        <v>639</v>
      </c>
      <c r="D145" s="0" t="s">
        <v>319</v>
      </c>
      <c r="E145" s="0" t="s">
        <v>646</v>
      </c>
      <c r="F145" s="0" t="s">
        <v>321</v>
      </c>
      <c r="G145" s="0" t="n">
        <v>36.6</v>
      </c>
      <c r="H145" s="0" t="n">
        <v>42</v>
      </c>
      <c r="I145" s="0" t="n">
        <v>472</v>
      </c>
      <c r="J145" s="0" t="n">
        <v>25.724</v>
      </c>
      <c r="K145" s="45" t="n">
        <v>45659</v>
      </c>
      <c r="L145" s="0" t="n">
        <v>65.42616</v>
      </c>
      <c r="M145" s="0" t="n">
        <v>39.70216</v>
      </c>
      <c r="N145" s="0" t="n">
        <v>49.0827</v>
      </c>
      <c r="O145" s="0" t="n">
        <v>23.3587</v>
      </c>
      <c r="P145" s="0" t="s">
        <v>322</v>
      </c>
      <c r="Q145" s="0" t="s">
        <v>331</v>
      </c>
      <c r="R145" s="0" t="s">
        <v>345</v>
      </c>
      <c r="S145" s="0" t="n">
        <v>53.3304</v>
      </c>
      <c r="T145" s="0" t="n">
        <v>27.6064</v>
      </c>
      <c r="U145" s="0" t="s">
        <v>379</v>
      </c>
      <c r="V145" s="0" t="s">
        <v>647</v>
      </c>
      <c r="W145" s="0" t="n">
        <v>135</v>
      </c>
      <c r="X145" s="0" t="n">
        <v>109.276</v>
      </c>
      <c r="Y145" s="0" t="n">
        <v>135</v>
      </c>
      <c r="AB145" s="58" t="n">
        <f aca="false">M145-AA145</f>
        <v>39.70216</v>
      </c>
      <c r="AC145" s="58" t="n">
        <f aca="false">O145-AA145</f>
        <v>23.3587</v>
      </c>
      <c r="AD145" s="58" t="n">
        <f aca="false">AB145/L145%</f>
        <v>60.682393709183</v>
      </c>
      <c r="AE145" s="58" t="n">
        <f aca="false">AC145/N145%</f>
        <v>47.5904952254053</v>
      </c>
      <c r="AF145" s="58" t="n">
        <f aca="false">T145-AA145</f>
        <v>27.6064</v>
      </c>
      <c r="AG145" s="58" t="n">
        <f aca="false">AF145/S145%</f>
        <v>51.7648470665887</v>
      </c>
      <c r="AH145" s="58" t="n">
        <f aca="false">W145</f>
        <v>135</v>
      </c>
      <c r="AI145" s="58" t="n">
        <f aca="false">J145</f>
        <v>25.724</v>
      </c>
      <c r="AJ145" s="58" t="n">
        <f aca="false">AH145-AI145</f>
        <v>109.276</v>
      </c>
      <c r="AK145" s="58" t="n">
        <f aca="false">AA145</f>
        <v>0</v>
      </c>
      <c r="AL145" s="58" t="n">
        <f aca="false">AJ145-AK145</f>
        <v>109.276</v>
      </c>
      <c r="AM145" s="58" t="n">
        <f aca="false">AL145/AH145%</f>
        <v>80.9451851851852</v>
      </c>
      <c r="AN145" s="0" t="str">
        <f aca="false">IF(ISBLANK(Z145),"","Capped")</f>
        <v/>
      </c>
      <c r="AO145" s="0" t="s">
        <v>327</v>
      </c>
      <c r="AP145" s="0" t="str">
        <f aca="false">TRIM(BA145)</f>
        <v>DDm125-33</v>
      </c>
      <c r="AQ145" s="59" t="e">
        <f aca="false">_xlfn.xlookup(A145,'SYS Allocations'!A:A,'SYS Allocations'!B:B)</f>
        <v>#NAME?</v>
      </c>
      <c r="AR145" s="59" t="e">
        <f aca="false">_xlfn.xlookup(A145,'SYS Allocations'!A:A,'SYS Allocations'!C:C)</f>
        <v>#NAME?</v>
      </c>
      <c r="AS145" s="59" t="e">
        <f aca="false">_xlfn.xlookup(A145,'SYS Allocations'!A:A,'SYS Allocations'!D:D)</f>
        <v>#NAME?</v>
      </c>
      <c r="AT145" s="59" t="e">
        <f aca="false">_xlfn.xlookup(A145,'SYS Allocations'!A:A,'SYS Allocations'!E:E)</f>
        <v>#NAME?</v>
      </c>
      <c r="AU145" s="59" t="e">
        <f aca="false">_xlfn.xlookup(A145,'SYS Allocations'!A:A,'SYS Allocations'!F:F)</f>
        <v>#NAME?</v>
      </c>
      <c r="BA145" s="0" t="str">
        <f aca="false">IFERROR(LEFT(R145,FIND("(",R145,1)-1),R145)</f>
        <v>DDm125-33</v>
      </c>
    </row>
    <row r="146" customFormat="false" ht="13.15" hidden="false" customHeight="false" outlineLevel="0" collapsed="false">
      <c r="A146" s="20" t="s">
        <v>162</v>
      </c>
      <c r="B146" s="0" t="s">
        <v>328</v>
      </c>
      <c r="C146" s="0" t="s">
        <v>648</v>
      </c>
      <c r="D146" s="0" t="s">
        <v>319</v>
      </c>
      <c r="E146" s="0" t="s">
        <v>649</v>
      </c>
      <c r="F146" s="0" t="s">
        <v>321</v>
      </c>
      <c r="G146" s="0" t="n">
        <v>36.6</v>
      </c>
      <c r="H146" s="0" t="n">
        <v>35</v>
      </c>
      <c r="I146" s="0" t="n">
        <v>500</v>
      </c>
      <c r="J146" s="0" t="n">
        <v>27.25</v>
      </c>
      <c r="K146" s="45" t="n">
        <v>45659</v>
      </c>
      <c r="L146" s="0" t="n">
        <v>54.25584</v>
      </c>
      <c r="M146" s="0" t="n">
        <v>27.00584</v>
      </c>
      <c r="N146" s="0" t="n">
        <v>35.1198</v>
      </c>
      <c r="O146" s="0" t="n">
        <v>7.8698</v>
      </c>
      <c r="P146" s="0" t="s">
        <v>322</v>
      </c>
      <c r="Q146" s="0" t="s">
        <v>331</v>
      </c>
      <c r="R146" s="0" t="s">
        <v>345</v>
      </c>
      <c r="S146" s="0" t="n">
        <v>53.3304</v>
      </c>
      <c r="T146" s="0" t="n">
        <v>26.0804</v>
      </c>
      <c r="U146" s="0" t="s">
        <v>337</v>
      </c>
      <c r="V146" s="0" t="s">
        <v>436</v>
      </c>
      <c r="W146" s="0" t="n">
        <v>67.5</v>
      </c>
      <c r="X146" s="0" t="n">
        <v>40.25</v>
      </c>
      <c r="Y146" s="0" t="n">
        <v>44</v>
      </c>
      <c r="AB146" s="58" t="n">
        <f aca="false">M146-AA146</f>
        <v>27.00584</v>
      </c>
      <c r="AC146" s="58" t="n">
        <f aca="false">O146-AA146</f>
        <v>7.8698</v>
      </c>
      <c r="AD146" s="58" t="n">
        <f aca="false">AB146/L146%</f>
        <v>49.7749919639987</v>
      </c>
      <c r="AE146" s="58" t="n">
        <f aca="false">AC146/N146%</f>
        <v>22.4084419615146</v>
      </c>
      <c r="AF146" s="58" t="n">
        <f aca="false">T146-AA146</f>
        <v>26.0804</v>
      </c>
      <c r="AG146" s="58" t="n">
        <f aca="false">AF146/S146%</f>
        <v>48.9034396891829</v>
      </c>
      <c r="AH146" s="58" t="n">
        <f aca="false">W146</f>
        <v>67.5</v>
      </c>
      <c r="AI146" s="58" t="n">
        <f aca="false">J146</f>
        <v>27.25</v>
      </c>
      <c r="AJ146" s="58" t="n">
        <f aca="false">AH146-AI146</f>
        <v>40.25</v>
      </c>
      <c r="AK146" s="58" t="n">
        <f aca="false">AA146</f>
        <v>0</v>
      </c>
      <c r="AL146" s="58" t="n">
        <f aca="false">AJ146-AK146</f>
        <v>40.25</v>
      </c>
      <c r="AM146" s="58" t="n">
        <f aca="false">AL146/AH146%</f>
        <v>59.6296296296296</v>
      </c>
      <c r="AN146" s="0" t="str">
        <f aca="false">IF(ISBLANK(Z146),"","Capped")</f>
        <v/>
      </c>
      <c r="AO146" s="0" t="s">
        <v>327</v>
      </c>
      <c r="AP146" s="0" t="str">
        <f aca="false">TRIM(BA146)</f>
        <v>DDm125-33</v>
      </c>
      <c r="AQ146" s="59" t="e">
        <f aca="false">_xlfn.xlookup(A146,'SYS Allocations'!A:A,'SYS Allocations'!B:B)</f>
        <v>#NAME?</v>
      </c>
      <c r="AR146" s="59" t="e">
        <f aca="false">_xlfn.xlookup(A146,'SYS Allocations'!A:A,'SYS Allocations'!C:C)</f>
        <v>#NAME?</v>
      </c>
      <c r="AS146" s="59" t="e">
        <f aca="false">_xlfn.xlookup(A146,'SYS Allocations'!A:A,'SYS Allocations'!D:D)</f>
        <v>#NAME?</v>
      </c>
      <c r="AT146" s="59" t="e">
        <f aca="false">_xlfn.xlookup(A146,'SYS Allocations'!A:A,'SYS Allocations'!E:E)</f>
        <v>#NAME?</v>
      </c>
      <c r="AU146" s="59" t="e">
        <f aca="false">_xlfn.xlookup(A146,'SYS Allocations'!A:A,'SYS Allocations'!F:F)</f>
        <v>#NAME?</v>
      </c>
      <c r="BA146" s="0" t="str">
        <f aca="false">IFERROR(LEFT(R146,FIND("(",R146,1)-1),R146)</f>
        <v>DDm125-33</v>
      </c>
    </row>
    <row r="147" customFormat="false" ht="13.15" hidden="false" customHeight="false" outlineLevel="0" collapsed="false">
      <c r="A147" s="20" t="s">
        <v>163</v>
      </c>
      <c r="B147" s="0" t="s">
        <v>419</v>
      </c>
      <c r="C147" s="0" t="s">
        <v>650</v>
      </c>
      <c r="D147" s="0" t="s">
        <v>319</v>
      </c>
      <c r="E147" s="0" t="s">
        <v>651</v>
      </c>
      <c r="F147" s="0" t="s">
        <v>321</v>
      </c>
      <c r="G147" s="0" t="n">
        <v>36.6</v>
      </c>
      <c r="H147" s="0" t="n">
        <v>24</v>
      </c>
      <c r="I147" s="0" t="n">
        <v>182</v>
      </c>
      <c r="J147" s="0" t="n">
        <v>9.919</v>
      </c>
      <c r="K147" s="45" t="n">
        <v>45659</v>
      </c>
      <c r="L147" s="0" t="n">
        <v>36.70248</v>
      </c>
      <c r="M147" s="0" t="n">
        <v>26.78348</v>
      </c>
      <c r="N147" s="0" t="n">
        <v>24.0781</v>
      </c>
      <c r="O147" s="0" t="n">
        <v>14.1591</v>
      </c>
      <c r="P147" s="0" t="s">
        <v>325</v>
      </c>
      <c r="Q147" s="0" t="s">
        <v>331</v>
      </c>
      <c r="R147" s="0" t="s">
        <v>345</v>
      </c>
      <c r="S147" s="0" t="n">
        <v>35.5536</v>
      </c>
      <c r="T147" s="0" t="n">
        <v>25.6346</v>
      </c>
      <c r="U147" s="0" t="s">
        <v>325</v>
      </c>
      <c r="V147" s="0" t="s">
        <v>333</v>
      </c>
      <c r="W147" s="0" t="n">
        <v>22.5</v>
      </c>
      <c r="X147" s="0" t="n">
        <v>12.581</v>
      </c>
      <c r="Y147" s="0" t="n">
        <v>174</v>
      </c>
      <c r="AB147" s="58" t="n">
        <f aca="false">M147-AA147</f>
        <v>26.78348</v>
      </c>
      <c r="AC147" s="58" t="n">
        <f aca="false">O147-AA147</f>
        <v>14.1591</v>
      </c>
      <c r="AD147" s="58" t="n">
        <f aca="false">AB147/L147%</f>
        <v>72.9745782846282</v>
      </c>
      <c r="AE147" s="58" t="n">
        <f aca="false">AC147/N147%</f>
        <v>58.804889090086</v>
      </c>
      <c r="AF147" s="58" t="n">
        <f aca="false">T147-AA147</f>
        <v>25.6346</v>
      </c>
      <c r="AG147" s="58" t="n">
        <f aca="false">AF147/S147%</f>
        <v>72.1012780702939</v>
      </c>
      <c r="AH147" s="58" t="n">
        <f aca="false">W147</f>
        <v>22.5</v>
      </c>
      <c r="AI147" s="58" t="n">
        <f aca="false">J147</f>
        <v>9.919</v>
      </c>
      <c r="AJ147" s="58" t="n">
        <f aca="false">AH147-AI147</f>
        <v>12.581</v>
      </c>
      <c r="AK147" s="58" t="n">
        <f aca="false">AA147</f>
        <v>0</v>
      </c>
      <c r="AL147" s="58" t="n">
        <f aca="false">AJ147-AK147</f>
        <v>12.581</v>
      </c>
      <c r="AM147" s="58" t="n">
        <f aca="false">AL147/AH147%</f>
        <v>55.9155555555556</v>
      </c>
      <c r="AN147" s="0" t="str">
        <f aca="false">IF(ISBLANK(Z147),"","Capped")</f>
        <v/>
      </c>
      <c r="AO147" s="0" t="s">
        <v>327</v>
      </c>
      <c r="AP147" s="0" t="str">
        <f aca="false">TRIM(BA147)</f>
        <v>DDm125-33</v>
      </c>
      <c r="AQ147" s="59" t="e">
        <f aca="false">_xlfn.xlookup(A147,'SYS Allocations'!A:A,'SYS Allocations'!B:B)</f>
        <v>#NAME?</v>
      </c>
      <c r="AR147" s="59" t="e">
        <f aca="false">_xlfn.xlookup(A147,'SYS Allocations'!A:A,'SYS Allocations'!C:C)</f>
        <v>#NAME?</v>
      </c>
      <c r="AS147" s="59" t="e">
        <f aca="false">_xlfn.xlookup(A147,'SYS Allocations'!A:A,'SYS Allocations'!D:D)</f>
        <v>#NAME?</v>
      </c>
      <c r="AT147" s="59" t="e">
        <f aca="false">_xlfn.xlookup(A147,'SYS Allocations'!A:A,'SYS Allocations'!E:E)</f>
        <v>#NAME?</v>
      </c>
      <c r="AU147" s="59" t="e">
        <f aca="false">_xlfn.xlookup(A147,'SYS Allocations'!A:A,'SYS Allocations'!F:F)</f>
        <v>#NAME?</v>
      </c>
      <c r="BA147" s="0" t="str">
        <f aca="false">IFERROR(LEFT(R147,FIND("(",R147,1)-1),R147)</f>
        <v>DDm125-33</v>
      </c>
    </row>
    <row r="148" customFormat="false" ht="13.15" hidden="false" customHeight="false" outlineLevel="0" collapsed="false">
      <c r="A148" s="20" t="s">
        <v>164</v>
      </c>
      <c r="B148" s="0" t="s">
        <v>376</v>
      </c>
      <c r="C148" s="0" t="s">
        <v>652</v>
      </c>
      <c r="D148" s="0" t="s">
        <v>390</v>
      </c>
      <c r="E148" s="0" t="s">
        <v>653</v>
      </c>
      <c r="F148" s="0" t="s">
        <v>321</v>
      </c>
      <c r="G148" s="0" t="n">
        <v>36.6</v>
      </c>
      <c r="H148" s="0" t="n">
        <v>11</v>
      </c>
      <c r="I148" s="0" t="n">
        <v>105</v>
      </c>
      <c r="J148" s="0" t="n">
        <v>5.7225</v>
      </c>
      <c r="K148" s="45" t="n">
        <v>45435</v>
      </c>
      <c r="L148" s="0" t="n">
        <v>15.9576</v>
      </c>
      <c r="M148" s="0" t="n">
        <v>10.2351</v>
      </c>
      <c r="N148" s="0" t="n">
        <v>6.0495</v>
      </c>
      <c r="O148" s="0" t="n">
        <v>0.327</v>
      </c>
      <c r="P148" s="0" t="s">
        <v>322</v>
      </c>
      <c r="Q148" s="0" t="s">
        <v>331</v>
      </c>
      <c r="R148" s="0" t="s">
        <v>568</v>
      </c>
      <c r="S148" s="0" t="n">
        <v>21.6432</v>
      </c>
      <c r="T148" s="0" t="n">
        <v>15.9207</v>
      </c>
      <c r="U148" s="0" t="s">
        <v>322</v>
      </c>
      <c r="V148" s="0" t="s">
        <v>654</v>
      </c>
      <c r="W148" s="0" t="n">
        <v>21</v>
      </c>
      <c r="X148" s="0" t="n">
        <v>15.2775</v>
      </c>
      <c r="Y148" s="0" t="n">
        <v>1</v>
      </c>
      <c r="Z148" s="0" t="s">
        <v>8</v>
      </c>
      <c r="AB148" s="58" t="n">
        <f aca="false">M148-AA148</f>
        <v>10.2351</v>
      </c>
      <c r="AC148" s="58" t="n">
        <f aca="false">O148-AA148</f>
        <v>0.327</v>
      </c>
      <c r="AD148" s="58" t="n">
        <f aca="false">AB148/L148%</f>
        <v>64.1393442622951</v>
      </c>
      <c r="AE148" s="58" t="n">
        <f aca="false">AC148/N148%</f>
        <v>5.40540540540541</v>
      </c>
      <c r="AF148" s="58" t="n">
        <f aca="false">T148-AA148</f>
        <v>15.9207</v>
      </c>
      <c r="AG148" s="58" t="n">
        <f aca="false">AF148/S148%</f>
        <v>73.5598247948547</v>
      </c>
      <c r="AH148" s="58" t="n">
        <f aca="false">W148</f>
        <v>21</v>
      </c>
      <c r="AI148" s="58" t="n">
        <f aca="false">J148</f>
        <v>5.7225</v>
      </c>
      <c r="AJ148" s="58" t="n">
        <f aca="false">AH148-AI148</f>
        <v>15.2775</v>
      </c>
      <c r="AK148" s="58" t="n">
        <f aca="false">AA148</f>
        <v>0</v>
      </c>
      <c r="AL148" s="58" t="n">
        <f aca="false">AJ148-AK148</f>
        <v>15.2775</v>
      </c>
      <c r="AM148" s="58" t="n">
        <f aca="false">AL148/AH148%</f>
        <v>72.75</v>
      </c>
      <c r="AN148" s="0" t="str">
        <f aca="false">IF(ISBLANK(Z148),"","Capped")</f>
        <v>Capped</v>
      </c>
      <c r="AO148" s="0" t="s">
        <v>327</v>
      </c>
      <c r="AP148" s="0" t="str">
        <f aca="false">TRIM(BA148)</f>
        <v>DDm85-21</v>
      </c>
      <c r="AQ148" s="59" t="e">
        <f aca="false">_xlfn.xlookup(A148,'SYS Allocations'!A:A,'SYS Allocations'!B:B)</f>
        <v>#NAME?</v>
      </c>
      <c r="AR148" s="59" t="e">
        <f aca="false">_xlfn.xlookup(A148,'SYS Allocations'!A:A,'SYS Allocations'!C:C)</f>
        <v>#NAME?</v>
      </c>
      <c r="AS148" s="59" t="e">
        <f aca="false">_xlfn.xlookup(A148,'SYS Allocations'!A:A,'SYS Allocations'!D:D)</f>
        <v>#NAME?</v>
      </c>
      <c r="AT148" s="59" t="e">
        <f aca="false">_xlfn.xlookup(A148,'SYS Allocations'!A:A,'SYS Allocations'!E:E)</f>
        <v>#NAME?</v>
      </c>
      <c r="AU148" s="59" t="e">
        <f aca="false">_xlfn.xlookup(A148,'SYS Allocations'!A:A,'SYS Allocations'!F:F)</f>
        <v>#NAME?</v>
      </c>
      <c r="BA148" s="0" t="str">
        <f aca="false">IFERROR(LEFT(R148,FIND("(",R148,1)-1),R148)</f>
        <v>DDm85-21</v>
      </c>
    </row>
    <row r="149" customFormat="false" ht="13.15" hidden="false" customHeight="false" outlineLevel="0" collapsed="false">
      <c r="A149" s="20" t="s">
        <v>165</v>
      </c>
      <c r="B149" s="0" t="s">
        <v>419</v>
      </c>
      <c r="C149" s="0" t="s">
        <v>655</v>
      </c>
      <c r="D149" s="0" t="s">
        <v>319</v>
      </c>
      <c r="E149" s="0" t="s">
        <v>656</v>
      </c>
      <c r="F149" s="0" t="s">
        <v>321</v>
      </c>
      <c r="G149" s="0" t="n">
        <v>36.6</v>
      </c>
      <c r="H149" s="0" t="n">
        <v>10</v>
      </c>
      <c r="I149" s="0" t="n">
        <v>96</v>
      </c>
      <c r="J149" s="0" t="n">
        <v>5.232</v>
      </c>
      <c r="K149" s="45" t="n">
        <v>45659</v>
      </c>
      <c r="L149" s="0" t="n">
        <v>14.36184</v>
      </c>
      <c r="M149" s="0" t="n">
        <v>9.12984</v>
      </c>
      <c r="N149" s="0" t="n">
        <v>17.7343</v>
      </c>
      <c r="O149" s="0" t="n">
        <v>12.5023</v>
      </c>
      <c r="P149" s="0" t="s">
        <v>337</v>
      </c>
      <c r="Q149" s="0" t="s">
        <v>352</v>
      </c>
      <c r="R149" s="0" t="s">
        <v>353</v>
      </c>
      <c r="S149" s="0" t="n">
        <v>3.456</v>
      </c>
      <c r="T149" s="0" t="n">
        <v>-1.776</v>
      </c>
      <c r="U149" s="0" t="s">
        <v>325</v>
      </c>
      <c r="V149" s="0" t="s">
        <v>442</v>
      </c>
      <c r="W149" s="0" t="n">
        <v>11.25</v>
      </c>
      <c r="X149" s="0" t="n">
        <v>6.018</v>
      </c>
      <c r="Y149" s="0" t="n">
        <v>4</v>
      </c>
      <c r="AB149" s="58" t="n">
        <f aca="false">M149-AA149</f>
        <v>9.12984</v>
      </c>
      <c r="AC149" s="58" t="n">
        <f aca="false">O149-AA149</f>
        <v>12.5023</v>
      </c>
      <c r="AD149" s="58" t="n">
        <f aca="false">AB149/L149%</f>
        <v>63.5701275045537</v>
      </c>
      <c r="AE149" s="58" t="n">
        <f aca="false">AC149/N149%</f>
        <v>70.4978488014751</v>
      </c>
      <c r="AF149" s="58" t="n">
        <f aca="false">T149-AA149</f>
        <v>-1.776</v>
      </c>
      <c r="AG149" s="58" t="n">
        <f aca="false">AF149/S149%</f>
        <v>-51.3888888888889</v>
      </c>
      <c r="AH149" s="58" t="n">
        <f aca="false">W149</f>
        <v>11.25</v>
      </c>
      <c r="AI149" s="58" t="n">
        <f aca="false">J149</f>
        <v>5.232</v>
      </c>
      <c r="AJ149" s="58" t="n">
        <f aca="false">AH149-AI149</f>
        <v>6.018</v>
      </c>
      <c r="AK149" s="58" t="n">
        <f aca="false">AA149</f>
        <v>0</v>
      </c>
      <c r="AL149" s="58" t="n">
        <f aca="false">AJ149-AK149</f>
        <v>6.018</v>
      </c>
      <c r="AM149" s="58" t="n">
        <f aca="false">AL149/AH149%</f>
        <v>53.4933333333333</v>
      </c>
      <c r="AN149" s="0" t="str">
        <f aca="false">IF(ISBLANK(Z149),"","Capped")</f>
        <v/>
      </c>
      <c r="AO149" s="0" t="s">
        <v>327</v>
      </c>
      <c r="AP149" s="0" t="str">
        <f aca="false">TRIM(BA149)</f>
        <v>SBS C11F</v>
      </c>
      <c r="AQ149" s="59" t="e">
        <f aca="false">_xlfn.xlookup(A149,'SYS Allocations'!A:A,'SYS Allocations'!B:B)</f>
        <v>#NAME?</v>
      </c>
      <c r="AR149" s="59" t="e">
        <f aca="false">_xlfn.xlookup(A149,'SYS Allocations'!A:A,'SYS Allocations'!C:C)</f>
        <v>#NAME?</v>
      </c>
      <c r="AS149" s="59" t="e">
        <f aca="false">_xlfn.xlookup(A149,'SYS Allocations'!A:A,'SYS Allocations'!D:D)</f>
        <v>#NAME?</v>
      </c>
      <c r="AT149" s="59" t="e">
        <f aca="false">_xlfn.xlookup(A149,'SYS Allocations'!A:A,'SYS Allocations'!E:E)</f>
        <v>#NAME?</v>
      </c>
      <c r="AU149" s="59" t="e">
        <f aca="false">_xlfn.xlookup(A149,'SYS Allocations'!A:A,'SYS Allocations'!F:F)</f>
        <v>#NAME?</v>
      </c>
      <c r="BA149" s="0" t="str">
        <f aca="false">IFERROR(LEFT(R149,FIND("(",R149,1)-1),R149)</f>
        <v>SBS C11F</v>
      </c>
    </row>
    <row r="150" customFormat="false" ht="13.15" hidden="false" customHeight="false" outlineLevel="0" collapsed="false">
      <c r="A150" s="20" t="s">
        <v>166</v>
      </c>
      <c r="B150" s="0" t="s">
        <v>419</v>
      </c>
      <c r="C150" s="0" t="s">
        <v>657</v>
      </c>
      <c r="D150" s="0" t="s">
        <v>319</v>
      </c>
      <c r="E150" s="0" t="s">
        <v>658</v>
      </c>
      <c r="F150" s="0" t="s">
        <v>321</v>
      </c>
      <c r="G150" s="0" t="n">
        <v>36.6</v>
      </c>
      <c r="H150" s="0" t="n">
        <v>26</v>
      </c>
      <c r="I150" s="0" t="n">
        <v>317</v>
      </c>
      <c r="J150" s="0" t="n">
        <v>17.2765</v>
      </c>
      <c r="K150" s="45" t="n">
        <v>45659</v>
      </c>
      <c r="L150" s="0" t="n">
        <v>39.894</v>
      </c>
      <c r="M150" s="0" t="n">
        <v>22.6175</v>
      </c>
      <c r="N150" s="0" t="n">
        <v>28.0675</v>
      </c>
      <c r="O150" s="0" t="n">
        <v>10.791</v>
      </c>
      <c r="P150" s="0" t="s">
        <v>325</v>
      </c>
      <c r="Q150" s="0" t="s">
        <v>331</v>
      </c>
      <c r="R150" s="0" t="s">
        <v>345</v>
      </c>
      <c r="S150" s="0" t="n">
        <v>35.5536</v>
      </c>
      <c r="T150" s="0" t="n">
        <v>18.2771</v>
      </c>
      <c r="U150" s="0" t="s">
        <v>322</v>
      </c>
      <c r="V150" s="0" t="s">
        <v>399</v>
      </c>
      <c r="W150" s="0" t="n">
        <v>37.5</v>
      </c>
      <c r="X150" s="0" t="n">
        <v>20.2235</v>
      </c>
      <c r="Y150" s="0" t="n">
        <v>18</v>
      </c>
      <c r="AB150" s="58" t="n">
        <f aca="false">M150-AA150</f>
        <v>22.6175</v>
      </c>
      <c r="AC150" s="58" t="n">
        <f aca="false">O150-AA150</f>
        <v>10.791</v>
      </c>
      <c r="AD150" s="58" t="n">
        <f aca="false">AB150/L150%</f>
        <v>56.6939890710383</v>
      </c>
      <c r="AE150" s="58" t="n">
        <f aca="false">AC150/N150%</f>
        <v>38.4466019417476</v>
      </c>
      <c r="AF150" s="58" t="n">
        <f aca="false">T150-AA150</f>
        <v>18.2771</v>
      </c>
      <c r="AG150" s="58" t="n">
        <f aca="false">AF150/S150%</f>
        <v>51.4071711444129</v>
      </c>
      <c r="AH150" s="58" t="n">
        <f aca="false">W150</f>
        <v>37.5</v>
      </c>
      <c r="AI150" s="58" t="n">
        <f aca="false">J150</f>
        <v>17.2765</v>
      </c>
      <c r="AJ150" s="58" t="n">
        <f aca="false">AH150-AI150</f>
        <v>20.2235</v>
      </c>
      <c r="AK150" s="58" t="n">
        <f aca="false">AA150</f>
        <v>0</v>
      </c>
      <c r="AL150" s="58" t="n">
        <f aca="false">AJ150-AK150</f>
        <v>20.2235</v>
      </c>
      <c r="AM150" s="58" t="n">
        <f aca="false">AL150/AH150%</f>
        <v>53.9293333333333</v>
      </c>
      <c r="AN150" s="0" t="str">
        <f aca="false">IF(ISBLANK(Z150),"","Capped")</f>
        <v/>
      </c>
      <c r="AO150" s="0" t="s">
        <v>327</v>
      </c>
      <c r="AP150" s="0" t="str">
        <f aca="false">TRIM(BA150)</f>
        <v>DDm125-33</v>
      </c>
      <c r="AQ150" s="59" t="e">
        <f aca="false">_xlfn.xlookup(A150,'SYS Allocations'!A:A,'SYS Allocations'!B:B)</f>
        <v>#NAME?</v>
      </c>
      <c r="AR150" s="59" t="e">
        <f aca="false">_xlfn.xlookup(A150,'SYS Allocations'!A:A,'SYS Allocations'!C:C)</f>
        <v>#NAME?</v>
      </c>
      <c r="AS150" s="59" t="e">
        <f aca="false">_xlfn.xlookup(A150,'SYS Allocations'!A:A,'SYS Allocations'!D:D)</f>
        <v>#NAME?</v>
      </c>
      <c r="AT150" s="59" t="e">
        <f aca="false">_xlfn.xlookup(A150,'SYS Allocations'!A:A,'SYS Allocations'!E:E)</f>
        <v>#NAME?</v>
      </c>
      <c r="AU150" s="59" t="e">
        <f aca="false">_xlfn.xlookup(A150,'SYS Allocations'!A:A,'SYS Allocations'!F:F)</f>
        <v>#NAME?</v>
      </c>
      <c r="BA150" s="0" t="str">
        <f aca="false">IFERROR(LEFT(R150,FIND("(",R150,1)-1),R150)</f>
        <v>DDm125-33</v>
      </c>
    </row>
    <row r="151" customFormat="false" ht="13.15" hidden="false" customHeight="false" outlineLevel="0" collapsed="false">
      <c r="A151" s="20" t="s">
        <v>167</v>
      </c>
      <c r="B151" s="0" t="s">
        <v>342</v>
      </c>
      <c r="C151" s="0" t="s">
        <v>342</v>
      </c>
      <c r="D151" s="0" t="s">
        <v>390</v>
      </c>
      <c r="E151" s="0" t="s">
        <v>659</v>
      </c>
      <c r="F151" s="0" t="s">
        <v>364</v>
      </c>
      <c r="G151" s="0" t="n">
        <v>75</v>
      </c>
      <c r="H151" s="0" t="n">
        <v>35</v>
      </c>
      <c r="I151" s="0" t="n">
        <v>1428</v>
      </c>
      <c r="J151" s="0" t="n">
        <v>77.826</v>
      </c>
      <c r="K151" s="45" t="n">
        <v>45301</v>
      </c>
      <c r="L151" s="0" t="n">
        <v>111.18</v>
      </c>
      <c r="M151" s="0" t="n">
        <v>33.354</v>
      </c>
      <c r="N151" s="0" t="n">
        <v>95.375</v>
      </c>
      <c r="O151" s="0" t="n">
        <v>17.549</v>
      </c>
      <c r="P151" s="0" t="s">
        <v>337</v>
      </c>
      <c r="Q151" s="0" t="s">
        <v>331</v>
      </c>
      <c r="R151" s="0" t="s">
        <v>660</v>
      </c>
      <c r="S151" s="0" t="n">
        <v>113.616</v>
      </c>
      <c r="T151" s="0" t="n">
        <v>35.79</v>
      </c>
      <c r="U151" s="0" t="s">
        <v>422</v>
      </c>
      <c r="V151" s="0" t="s">
        <v>661</v>
      </c>
      <c r="W151" s="0" t="n">
        <v>71.25</v>
      </c>
      <c r="X151" s="0" t="n">
        <v>-6.57599999999999</v>
      </c>
      <c r="Y151" s="0" t="n">
        <v>45</v>
      </c>
      <c r="Z151" s="0" t="s">
        <v>662</v>
      </c>
      <c r="AB151" s="58" t="n">
        <f aca="false">M151-AA151</f>
        <v>33.354</v>
      </c>
      <c r="AC151" s="58" t="n">
        <f aca="false">O151-AA151</f>
        <v>17.549</v>
      </c>
      <c r="AD151" s="58" t="n">
        <f aca="false">AB151/L151%</f>
        <v>30</v>
      </c>
      <c r="AE151" s="58" t="n">
        <f aca="false">AC151/N151%</f>
        <v>18.4</v>
      </c>
      <c r="AF151" s="58" t="n">
        <f aca="false">T151-AA151</f>
        <v>35.79</v>
      </c>
      <c r="AG151" s="58" t="n">
        <f aca="false">AF151/S151%</f>
        <v>31.5008449514153</v>
      </c>
      <c r="AH151" s="58" t="n">
        <f aca="false">W151</f>
        <v>71.25</v>
      </c>
      <c r="AI151" s="58" t="n">
        <f aca="false">J151</f>
        <v>77.826</v>
      </c>
      <c r="AJ151" s="58" t="n">
        <f aca="false">AH151-AI151</f>
        <v>-6.57599999999999</v>
      </c>
      <c r="AK151" s="58" t="n">
        <f aca="false">AA151</f>
        <v>0</v>
      </c>
      <c r="AL151" s="58" t="n">
        <f aca="false">AJ151-AK151</f>
        <v>-6.57599999999999</v>
      </c>
      <c r="AM151" s="58" t="n">
        <f aca="false">AL151/AH151%</f>
        <v>-9.22947368421052</v>
      </c>
      <c r="AN151" s="0" t="str">
        <f aca="false">IF(ISBLANK(Z151),"","Capped")</f>
        <v>Capped</v>
      </c>
      <c r="AO151" s="0" t="s">
        <v>327</v>
      </c>
      <c r="AP151" s="0" t="str">
        <f aca="false">TRIM(BA151)</f>
        <v>DDm125-33</v>
      </c>
      <c r="AQ151" s="59" t="e">
        <f aca="false">_xlfn.xlookup(A151,'SYS Allocations'!A:A,'SYS Allocations'!B:B)</f>
        <v>#NAME?</v>
      </c>
      <c r="AR151" s="59" t="e">
        <f aca="false">_xlfn.xlookup(A151,'SYS Allocations'!A:A,'SYS Allocations'!C:C)</f>
        <v>#NAME?</v>
      </c>
      <c r="AS151" s="59" t="e">
        <f aca="false">_xlfn.xlookup(A151,'SYS Allocations'!A:A,'SYS Allocations'!D:D)</f>
        <v>#NAME?</v>
      </c>
      <c r="AT151" s="59" t="e">
        <f aca="false">_xlfn.xlookup(A151,'SYS Allocations'!A:A,'SYS Allocations'!E:E)</f>
        <v>#NAME?</v>
      </c>
      <c r="AU151" s="59" t="e">
        <f aca="false">_xlfn.xlookup(A151,'SYS Allocations'!A:A,'SYS Allocations'!F:F)</f>
        <v>#NAME?</v>
      </c>
      <c r="BA151" s="0" t="str">
        <f aca="false">IFERROR(LEFT(R151,FIND("(",R151,1)-1),R151)</f>
        <v>DDm125-33 </v>
      </c>
    </row>
    <row r="152" customFormat="false" ht="13.15" hidden="false" customHeight="false" outlineLevel="0" collapsed="false">
      <c r="A152" s="20" t="s">
        <v>168</v>
      </c>
      <c r="B152" s="0" t="s">
        <v>388</v>
      </c>
      <c r="C152" s="0" t="s">
        <v>663</v>
      </c>
      <c r="D152" s="0" t="s">
        <v>390</v>
      </c>
      <c r="E152" s="0" t="s">
        <v>664</v>
      </c>
      <c r="F152" s="0" t="s">
        <v>364</v>
      </c>
      <c r="G152" s="0" t="n">
        <v>75</v>
      </c>
      <c r="H152" s="0" t="n">
        <v>12</v>
      </c>
      <c r="I152" s="0" t="n">
        <v>180</v>
      </c>
      <c r="J152" s="0" t="n">
        <v>9.81</v>
      </c>
      <c r="K152" s="45" t="n">
        <v>45329</v>
      </c>
      <c r="L152" s="0" t="n">
        <v>35.97</v>
      </c>
      <c r="M152" s="0" t="n">
        <v>26.16</v>
      </c>
      <c r="N152" s="0" t="n">
        <v>27.5225</v>
      </c>
      <c r="O152" s="0" t="n">
        <v>17.7125</v>
      </c>
      <c r="P152" s="0" t="s">
        <v>325</v>
      </c>
      <c r="Q152" s="0" t="s">
        <v>331</v>
      </c>
      <c r="R152" s="0" t="s">
        <v>403</v>
      </c>
      <c r="S152" s="0" t="n">
        <v>28.1232</v>
      </c>
      <c r="T152" s="0" t="n">
        <v>18.3132</v>
      </c>
      <c r="U152" s="0" t="s">
        <v>325</v>
      </c>
      <c r="V152" s="0" t="s">
        <v>333</v>
      </c>
      <c r="W152" s="0" t="n">
        <v>22.5</v>
      </c>
      <c r="X152" s="0" t="n">
        <v>12.69</v>
      </c>
      <c r="Y152" s="0" t="n">
        <v>7</v>
      </c>
      <c r="Z152" s="0" t="s">
        <v>8</v>
      </c>
      <c r="AB152" s="58" t="n">
        <f aca="false">M152-AA152</f>
        <v>26.16</v>
      </c>
      <c r="AC152" s="58" t="n">
        <f aca="false">O152-AA152</f>
        <v>17.7125</v>
      </c>
      <c r="AD152" s="58" t="n">
        <f aca="false">AB152/L152%</f>
        <v>72.7272727272727</v>
      </c>
      <c r="AE152" s="58" t="n">
        <f aca="false">AC152/N152%</f>
        <v>64.3564356435644</v>
      </c>
      <c r="AF152" s="58" t="n">
        <f aca="false">T152-AA152</f>
        <v>18.3132</v>
      </c>
      <c r="AG152" s="58" t="n">
        <f aca="false">AF152/S152%</f>
        <v>65.1177675371224</v>
      </c>
      <c r="AH152" s="58" t="n">
        <f aca="false">W152</f>
        <v>22.5</v>
      </c>
      <c r="AI152" s="58" t="n">
        <f aca="false">J152</f>
        <v>9.81</v>
      </c>
      <c r="AJ152" s="58" t="n">
        <f aca="false">AH152-AI152</f>
        <v>12.69</v>
      </c>
      <c r="AK152" s="58" t="n">
        <f aca="false">AA152</f>
        <v>0</v>
      </c>
      <c r="AL152" s="58" t="n">
        <f aca="false">AJ152-AK152</f>
        <v>12.69</v>
      </c>
      <c r="AM152" s="58" t="n">
        <f aca="false">AL152/AH152%</f>
        <v>56.4</v>
      </c>
      <c r="AN152" s="0" t="str">
        <f aca="false">IF(ISBLANK(Z152),"","Capped")</f>
        <v>Capped</v>
      </c>
      <c r="AO152" s="0" t="s">
        <v>327</v>
      </c>
      <c r="AP152" s="0" t="str">
        <f aca="false">TRIM(BA152)</f>
        <v>DDm100-33</v>
      </c>
      <c r="AQ152" s="59" t="e">
        <f aca="false">_xlfn.xlookup(A152,'SYS Allocations'!A:A,'SYS Allocations'!B:B)</f>
        <v>#NAME?</v>
      </c>
      <c r="AR152" s="59" t="e">
        <f aca="false">_xlfn.xlookup(A152,'SYS Allocations'!A:A,'SYS Allocations'!C:C)</f>
        <v>#NAME?</v>
      </c>
      <c r="AS152" s="59" t="e">
        <f aca="false">_xlfn.xlookup(A152,'SYS Allocations'!A:A,'SYS Allocations'!D:D)</f>
        <v>#NAME?</v>
      </c>
      <c r="AT152" s="59" t="e">
        <f aca="false">_xlfn.xlookup(A152,'SYS Allocations'!A:A,'SYS Allocations'!E:E)</f>
        <v>#NAME?</v>
      </c>
      <c r="AU152" s="59" t="e">
        <f aca="false">_xlfn.xlookup(A152,'SYS Allocations'!A:A,'SYS Allocations'!F:F)</f>
        <v>#NAME?</v>
      </c>
      <c r="BA152" s="0" t="str">
        <f aca="false">IFERROR(LEFT(R152,FIND("(",R152,1)-1),R152)</f>
        <v>DDm100-33</v>
      </c>
    </row>
    <row r="153" customFormat="false" ht="13.15" hidden="false" customHeight="false" outlineLevel="0" collapsed="false">
      <c r="A153" s="20" t="s">
        <v>169</v>
      </c>
      <c r="B153" s="0" t="s">
        <v>419</v>
      </c>
      <c r="C153" s="0" t="s">
        <v>665</v>
      </c>
      <c r="D153" s="0" t="s">
        <v>319</v>
      </c>
      <c r="E153" s="0" t="s">
        <v>666</v>
      </c>
      <c r="F153" s="0" t="s">
        <v>321</v>
      </c>
      <c r="G153" s="0" t="n">
        <v>36.6</v>
      </c>
      <c r="H153" s="0" t="n">
        <v>48</v>
      </c>
      <c r="I153" s="0" t="n">
        <v>310</v>
      </c>
      <c r="J153" s="0" t="n">
        <v>16.895</v>
      </c>
      <c r="K153" s="45" t="n">
        <v>45659</v>
      </c>
      <c r="L153" s="0" t="n">
        <v>75.00072</v>
      </c>
      <c r="M153" s="0" t="n">
        <v>58.10572</v>
      </c>
      <c r="N153" s="0" t="n">
        <v>50.1509</v>
      </c>
      <c r="O153" s="0" t="n">
        <v>33.2559</v>
      </c>
      <c r="P153" s="0" t="s">
        <v>337</v>
      </c>
      <c r="Q153" s="0" t="s">
        <v>331</v>
      </c>
      <c r="R153" s="0" t="s">
        <v>345</v>
      </c>
      <c r="S153" s="0" t="n">
        <v>71.1072000000002</v>
      </c>
      <c r="T153" s="0" t="n">
        <v>54.2122000000002</v>
      </c>
      <c r="U153" s="0" t="s">
        <v>322</v>
      </c>
      <c r="V153" s="0" t="s">
        <v>416</v>
      </c>
      <c r="W153" s="0" t="n">
        <v>90</v>
      </c>
      <c r="X153" s="0" t="n">
        <v>73.105</v>
      </c>
      <c r="Y153" s="0" t="n">
        <v>55</v>
      </c>
      <c r="AB153" s="58" t="n">
        <f aca="false">M153-AA153</f>
        <v>58.10572</v>
      </c>
      <c r="AC153" s="58" t="n">
        <f aca="false">O153-AA153</f>
        <v>33.2559</v>
      </c>
      <c r="AD153" s="58" t="n">
        <f aca="false">AB153/L153%</f>
        <v>77.4735495872573</v>
      </c>
      <c r="AE153" s="58" t="n">
        <f aca="false">AC153/N153%</f>
        <v>66.3116713757879</v>
      </c>
      <c r="AF153" s="58" t="n">
        <f aca="false">T153-AA153</f>
        <v>54.2122000000002</v>
      </c>
      <c r="AG153" s="58" t="n">
        <f aca="false">AF153/S153%</f>
        <v>76.2400994554701</v>
      </c>
      <c r="AH153" s="60" t="n">
        <f aca="false">AVERAGE(W153:W154)</f>
        <v>90</v>
      </c>
      <c r="AI153" s="60" t="n">
        <f aca="false">SUM(J153:J154)</f>
        <v>38.2045</v>
      </c>
      <c r="AJ153" s="60" t="n">
        <f aca="false">AH153-AI153</f>
        <v>51.7955</v>
      </c>
      <c r="AK153" s="60" t="n">
        <f aca="false">SUM(AA153:AA154)</f>
        <v>0</v>
      </c>
      <c r="AL153" s="60" t="n">
        <f aca="false">AJ153-AK153</f>
        <v>51.7955</v>
      </c>
      <c r="AM153" s="61" t="n">
        <f aca="false">AL153/AH153%</f>
        <v>57.5505555555556</v>
      </c>
      <c r="AN153" s="0" t="str">
        <f aca="false">IF(ISBLANK(Z153),"","Capped")</f>
        <v/>
      </c>
      <c r="AO153" s="0" t="s">
        <v>327</v>
      </c>
      <c r="AP153" s="0" t="str">
        <f aca="false">TRIM(BA153)</f>
        <v>DDm125-33</v>
      </c>
      <c r="AQ153" s="59" t="e">
        <f aca="false">_xlfn.xlookup(A153,'SYS Allocations'!A:A,'SYS Allocations'!B:B)</f>
        <v>#NAME?</v>
      </c>
      <c r="AR153" s="59" t="e">
        <f aca="false">_xlfn.xlookup(A153,'SYS Allocations'!A:A,'SYS Allocations'!C:C)</f>
        <v>#NAME?</v>
      </c>
      <c r="AS153" s="59" t="e">
        <f aca="false">_xlfn.xlookup(A153,'SYS Allocations'!A:A,'SYS Allocations'!D:D)</f>
        <v>#NAME?</v>
      </c>
      <c r="AT153" s="59" t="e">
        <f aca="false">_xlfn.xlookup(A153,'SYS Allocations'!A:A,'SYS Allocations'!E:E)</f>
        <v>#NAME?</v>
      </c>
      <c r="AU153" s="59" t="e">
        <f aca="false">_xlfn.xlookup(A153,'SYS Allocations'!A:A,'SYS Allocations'!F:F)</f>
        <v>#NAME?</v>
      </c>
      <c r="BA153" s="0" t="str">
        <f aca="false">IFERROR(LEFT(R153,FIND("(",R153,1)-1),R153)</f>
        <v>DDm125-33</v>
      </c>
    </row>
    <row r="154" customFormat="false" ht="13.15" hidden="false" customHeight="false" outlineLevel="0" collapsed="false">
      <c r="A154" s="20" t="s">
        <v>170</v>
      </c>
      <c r="B154" s="0" t="s">
        <v>419</v>
      </c>
      <c r="C154" s="0" t="s">
        <v>665</v>
      </c>
      <c r="D154" s="0" t="s">
        <v>319</v>
      </c>
      <c r="E154" s="0" t="s">
        <v>666</v>
      </c>
      <c r="F154" s="0" t="s">
        <v>321</v>
      </c>
      <c r="G154" s="0" t="n">
        <v>36.6</v>
      </c>
      <c r="H154" s="0" t="n">
        <v>42</v>
      </c>
      <c r="I154" s="0" t="n">
        <v>391</v>
      </c>
      <c r="J154" s="0" t="n">
        <v>21.3095</v>
      </c>
      <c r="K154" s="45" t="n">
        <v>45659</v>
      </c>
      <c r="L154" s="0" t="n">
        <v>65.42616</v>
      </c>
      <c r="M154" s="0" t="n">
        <v>44.11666</v>
      </c>
      <c r="N154" s="0" t="n">
        <v>38.1827</v>
      </c>
      <c r="O154" s="0" t="n">
        <v>16.8732</v>
      </c>
      <c r="P154" s="0" t="s">
        <v>337</v>
      </c>
      <c r="Q154" s="0" t="s">
        <v>331</v>
      </c>
      <c r="R154" s="0" t="s">
        <v>345</v>
      </c>
      <c r="S154" s="0" t="n">
        <v>71.1072000000002</v>
      </c>
      <c r="T154" s="0" t="n">
        <v>49.7977000000002</v>
      </c>
      <c r="U154" s="0" t="s">
        <v>322</v>
      </c>
      <c r="V154" s="0" t="s">
        <v>416</v>
      </c>
      <c r="W154" s="0" t="n">
        <v>90</v>
      </c>
      <c r="X154" s="0" t="n">
        <v>68.6905</v>
      </c>
      <c r="Y154" s="0" t="n">
        <v>55</v>
      </c>
      <c r="AB154" s="58" t="n">
        <f aca="false">M154-AA154</f>
        <v>44.11666</v>
      </c>
      <c r="AC154" s="58" t="n">
        <f aca="false">O154-AA154</f>
        <v>16.8732</v>
      </c>
      <c r="AD154" s="58" t="n">
        <f aca="false">AB154/L154%</f>
        <v>67.4296947887512</v>
      </c>
      <c r="AE154" s="58" t="n">
        <f aca="false">AC154/N154%</f>
        <v>44.1906936911219</v>
      </c>
      <c r="AF154" s="58" t="n">
        <f aca="false">T154-AA154</f>
        <v>49.7977000000002</v>
      </c>
      <c r="AG154" s="58" t="n">
        <f aca="false">AF154/S154%</f>
        <v>70.0318673777059</v>
      </c>
      <c r="AH154" s="60"/>
      <c r="AI154" s="60"/>
      <c r="AJ154" s="60"/>
      <c r="AK154" s="60"/>
      <c r="AL154" s="60"/>
      <c r="AM154" s="61"/>
      <c r="AN154" s="0" t="str">
        <f aca="false">IF(ISBLANK(Z154),"","Capped")</f>
        <v/>
      </c>
      <c r="AO154" s="0" t="s">
        <v>327</v>
      </c>
      <c r="AP154" s="0" t="str">
        <f aca="false">TRIM(BA154)</f>
        <v>DDm125-33</v>
      </c>
      <c r="AQ154" s="59" t="e">
        <f aca="false">_xlfn.xlookup(A154,'SYS Allocations'!A:A,'SYS Allocations'!B:B)</f>
        <v>#NAME?</v>
      </c>
      <c r="AR154" s="59" t="e">
        <f aca="false">_xlfn.xlookup(A154,'SYS Allocations'!A:A,'SYS Allocations'!C:C)</f>
        <v>#NAME?</v>
      </c>
      <c r="AS154" s="59" t="e">
        <f aca="false">_xlfn.xlookup(A154,'SYS Allocations'!A:A,'SYS Allocations'!D:D)</f>
        <v>#NAME?</v>
      </c>
      <c r="AT154" s="59" t="e">
        <f aca="false">_xlfn.xlookup(A154,'SYS Allocations'!A:A,'SYS Allocations'!E:E)</f>
        <v>#NAME?</v>
      </c>
      <c r="AU154" s="59" t="e">
        <f aca="false">_xlfn.xlookup(A154,'SYS Allocations'!A:A,'SYS Allocations'!F:F)</f>
        <v>#NAME?</v>
      </c>
      <c r="BA154" s="0" t="str">
        <f aca="false">IFERROR(LEFT(R154,FIND("(",R154,1)-1),R154)</f>
        <v>DDm125-33</v>
      </c>
    </row>
    <row r="155" customFormat="false" ht="13.15" hidden="false" customHeight="false" outlineLevel="0" collapsed="false">
      <c r="A155" s="20" t="s">
        <v>171</v>
      </c>
      <c r="B155" s="0" t="s">
        <v>419</v>
      </c>
      <c r="C155" s="0" t="s">
        <v>665</v>
      </c>
      <c r="D155" s="0" t="s">
        <v>319</v>
      </c>
      <c r="E155" s="0" t="s">
        <v>666</v>
      </c>
      <c r="F155" s="0" t="s">
        <v>321</v>
      </c>
      <c r="G155" s="0" t="n">
        <v>36.6</v>
      </c>
      <c r="H155" s="0" t="n">
        <v>27</v>
      </c>
      <c r="I155" s="0" t="n">
        <v>0</v>
      </c>
      <c r="J155" s="0" t="n">
        <v>0</v>
      </c>
      <c r="K155" s="45" t="n">
        <v>0</v>
      </c>
      <c r="L155" s="0" t="n">
        <v>41.48976</v>
      </c>
      <c r="M155" s="0" t="n">
        <v>41.48976</v>
      </c>
      <c r="N155" s="0" t="n">
        <v>42.9242</v>
      </c>
      <c r="O155" s="0" t="n">
        <v>42.9242</v>
      </c>
      <c r="P155" s="0" t="s">
        <v>325</v>
      </c>
      <c r="Q155" s="0" t="s">
        <v>667</v>
      </c>
      <c r="R155" s="0" t="s">
        <v>668</v>
      </c>
      <c r="S155" s="0" t="n">
        <v>18.4464</v>
      </c>
      <c r="T155" s="0" t="n">
        <v>18.4464</v>
      </c>
      <c r="U155" s="0" t="s">
        <v>322</v>
      </c>
      <c r="V155" s="0" t="s">
        <v>416</v>
      </c>
      <c r="W155" s="0" t="n">
        <v>90</v>
      </c>
      <c r="X155" s="0" t="n">
        <v>90</v>
      </c>
      <c r="Y155" s="0" t="n">
        <v>55</v>
      </c>
      <c r="AB155" s="58"/>
      <c r="AC155" s="58"/>
      <c r="AD155" s="58"/>
      <c r="AE155" s="58"/>
      <c r="AF155" s="58"/>
      <c r="AG155" s="58"/>
      <c r="AH155" s="62"/>
      <c r="AI155" s="62"/>
      <c r="AJ155" s="62"/>
      <c r="AK155" s="62"/>
      <c r="AL155" s="62"/>
      <c r="AM155" s="62"/>
      <c r="AN155" s="0" t="str">
        <f aca="false">IF(ISBLANK(Z155),"","Capped")</f>
        <v/>
      </c>
      <c r="AO155" s="0" t="s">
        <v>327</v>
      </c>
      <c r="AP155" s="0" t="str">
        <f aca="false">TRIM(BA155)</f>
        <v>VH34</v>
      </c>
      <c r="AQ155" s="59" t="e">
        <f aca="false">_xlfn.xlookup(A155,'SYS Allocations'!A:A,'SYS Allocations'!B:B)</f>
        <v>#NAME?</v>
      </c>
      <c r="AR155" s="59" t="e">
        <f aca="false">_xlfn.xlookup(A155,'SYS Allocations'!A:A,'SYS Allocations'!C:C)</f>
        <v>#NAME?</v>
      </c>
      <c r="AS155" s="59" t="e">
        <f aca="false">_xlfn.xlookup(A155,'SYS Allocations'!A:A,'SYS Allocations'!D:D)</f>
        <v>#NAME?</v>
      </c>
      <c r="AT155" s="59" t="e">
        <f aca="false">_xlfn.xlookup(A155,'SYS Allocations'!A:A,'SYS Allocations'!E:E)</f>
        <v>#NAME?</v>
      </c>
      <c r="AU155" s="59" t="e">
        <f aca="false">_xlfn.xlookup(A155,'SYS Allocations'!A:A,'SYS Allocations'!F:F)</f>
        <v>#NAME?</v>
      </c>
      <c r="BA155" s="0" t="str">
        <f aca="false">IFERROR(LEFT(R155,FIND("(",R155,1)-1),R155)</f>
        <v>VH34</v>
      </c>
    </row>
    <row r="156" customFormat="false" ht="13.15" hidden="false" customHeight="false" outlineLevel="0" collapsed="false">
      <c r="A156" s="20" t="s">
        <v>172</v>
      </c>
      <c r="B156" s="0" t="s">
        <v>419</v>
      </c>
      <c r="C156" s="0" t="s">
        <v>665</v>
      </c>
      <c r="D156" s="0" t="s">
        <v>390</v>
      </c>
      <c r="E156" s="0" t="s">
        <v>669</v>
      </c>
      <c r="F156" s="0" t="s">
        <v>321</v>
      </c>
      <c r="G156" s="0" t="n">
        <v>36.6</v>
      </c>
      <c r="H156" s="0" t="n">
        <v>64</v>
      </c>
      <c r="I156" s="0" t="n">
        <v>884</v>
      </c>
      <c r="J156" s="0" t="n">
        <v>48.178</v>
      </c>
      <c r="K156" s="45" t="n">
        <v>45659</v>
      </c>
      <c r="L156" s="0" t="n">
        <v>100.53288</v>
      </c>
      <c r="M156" s="0" t="n">
        <v>52.35488</v>
      </c>
      <c r="N156" s="0" t="n">
        <v>92.9661</v>
      </c>
      <c r="O156" s="0" t="n">
        <v>44.7881</v>
      </c>
      <c r="P156" s="0" t="s">
        <v>322</v>
      </c>
      <c r="Q156" s="0" t="s">
        <v>331</v>
      </c>
      <c r="R156" s="0" t="s">
        <v>345</v>
      </c>
      <c r="S156" s="0" t="n">
        <v>53.3304</v>
      </c>
      <c r="T156" s="0" t="n">
        <v>5.15239999999999</v>
      </c>
      <c r="U156" s="0" t="s">
        <v>374</v>
      </c>
      <c r="V156" s="0" t="s">
        <v>366</v>
      </c>
      <c r="W156" s="0" t="n">
        <v>112.5</v>
      </c>
      <c r="X156" s="0" t="n">
        <v>64.322</v>
      </c>
      <c r="Y156" s="0" t="n">
        <v>39</v>
      </c>
      <c r="Z156" s="0" t="s">
        <v>670</v>
      </c>
      <c r="AB156" s="58" t="n">
        <f aca="false">M156-AA156</f>
        <v>52.35488</v>
      </c>
      <c r="AC156" s="58" t="n">
        <f aca="false">O156-AA156</f>
        <v>44.7881</v>
      </c>
      <c r="AD156" s="58" t="n">
        <f aca="false">AB156/L156%</f>
        <v>52.077370110157</v>
      </c>
      <c r="AE156" s="58" t="n">
        <f aca="false">AC156/N156%</f>
        <v>48.1768085355845</v>
      </c>
      <c r="AF156" s="58" t="n">
        <f aca="false">T156-AA156</f>
        <v>5.15239999999999</v>
      </c>
      <c r="AG156" s="58" t="n">
        <f aca="false">AF156/S156%</f>
        <v>9.66128137047536</v>
      </c>
      <c r="AH156" s="60" t="n">
        <f aca="false">AVERAGE(W156:W157)</f>
        <v>112.5</v>
      </c>
      <c r="AI156" s="60" t="n">
        <f aca="false">SUM(J156:J157)</f>
        <v>83.603</v>
      </c>
      <c r="AJ156" s="60" t="n">
        <f aca="false">AH156-AI156</f>
        <v>28.897</v>
      </c>
      <c r="AK156" s="60" t="n">
        <f aca="false">SUM(AA156:AA157)</f>
        <v>0</v>
      </c>
      <c r="AL156" s="60" t="n">
        <f aca="false">AJ156-AK156</f>
        <v>28.897</v>
      </c>
      <c r="AM156" s="61" t="n">
        <f aca="false">AL156/AH156%</f>
        <v>25.6862222222222</v>
      </c>
      <c r="AN156" s="0" t="str">
        <f aca="false">IF(ISBLANK(Z156),"","Capped")</f>
        <v>Capped</v>
      </c>
      <c r="AO156" s="0" t="s">
        <v>393</v>
      </c>
      <c r="AP156" s="0" t="str">
        <f aca="false">TRIM(BA156)</f>
        <v>DDm125-33</v>
      </c>
      <c r="AQ156" s="59" t="e">
        <f aca="false">_xlfn.xlookup(A156,'SYS Allocations'!A:A,'SYS Allocations'!B:B)</f>
        <v>#NAME?</v>
      </c>
      <c r="AR156" s="59" t="e">
        <f aca="false">_xlfn.xlookup(A156,'SYS Allocations'!A:A,'SYS Allocations'!C:C)</f>
        <v>#NAME?</v>
      </c>
      <c r="AS156" s="59" t="e">
        <f aca="false">_xlfn.xlookup(A156,'SYS Allocations'!A:A,'SYS Allocations'!D:D)</f>
        <v>#NAME?</v>
      </c>
      <c r="AT156" s="59" t="e">
        <f aca="false">_xlfn.xlookup(A156,'SYS Allocations'!A:A,'SYS Allocations'!E:E)</f>
        <v>#NAME?</v>
      </c>
      <c r="AU156" s="59" t="e">
        <f aca="false">_xlfn.xlookup(A156,'SYS Allocations'!A:A,'SYS Allocations'!F:F)</f>
        <v>#NAME?</v>
      </c>
      <c r="BA156" s="0" t="str">
        <f aca="false">IFERROR(LEFT(R156,FIND("(",R156,1)-1),R156)</f>
        <v>DDm125-33</v>
      </c>
    </row>
    <row r="157" customFormat="false" ht="13.15" hidden="false" customHeight="false" outlineLevel="0" collapsed="false">
      <c r="A157" s="20" t="s">
        <v>173</v>
      </c>
      <c r="B157" s="0" t="s">
        <v>419</v>
      </c>
      <c r="C157" s="0" t="s">
        <v>665</v>
      </c>
      <c r="D157" s="0" t="s">
        <v>390</v>
      </c>
      <c r="E157" s="0" t="s">
        <v>669</v>
      </c>
      <c r="F157" s="0" t="s">
        <v>321</v>
      </c>
      <c r="G157" s="0" t="n">
        <v>36.6</v>
      </c>
      <c r="H157" s="0" t="n">
        <v>64</v>
      </c>
      <c r="I157" s="0" t="n">
        <v>650</v>
      </c>
      <c r="J157" s="0" t="n">
        <v>35.425</v>
      </c>
      <c r="K157" s="45" t="n">
        <v>45659</v>
      </c>
      <c r="L157" s="0" t="n">
        <v>100.53288</v>
      </c>
      <c r="M157" s="0" t="n">
        <v>65.10788</v>
      </c>
      <c r="N157" s="0" t="n">
        <v>92.9661</v>
      </c>
      <c r="O157" s="0" t="n">
        <v>57.5411</v>
      </c>
      <c r="P157" s="0" t="s">
        <v>322</v>
      </c>
      <c r="Q157" s="0" t="s">
        <v>331</v>
      </c>
      <c r="R157" s="0" t="s">
        <v>345</v>
      </c>
      <c r="S157" s="0" t="n">
        <v>53.3304</v>
      </c>
      <c r="T157" s="0" t="n">
        <v>17.9054</v>
      </c>
      <c r="U157" s="0" t="s">
        <v>374</v>
      </c>
      <c r="V157" s="0" t="s">
        <v>366</v>
      </c>
      <c r="W157" s="0" t="n">
        <v>112.5</v>
      </c>
      <c r="X157" s="0" t="n">
        <v>77.075</v>
      </c>
      <c r="Y157" s="0" t="n">
        <v>39</v>
      </c>
      <c r="Z157" s="0" t="s">
        <v>670</v>
      </c>
      <c r="AB157" s="58" t="n">
        <f aca="false">M157-AA157</f>
        <v>65.10788</v>
      </c>
      <c r="AC157" s="58" t="n">
        <f aca="false">O157-AA157</f>
        <v>57.5411</v>
      </c>
      <c r="AD157" s="58" t="n">
        <f aca="false">AB157/L157%</f>
        <v>64.7627721398213</v>
      </c>
      <c r="AE157" s="58" t="n">
        <f aca="false">AC157/N157%</f>
        <v>61.894712158518</v>
      </c>
      <c r="AF157" s="58" t="n">
        <f aca="false">T157-AA157</f>
        <v>17.9054</v>
      </c>
      <c r="AG157" s="58" t="n">
        <f aca="false">AF157/S157%</f>
        <v>33.5744715959378</v>
      </c>
      <c r="AH157" s="60"/>
      <c r="AI157" s="60"/>
      <c r="AJ157" s="60"/>
      <c r="AK157" s="60"/>
      <c r="AL157" s="60"/>
      <c r="AM157" s="61"/>
      <c r="AN157" s="0" t="str">
        <f aca="false">IF(ISBLANK(Z157),"","Capped")</f>
        <v>Capped</v>
      </c>
      <c r="AO157" s="0" t="s">
        <v>393</v>
      </c>
      <c r="AP157" s="0" t="str">
        <f aca="false">TRIM(BA157)</f>
        <v>DDm125-33</v>
      </c>
      <c r="AQ157" s="59" t="e">
        <f aca="false">_xlfn.xlookup(A157,'SYS Allocations'!A:A,'SYS Allocations'!B:B)</f>
        <v>#NAME?</v>
      </c>
      <c r="AR157" s="59" t="e">
        <f aca="false">_xlfn.xlookup(A157,'SYS Allocations'!A:A,'SYS Allocations'!C:C)</f>
        <v>#NAME?</v>
      </c>
      <c r="AS157" s="59" t="e">
        <f aca="false">_xlfn.xlookup(A157,'SYS Allocations'!A:A,'SYS Allocations'!D:D)</f>
        <v>#NAME?</v>
      </c>
      <c r="AT157" s="59" t="e">
        <f aca="false">_xlfn.xlookup(A157,'SYS Allocations'!A:A,'SYS Allocations'!E:E)</f>
        <v>#NAME?</v>
      </c>
      <c r="AU157" s="59" t="e">
        <f aca="false">_xlfn.xlookup(A157,'SYS Allocations'!A:A,'SYS Allocations'!F:F)</f>
        <v>#NAME?</v>
      </c>
      <c r="BA157" s="0" t="str">
        <f aca="false">IFERROR(LEFT(R157,FIND("(",R157,1)-1),R157)</f>
        <v>DDm125-33</v>
      </c>
    </row>
    <row r="158" customFormat="false" ht="13.15" hidden="false" customHeight="false" outlineLevel="0" collapsed="false">
      <c r="A158" s="20" t="s">
        <v>174</v>
      </c>
      <c r="B158" s="0" t="s">
        <v>419</v>
      </c>
      <c r="C158" s="0" t="s">
        <v>665</v>
      </c>
      <c r="D158" s="0" t="s">
        <v>390</v>
      </c>
      <c r="E158" s="0" t="s">
        <v>671</v>
      </c>
      <c r="F158" s="0" t="s">
        <v>383</v>
      </c>
      <c r="G158" s="0" t="n">
        <v>55</v>
      </c>
      <c r="H158" s="0" t="n">
        <v>84</v>
      </c>
      <c r="I158" s="0" t="n">
        <v>1838</v>
      </c>
      <c r="J158" s="0" t="n">
        <v>100.171</v>
      </c>
      <c r="K158" s="45" t="n">
        <v>45659</v>
      </c>
      <c r="L158" s="0" t="n">
        <v>199.034</v>
      </c>
      <c r="M158" s="0" t="n">
        <v>98.863</v>
      </c>
      <c r="N158" s="0" t="n">
        <v>161.5925</v>
      </c>
      <c r="O158" s="0" t="n">
        <v>61.4215</v>
      </c>
      <c r="P158" s="0" t="s">
        <v>446</v>
      </c>
      <c r="Q158" s="0" t="s">
        <v>331</v>
      </c>
      <c r="R158" s="0" t="s">
        <v>345</v>
      </c>
      <c r="S158" s="0" t="n">
        <v>142.2144</v>
      </c>
      <c r="T158" s="0" t="n">
        <v>42.0433999999999</v>
      </c>
      <c r="U158" s="0" t="s">
        <v>344</v>
      </c>
      <c r="V158" s="0" t="s">
        <v>672</v>
      </c>
      <c r="W158" s="0" t="n">
        <v>375</v>
      </c>
      <c r="X158" s="0" t="n">
        <v>274.829</v>
      </c>
      <c r="Y158" s="0" t="n">
        <v>94</v>
      </c>
      <c r="Z158" s="0" t="s">
        <v>274</v>
      </c>
      <c r="AB158" s="58" t="n">
        <f aca="false">M158-AA158</f>
        <v>98.863</v>
      </c>
      <c r="AC158" s="58" t="n">
        <f aca="false">O158-AA158</f>
        <v>61.4215</v>
      </c>
      <c r="AD158" s="58" t="n">
        <f aca="false">AB158/L158%</f>
        <v>49.671412924425</v>
      </c>
      <c r="AE158" s="58" t="n">
        <f aca="false">AC158/N158%</f>
        <v>38.0101180438449</v>
      </c>
      <c r="AF158" s="58" t="n">
        <f aca="false">T158-AA158</f>
        <v>42.0433999999999</v>
      </c>
      <c r="AG158" s="58" t="n">
        <f aca="false">AF158/S158%</f>
        <v>29.5633916115386</v>
      </c>
      <c r="AH158" s="60" t="n">
        <f aca="false">AVERAGE(W158:W159)</f>
        <v>375</v>
      </c>
      <c r="AI158" s="60" t="n">
        <f aca="false">SUM(J158:J159)</f>
        <v>202.631</v>
      </c>
      <c r="AJ158" s="60" t="n">
        <f aca="false">AH158-AI158</f>
        <v>172.369</v>
      </c>
      <c r="AK158" s="60" t="n">
        <f aca="false">SUM(AA158:AA159)</f>
        <v>0</v>
      </c>
      <c r="AL158" s="60" t="n">
        <f aca="false">AJ158-AK158</f>
        <v>172.369</v>
      </c>
      <c r="AM158" s="61" t="n">
        <f aca="false">AL158/AH158%</f>
        <v>45.9650666666667</v>
      </c>
      <c r="AN158" s="0" t="str">
        <f aca="false">IF(ISBLANK(Z158),"","Capped")</f>
        <v>Capped</v>
      </c>
      <c r="AO158" s="0" t="s">
        <v>393</v>
      </c>
      <c r="AP158" s="0" t="str">
        <f aca="false">TRIM(BA158)</f>
        <v>DDm125-33</v>
      </c>
      <c r="AQ158" s="59" t="e">
        <f aca="false">_xlfn.xlookup(A158,'SYS Allocations'!A:A,'SYS Allocations'!B:B)</f>
        <v>#NAME?</v>
      </c>
      <c r="AR158" s="59" t="e">
        <f aca="false">_xlfn.xlookup(A158,'SYS Allocations'!A:A,'SYS Allocations'!C:C)</f>
        <v>#NAME?</v>
      </c>
      <c r="AS158" s="59" t="e">
        <f aca="false">_xlfn.xlookup(A158,'SYS Allocations'!A:A,'SYS Allocations'!D:D)</f>
        <v>#NAME?</v>
      </c>
      <c r="AT158" s="59" t="e">
        <f aca="false">_xlfn.xlookup(A158,'SYS Allocations'!A:A,'SYS Allocations'!E:E)</f>
        <v>#NAME?</v>
      </c>
      <c r="AU158" s="59" t="e">
        <f aca="false">_xlfn.xlookup(A158,'SYS Allocations'!A:A,'SYS Allocations'!F:F)</f>
        <v>#NAME?</v>
      </c>
      <c r="BA158" s="0" t="str">
        <f aca="false">IFERROR(LEFT(R158,FIND("(",R158,1)-1),R158)</f>
        <v>DDm125-33</v>
      </c>
    </row>
    <row r="159" customFormat="false" ht="13.15" hidden="false" customHeight="false" outlineLevel="0" collapsed="false">
      <c r="A159" s="20" t="s">
        <v>175</v>
      </c>
      <c r="B159" s="0" t="s">
        <v>419</v>
      </c>
      <c r="C159" s="0" t="s">
        <v>665</v>
      </c>
      <c r="D159" s="0" t="s">
        <v>390</v>
      </c>
      <c r="E159" s="0" t="s">
        <v>671</v>
      </c>
      <c r="F159" s="0" t="s">
        <v>383</v>
      </c>
      <c r="G159" s="0" t="n">
        <v>55</v>
      </c>
      <c r="H159" s="0" t="n">
        <v>84</v>
      </c>
      <c r="I159" s="0" t="n">
        <v>1880</v>
      </c>
      <c r="J159" s="0" t="n">
        <v>102.46</v>
      </c>
      <c r="K159" s="45" t="n">
        <v>45659</v>
      </c>
      <c r="L159" s="0" t="n">
        <v>199.034</v>
      </c>
      <c r="M159" s="0" t="n">
        <v>96.574</v>
      </c>
      <c r="N159" s="0" t="n">
        <v>161.5925</v>
      </c>
      <c r="O159" s="0" t="n">
        <v>59.1325</v>
      </c>
      <c r="P159" s="0" t="s">
        <v>446</v>
      </c>
      <c r="Q159" s="0" t="s">
        <v>331</v>
      </c>
      <c r="R159" s="0" t="s">
        <v>345</v>
      </c>
      <c r="S159" s="0" t="n">
        <v>142.2144</v>
      </c>
      <c r="T159" s="0" t="n">
        <v>39.7543999999999</v>
      </c>
      <c r="U159" s="0" t="s">
        <v>344</v>
      </c>
      <c r="V159" s="0" t="s">
        <v>672</v>
      </c>
      <c r="W159" s="0" t="n">
        <v>375</v>
      </c>
      <c r="X159" s="0" t="n">
        <v>272.54</v>
      </c>
      <c r="Y159" s="0" t="n">
        <v>94</v>
      </c>
      <c r="Z159" s="0" t="s">
        <v>274</v>
      </c>
      <c r="AB159" s="58" t="n">
        <f aca="false">M159-AA159</f>
        <v>96.574</v>
      </c>
      <c r="AC159" s="58" t="n">
        <f aca="false">O159-AA159</f>
        <v>59.1325</v>
      </c>
      <c r="AD159" s="58" t="n">
        <f aca="false">AB159/L159%</f>
        <v>48.5213581599124</v>
      </c>
      <c r="AE159" s="58" t="n">
        <f aca="false">AC159/N159%</f>
        <v>36.5935919055649</v>
      </c>
      <c r="AF159" s="58" t="n">
        <f aca="false">T159-AA159</f>
        <v>39.7543999999999</v>
      </c>
      <c r="AG159" s="58" t="n">
        <f aca="false">AF159/S159%</f>
        <v>27.9538499617478</v>
      </c>
      <c r="AH159" s="60"/>
      <c r="AI159" s="60"/>
      <c r="AJ159" s="60"/>
      <c r="AK159" s="60"/>
      <c r="AL159" s="60"/>
      <c r="AM159" s="61"/>
      <c r="AN159" s="0" t="str">
        <f aca="false">IF(ISBLANK(Z159),"","Capped")</f>
        <v>Capped</v>
      </c>
      <c r="AO159" s="0" t="s">
        <v>393</v>
      </c>
      <c r="AP159" s="0" t="str">
        <f aca="false">TRIM(BA159)</f>
        <v>DDm125-33</v>
      </c>
      <c r="AQ159" s="59" t="e">
        <f aca="false">_xlfn.xlookup(A159,'SYS Allocations'!A:A,'SYS Allocations'!B:B)</f>
        <v>#NAME?</v>
      </c>
      <c r="AR159" s="59" t="e">
        <f aca="false">_xlfn.xlookup(A159,'SYS Allocations'!A:A,'SYS Allocations'!C:C)</f>
        <v>#NAME?</v>
      </c>
      <c r="AS159" s="59" t="e">
        <f aca="false">_xlfn.xlookup(A159,'SYS Allocations'!A:A,'SYS Allocations'!D:D)</f>
        <v>#NAME?</v>
      </c>
      <c r="AT159" s="59" t="e">
        <f aca="false">_xlfn.xlookup(A159,'SYS Allocations'!A:A,'SYS Allocations'!E:E)</f>
        <v>#NAME?</v>
      </c>
      <c r="AU159" s="59" t="e">
        <f aca="false">_xlfn.xlookup(A159,'SYS Allocations'!A:A,'SYS Allocations'!F:F)</f>
        <v>#NAME?</v>
      </c>
      <c r="BA159" s="0" t="str">
        <f aca="false">IFERROR(LEFT(R159,FIND("(",R159,1)-1),R159)</f>
        <v>DDm125-33</v>
      </c>
    </row>
    <row r="160" customFormat="false" ht="13.15" hidden="false" customHeight="false" outlineLevel="0" collapsed="false">
      <c r="A160" s="20" t="s">
        <v>176</v>
      </c>
      <c r="B160" s="0" t="s">
        <v>394</v>
      </c>
      <c r="C160" s="0" t="s">
        <v>673</v>
      </c>
      <c r="D160" s="0" t="s">
        <v>319</v>
      </c>
      <c r="E160" s="0" t="s">
        <v>674</v>
      </c>
      <c r="F160" s="0" t="s">
        <v>675</v>
      </c>
      <c r="G160" s="0" t="n">
        <v>45</v>
      </c>
      <c r="H160" s="0" t="n">
        <v>15</v>
      </c>
      <c r="I160" s="0" t="n">
        <v>133</v>
      </c>
      <c r="J160" s="0" t="n">
        <v>7.2485</v>
      </c>
      <c r="K160" s="45" t="n">
        <v>45511</v>
      </c>
      <c r="L160" s="0" t="n">
        <v>27.468</v>
      </c>
      <c r="M160" s="0" t="n">
        <v>20.2195</v>
      </c>
      <c r="N160" s="0" t="n">
        <v>27.8495</v>
      </c>
      <c r="O160" s="0" t="n">
        <v>20.601</v>
      </c>
      <c r="P160" s="0" t="s">
        <v>325</v>
      </c>
      <c r="Q160" s="0" t="s">
        <v>331</v>
      </c>
      <c r="R160" s="0" t="s">
        <v>365</v>
      </c>
      <c r="S160" s="0" t="n">
        <v>10.1088</v>
      </c>
      <c r="T160" s="0" t="n">
        <v>2.86029999999998</v>
      </c>
      <c r="U160" s="0" t="s">
        <v>325</v>
      </c>
      <c r="V160" s="0" t="s">
        <v>333</v>
      </c>
      <c r="W160" s="0" t="n">
        <v>22.5</v>
      </c>
      <c r="X160" s="0" t="n">
        <v>15.2515</v>
      </c>
      <c r="Y160" s="0" t="n">
        <v>27</v>
      </c>
      <c r="AB160" s="58" t="n">
        <f aca="false">M160-AA160</f>
        <v>20.2195</v>
      </c>
      <c r="AC160" s="58" t="n">
        <f aca="false">O160-AA160</f>
        <v>20.601</v>
      </c>
      <c r="AD160" s="58" t="n">
        <f aca="false">AB160/L160%</f>
        <v>73.6111111111111</v>
      </c>
      <c r="AE160" s="58" t="n">
        <f aca="false">AC160/N160%</f>
        <v>73.972602739726</v>
      </c>
      <c r="AF160" s="58" t="n">
        <f aca="false">T160-AA160</f>
        <v>2.86029999999998</v>
      </c>
      <c r="AG160" s="58" t="n">
        <f aca="false">AF160/S160%</f>
        <v>28.2951487812597</v>
      </c>
      <c r="AH160" s="58" t="n">
        <f aca="false">W160</f>
        <v>22.5</v>
      </c>
      <c r="AI160" s="58" t="n">
        <f aca="false">J160</f>
        <v>7.2485</v>
      </c>
      <c r="AJ160" s="58" t="n">
        <f aca="false">AH160-AI160</f>
        <v>15.2515</v>
      </c>
      <c r="AK160" s="58" t="n">
        <f aca="false">AA160</f>
        <v>0</v>
      </c>
      <c r="AL160" s="58" t="n">
        <f aca="false">AJ160-AK160</f>
        <v>15.2515</v>
      </c>
      <c r="AM160" s="58" t="n">
        <f aca="false">AL160/AH160%</f>
        <v>67.7844444444444</v>
      </c>
      <c r="AN160" s="0" t="str">
        <f aca="false">IF(ISBLANK(Z160),"","Capped")</f>
        <v/>
      </c>
      <c r="AO160" s="0" t="s">
        <v>327</v>
      </c>
      <c r="AP160" s="0" t="str">
        <f aca="false">TRIM(BA160)</f>
        <v>2DDm85-15</v>
      </c>
      <c r="AQ160" s="59" t="e">
        <f aca="false">_xlfn.xlookup(A160,'SYS Allocations'!A:A,'SYS Allocations'!B:B)</f>
        <v>#NAME?</v>
      </c>
      <c r="AR160" s="59" t="e">
        <f aca="false">_xlfn.xlookup(A160,'SYS Allocations'!A:A,'SYS Allocations'!C:C)</f>
        <v>#NAME?</v>
      </c>
      <c r="AS160" s="59" t="e">
        <f aca="false">_xlfn.xlookup(A160,'SYS Allocations'!A:A,'SYS Allocations'!D:D)</f>
        <v>#NAME?</v>
      </c>
      <c r="AT160" s="59" t="e">
        <f aca="false">_xlfn.xlookup(A160,'SYS Allocations'!A:A,'SYS Allocations'!E:E)</f>
        <v>#NAME?</v>
      </c>
      <c r="AU160" s="59" t="e">
        <f aca="false">_xlfn.xlookup(A160,'SYS Allocations'!A:A,'SYS Allocations'!F:F)</f>
        <v>#NAME?</v>
      </c>
      <c r="BA160" s="0" t="str">
        <f aca="false">IFERROR(LEFT(R160,FIND("(",R160,1)-1),R160)</f>
        <v>2DDm85-15</v>
      </c>
    </row>
    <row r="161" customFormat="false" ht="13.15" hidden="false" customHeight="false" outlineLevel="0" collapsed="false">
      <c r="A161" s="20" t="s">
        <v>177</v>
      </c>
      <c r="B161" s="0" t="s">
        <v>355</v>
      </c>
      <c r="C161" s="0" t="s">
        <v>676</v>
      </c>
      <c r="D161" s="0" t="s">
        <v>319</v>
      </c>
      <c r="E161" s="0" t="s">
        <v>677</v>
      </c>
      <c r="F161" s="0" t="s">
        <v>321</v>
      </c>
      <c r="G161" s="0" t="n">
        <v>36.6</v>
      </c>
      <c r="H161" s="0" t="n">
        <v>23</v>
      </c>
      <c r="I161" s="0" t="n">
        <v>203</v>
      </c>
      <c r="J161" s="0" t="n">
        <v>11.0635</v>
      </c>
      <c r="K161" s="45" t="n">
        <v>45659</v>
      </c>
      <c r="L161" s="0" t="n">
        <v>35.10672</v>
      </c>
      <c r="M161" s="0" t="n">
        <v>24.04322</v>
      </c>
      <c r="N161" s="0" t="n">
        <v>22.0834</v>
      </c>
      <c r="O161" s="0" t="n">
        <v>11.0199</v>
      </c>
      <c r="P161" s="0" t="s">
        <v>325</v>
      </c>
      <c r="Q161" s="0" t="s">
        <v>331</v>
      </c>
      <c r="R161" s="0" t="s">
        <v>345</v>
      </c>
      <c r="S161" s="0" t="n">
        <v>35.5536</v>
      </c>
      <c r="T161" s="0" t="n">
        <v>24.4901</v>
      </c>
      <c r="U161" s="0" t="s">
        <v>337</v>
      </c>
      <c r="V161" s="0" t="s">
        <v>338</v>
      </c>
      <c r="W161" s="0" t="n">
        <v>33.75</v>
      </c>
      <c r="X161" s="0" t="n">
        <v>22.6865</v>
      </c>
      <c r="Y161" s="0" t="n">
        <v>16</v>
      </c>
      <c r="AB161" s="58" t="n">
        <f aca="false">M161-AA161</f>
        <v>24.04322</v>
      </c>
      <c r="AC161" s="58" t="n">
        <f aca="false">O161-AA161</f>
        <v>11.0199</v>
      </c>
      <c r="AD161" s="58" t="n">
        <f aca="false">AB161/L161%</f>
        <v>68.4860904123199</v>
      </c>
      <c r="AE161" s="58" t="n">
        <f aca="false">AC161/N161%</f>
        <v>49.9012833168806</v>
      </c>
      <c r="AF161" s="58" t="n">
        <f aca="false">T161-AA161</f>
        <v>24.4901</v>
      </c>
      <c r="AG161" s="58" t="n">
        <f aca="false">AF161/S161%</f>
        <v>68.8821947707124</v>
      </c>
      <c r="AH161" s="58" t="n">
        <f aca="false">W161</f>
        <v>33.75</v>
      </c>
      <c r="AI161" s="58" t="n">
        <f aca="false">J161</f>
        <v>11.0635</v>
      </c>
      <c r="AJ161" s="58" t="n">
        <f aca="false">AH161-AI161</f>
        <v>22.6865</v>
      </c>
      <c r="AK161" s="58" t="n">
        <f aca="false">AA161</f>
        <v>0</v>
      </c>
      <c r="AL161" s="58" t="n">
        <f aca="false">AJ161-AK161</f>
        <v>22.6865</v>
      </c>
      <c r="AM161" s="58" t="n">
        <f aca="false">AL161/AH161%</f>
        <v>67.2192592592593</v>
      </c>
      <c r="AN161" s="0" t="str">
        <f aca="false">IF(ISBLANK(Z161),"","Capped")</f>
        <v/>
      </c>
      <c r="AO161" s="0" t="s">
        <v>327</v>
      </c>
      <c r="AP161" s="0" t="str">
        <f aca="false">TRIM(BA161)</f>
        <v>DDm125-33</v>
      </c>
      <c r="AQ161" s="59" t="e">
        <f aca="false">_xlfn.xlookup(A161,'SYS Allocations'!A:A,'SYS Allocations'!B:B)</f>
        <v>#NAME?</v>
      </c>
      <c r="AR161" s="59" t="e">
        <f aca="false">_xlfn.xlookup(A161,'SYS Allocations'!A:A,'SYS Allocations'!C:C)</f>
        <v>#NAME?</v>
      </c>
      <c r="AS161" s="59" t="e">
        <f aca="false">_xlfn.xlookup(A161,'SYS Allocations'!A:A,'SYS Allocations'!D:D)</f>
        <v>#NAME?</v>
      </c>
      <c r="AT161" s="59" t="e">
        <f aca="false">_xlfn.xlookup(A161,'SYS Allocations'!A:A,'SYS Allocations'!E:E)</f>
        <v>#NAME?</v>
      </c>
      <c r="AU161" s="59" t="e">
        <f aca="false">_xlfn.xlookup(A161,'SYS Allocations'!A:A,'SYS Allocations'!F:F)</f>
        <v>#NAME?</v>
      </c>
      <c r="BA161" s="0" t="str">
        <f aca="false">IFERROR(LEFT(R161,FIND("(",R161,1)-1),R161)</f>
        <v>DDm125-33</v>
      </c>
    </row>
    <row r="162" customFormat="false" ht="13.15" hidden="false" customHeight="false" outlineLevel="0" collapsed="false">
      <c r="A162" s="20" t="s">
        <v>178</v>
      </c>
      <c r="B162" s="0" t="s">
        <v>328</v>
      </c>
      <c r="C162" s="0" t="s">
        <v>678</v>
      </c>
      <c r="D162" s="0" t="s">
        <v>390</v>
      </c>
      <c r="E162" s="0" t="s">
        <v>679</v>
      </c>
      <c r="F162" s="0" t="s">
        <v>560</v>
      </c>
      <c r="G162" s="0" t="n">
        <v>37.5</v>
      </c>
      <c r="H162" s="0" t="n">
        <v>4</v>
      </c>
      <c r="I162" s="0" t="n">
        <v>35</v>
      </c>
      <c r="J162" s="0" t="n">
        <v>1.9075</v>
      </c>
      <c r="K162" s="45" t="n">
        <v>45350</v>
      </c>
      <c r="L162" s="0" t="n">
        <v>4.905</v>
      </c>
      <c r="M162" s="0" t="n">
        <v>2.9975</v>
      </c>
      <c r="N162" s="0" t="n">
        <v>5.91325</v>
      </c>
      <c r="O162" s="0" t="n">
        <v>4.00575</v>
      </c>
      <c r="P162" s="0" t="s">
        <v>337</v>
      </c>
      <c r="Q162" s="0" t="s">
        <v>352</v>
      </c>
      <c r="R162" s="0" t="s">
        <v>353</v>
      </c>
      <c r="S162" s="0" t="n">
        <v>3.456</v>
      </c>
      <c r="T162" s="0" t="n">
        <v>1.5485</v>
      </c>
      <c r="U162" s="0" t="s">
        <v>422</v>
      </c>
      <c r="V162" s="0" t="s">
        <v>446</v>
      </c>
      <c r="W162" s="0" t="n">
        <v>6</v>
      </c>
      <c r="X162" s="0" t="n">
        <v>4.0925</v>
      </c>
      <c r="Y162" s="0" t="n">
        <v>2</v>
      </c>
      <c r="Z162" s="0" t="s">
        <v>8</v>
      </c>
      <c r="AB162" s="58" t="n">
        <f aca="false">M162-AA162</f>
        <v>2.9975</v>
      </c>
      <c r="AC162" s="58" t="n">
        <f aca="false">O162-AA162</f>
        <v>4.00575</v>
      </c>
      <c r="AD162" s="58" t="n">
        <f aca="false">AB162/L162%</f>
        <v>61.1111111111111</v>
      </c>
      <c r="AE162" s="58" t="n">
        <f aca="false">AC162/N162%</f>
        <v>67.741935483871</v>
      </c>
      <c r="AF162" s="58" t="n">
        <f aca="false">T162-AA162</f>
        <v>1.5485</v>
      </c>
      <c r="AG162" s="58" t="n">
        <f aca="false">AF162/S162%</f>
        <v>44.8061342592593</v>
      </c>
      <c r="AH162" s="58" t="n">
        <f aca="false">W162</f>
        <v>6</v>
      </c>
      <c r="AI162" s="58" t="n">
        <f aca="false">J162</f>
        <v>1.9075</v>
      </c>
      <c r="AJ162" s="58" t="n">
        <f aca="false">AH162-AI162</f>
        <v>4.0925</v>
      </c>
      <c r="AK162" s="58" t="n">
        <f aca="false">AA162</f>
        <v>0</v>
      </c>
      <c r="AL162" s="58" t="n">
        <f aca="false">AJ162-AK162</f>
        <v>4.0925</v>
      </c>
      <c r="AM162" s="58" t="n">
        <f aca="false">AL162/AH162%</f>
        <v>68.2083333333333</v>
      </c>
      <c r="AN162" s="0" t="str">
        <f aca="false">IF(ISBLANK(Z162),"","Capped")</f>
        <v>Capped</v>
      </c>
      <c r="AO162" s="0" t="s">
        <v>327</v>
      </c>
      <c r="AP162" s="0" t="str">
        <f aca="false">TRIM(BA162)</f>
        <v>SBS C11F</v>
      </c>
      <c r="AQ162" s="59" t="e">
        <f aca="false">_xlfn.xlookup(A162,'SYS Allocations'!A:A,'SYS Allocations'!B:B)</f>
        <v>#NAME?</v>
      </c>
      <c r="AR162" s="59" t="e">
        <f aca="false">_xlfn.xlookup(A162,'SYS Allocations'!A:A,'SYS Allocations'!C:C)</f>
        <v>#NAME?</v>
      </c>
      <c r="AS162" s="59" t="e">
        <f aca="false">_xlfn.xlookup(A162,'SYS Allocations'!A:A,'SYS Allocations'!D:D)</f>
        <v>#NAME?</v>
      </c>
      <c r="AT162" s="59" t="e">
        <f aca="false">_xlfn.xlookup(A162,'SYS Allocations'!A:A,'SYS Allocations'!E:E)</f>
        <v>#NAME?</v>
      </c>
      <c r="AU162" s="59" t="e">
        <f aca="false">_xlfn.xlookup(A162,'SYS Allocations'!A:A,'SYS Allocations'!F:F)</f>
        <v>#NAME?</v>
      </c>
      <c r="BA162" s="0" t="str">
        <f aca="false">IFERROR(LEFT(R162,FIND("(",R162,1)-1),R162)</f>
        <v>SBS C11F</v>
      </c>
    </row>
    <row r="163" customFormat="false" ht="13.15" hidden="false" customHeight="false" outlineLevel="0" collapsed="false">
      <c r="A163" s="20" t="s">
        <v>179</v>
      </c>
      <c r="B163" s="0" t="s">
        <v>388</v>
      </c>
      <c r="C163" s="0" t="s">
        <v>680</v>
      </c>
      <c r="D163" s="0" t="s">
        <v>319</v>
      </c>
      <c r="E163" s="0" t="s">
        <v>681</v>
      </c>
      <c r="F163" s="0" t="s">
        <v>321</v>
      </c>
      <c r="G163" s="0" t="n">
        <v>36.6</v>
      </c>
      <c r="H163" s="0" t="n">
        <v>29</v>
      </c>
      <c r="I163" s="0" t="n">
        <v>358</v>
      </c>
      <c r="J163" s="0" t="n">
        <v>19.511</v>
      </c>
      <c r="K163" s="45" t="n">
        <v>45308</v>
      </c>
      <c r="L163" s="0" t="n">
        <v>44.68128</v>
      </c>
      <c r="M163" s="0" t="n">
        <v>25.17028</v>
      </c>
      <c r="N163" s="0" t="n">
        <v>34.0516</v>
      </c>
      <c r="O163" s="0" t="n">
        <v>14.5406</v>
      </c>
      <c r="P163" s="0" t="s">
        <v>325</v>
      </c>
      <c r="Q163" s="0" t="s">
        <v>331</v>
      </c>
      <c r="R163" s="0" t="s">
        <v>345</v>
      </c>
      <c r="S163" s="0" t="n">
        <v>35.5536</v>
      </c>
      <c r="T163" s="0" t="n">
        <v>16.0426</v>
      </c>
      <c r="U163" s="0" t="s">
        <v>379</v>
      </c>
      <c r="V163" s="0" t="s">
        <v>404</v>
      </c>
      <c r="W163" s="0" t="n">
        <v>54</v>
      </c>
      <c r="X163" s="0" t="n">
        <v>34.489</v>
      </c>
      <c r="Y163" s="0" t="n">
        <v>24</v>
      </c>
      <c r="AB163" s="58" t="n">
        <f aca="false">M163-AA163</f>
        <v>25.17028</v>
      </c>
      <c r="AC163" s="58" t="n">
        <f aca="false">O163-AA163</f>
        <v>14.5406</v>
      </c>
      <c r="AD163" s="58" t="n">
        <f aca="false">AB163/L163%</f>
        <v>56.3329430132709</v>
      </c>
      <c r="AE163" s="58" t="n">
        <f aca="false">AC163/N163%</f>
        <v>42.7016645326505</v>
      </c>
      <c r="AF163" s="58" t="n">
        <f aca="false">T163-AA163</f>
        <v>16.0426</v>
      </c>
      <c r="AG163" s="58" t="n">
        <f aca="false">AF163/S163%</f>
        <v>45.1222942261824</v>
      </c>
      <c r="AH163" s="58" t="n">
        <f aca="false">W163</f>
        <v>54</v>
      </c>
      <c r="AI163" s="58" t="n">
        <f aca="false">J163</f>
        <v>19.511</v>
      </c>
      <c r="AJ163" s="58" t="n">
        <f aca="false">AH163-AI163</f>
        <v>34.489</v>
      </c>
      <c r="AK163" s="58" t="n">
        <f aca="false">AA163</f>
        <v>0</v>
      </c>
      <c r="AL163" s="58" t="n">
        <f aca="false">AJ163-AK163</f>
        <v>34.489</v>
      </c>
      <c r="AM163" s="58" t="n">
        <f aca="false">AL163/AH163%</f>
        <v>63.8685185185185</v>
      </c>
      <c r="AN163" s="0" t="str">
        <f aca="false">IF(ISBLANK(Z163),"","Capped")</f>
        <v/>
      </c>
      <c r="AO163" s="0" t="s">
        <v>327</v>
      </c>
      <c r="AP163" s="0" t="str">
        <f aca="false">TRIM(BA163)</f>
        <v>DDm125-33</v>
      </c>
      <c r="AQ163" s="59" t="e">
        <f aca="false">_xlfn.xlookup(A163,'SYS Allocations'!A:A,'SYS Allocations'!B:B)</f>
        <v>#NAME?</v>
      </c>
      <c r="AR163" s="59" t="e">
        <f aca="false">_xlfn.xlookup(A163,'SYS Allocations'!A:A,'SYS Allocations'!C:C)</f>
        <v>#NAME?</v>
      </c>
      <c r="AS163" s="59" t="e">
        <f aca="false">_xlfn.xlookup(A163,'SYS Allocations'!A:A,'SYS Allocations'!D:D)</f>
        <v>#NAME?</v>
      </c>
      <c r="AT163" s="59" t="e">
        <f aca="false">_xlfn.xlookup(A163,'SYS Allocations'!A:A,'SYS Allocations'!E:E)</f>
        <v>#NAME?</v>
      </c>
      <c r="AU163" s="59" t="e">
        <f aca="false">_xlfn.xlookup(A163,'SYS Allocations'!A:A,'SYS Allocations'!F:F)</f>
        <v>#NAME?</v>
      </c>
      <c r="BA163" s="0" t="str">
        <f aca="false">IFERROR(LEFT(R163,FIND("(",R163,1)-1),R163)</f>
        <v>DDm125-33</v>
      </c>
    </row>
    <row r="164" customFormat="false" ht="13.15" hidden="false" customHeight="false" outlineLevel="0" collapsed="false">
      <c r="A164" s="20" t="s">
        <v>180</v>
      </c>
      <c r="B164" s="0" t="s">
        <v>361</v>
      </c>
      <c r="C164" s="0" t="s">
        <v>682</v>
      </c>
      <c r="D164" s="0" t="s">
        <v>390</v>
      </c>
      <c r="E164" s="0" t="s">
        <v>683</v>
      </c>
      <c r="F164" s="0" t="s">
        <v>383</v>
      </c>
      <c r="G164" s="0" t="n">
        <v>55</v>
      </c>
      <c r="H164" s="0" t="n">
        <v>13</v>
      </c>
      <c r="I164" s="0" t="n">
        <v>256</v>
      </c>
      <c r="J164" s="0" t="n">
        <v>13.952</v>
      </c>
      <c r="K164" s="45" t="n">
        <v>45565</v>
      </c>
      <c r="L164" s="0" t="n">
        <v>28.776</v>
      </c>
      <c r="M164" s="0" t="n">
        <v>14.824</v>
      </c>
      <c r="N164" s="0" t="n">
        <v>19.4565</v>
      </c>
      <c r="O164" s="0" t="n">
        <v>5.5045</v>
      </c>
      <c r="P164" s="0" t="s">
        <v>322</v>
      </c>
      <c r="Q164" s="0" t="s">
        <v>331</v>
      </c>
      <c r="R164" s="0" t="s">
        <v>684</v>
      </c>
      <c r="S164" s="0" t="n">
        <v>27.0864</v>
      </c>
      <c r="T164" s="0" t="n">
        <v>13.1344</v>
      </c>
      <c r="U164" s="0" t="s">
        <v>322</v>
      </c>
      <c r="V164" s="0" t="s">
        <v>455</v>
      </c>
      <c r="W164" s="0" t="n">
        <v>33</v>
      </c>
      <c r="X164" s="0" t="n">
        <v>19.048</v>
      </c>
      <c r="Y164" s="0" t="n">
        <v>0</v>
      </c>
      <c r="Z164" s="0" t="s">
        <v>8</v>
      </c>
      <c r="AB164" s="58" t="n">
        <f aca="false">M164-AA164</f>
        <v>14.824</v>
      </c>
      <c r="AC164" s="58" t="n">
        <f aca="false">O164-AA164</f>
        <v>5.5045</v>
      </c>
      <c r="AD164" s="58" t="n">
        <f aca="false">AB164/L164%</f>
        <v>51.5151515151515</v>
      </c>
      <c r="AE164" s="58" t="n">
        <f aca="false">AC164/N164%</f>
        <v>28.2913165266106</v>
      </c>
      <c r="AF164" s="58" t="n">
        <f aca="false">T164-AA164</f>
        <v>13.1344</v>
      </c>
      <c r="AG164" s="58" t="n">
        <f aca="false">AF164/S164%</f>
        <v>48.4907555082994</v>
      </c>
      <c r="AH164" s="58" t="n">
        <f aca="false">W164</f>
        <v>33</v>
      </c>
      <c r="AI164" s="58" t="n">
        <f aca="false">J164</f>
        <v>13.952</v>
      </c>
      <c r="AJ164" s="58" t="n">
        <f aca="false">AH164-AI164</f>
        <v>19.048</v>
      </c>
      <c r="AK164" s="58" t="n">
        <f aca="false">AA164</f>
        <v>0</v>
      </c>
      <c r="AL164" s="58" t="n">
        <f aca="false">AJ164-AK164</f>
        <v>19.048</v>
      </c>
      <c r="AM164" s="58" t="n">
        <f aca="false">AL164/AH164%</f>
        <v>57.7212121212121</v>
      </c>
      <c r="AN164" s="0" t="str">
        <f aca="false">IF(ISBLANK(Z164),"","Capped")</f>
        <v>Capped</v>
      </c>
      <c r="AO164" s="0" t="s">
        <v>327</v>
      </c>
      <c r="AP164" s="0" t="str">
        <f aca="false">TRIM(BA164)</f>
        <v>2CP1000</v>
      </c>
      <c r="AQ164" s="59" t="e">
        <f aca="false">_xlfn.xlookup(A164,'SYS Allocations'!A:A,'SYS Allocations'!B:B)</f>
        <v>#NAME?</v>
      </c>
      <c r="AR164" s="59" t="e">
        <f aca="false">_xlfn.xlookup(A164,'SYS Allocations'!A:A,'SYS Allocations'!C:C)</f>
        <v>#NAME?</v>
      </c>
      <c r="AS164" s="59" t="e">
        <f aca="false">_xlfn.xlookup(A164,'SYS Allocations'!A:A,'SYS Allocations'!D:D)</f>
        <v>#NAME?</v>
      </c>
      <c r="AT164" s="59" t="e">
        <f aca="false">_xlfn.xlookup(A164,'SYS Allocations'!A:A,'SYS Allocations'!E:E)</f>
        <v>#NAME?</v>
      </c>
      <c r="AU164" s="59" t="e">
        <f aca="false">_xlfn.xlookup(A164,'SYS Allocations'!A:A,'SYS Allocations'!F:F)</f>
        <v>#NAME?</v>
      </c>
      <c r="BA164" s="0" t="str">
        <f aca="false">IFERROR(LEFT(R164,FIND("(",R164,1)-1),R164)</f>
        <v>2CP1000 </v>
      </c>
    </row>
    <row r="165" customFormat="false" ht="13.15" hidden="false" customHeight="false" outlineLevel="0" collapsed="false">
      <c r="A165" s="20" t="s">
        <v>181</v>
      </c>
      <c r="B165" s="0" t="s">
        <v>376</v>
      </c>
      <c r="C165" s="0" t="s">
        <v>407</v>
      </c>
      <c r="D165" s="0" t="s">
        <v>685</v>
      </c>
      <c r="E165" s="0" t="s">
        <v>686</v>
      </c>
      <c r="F165" s="0" t="s">
        <v>321</v>
      </c>
      <c r="G165" s="0" t="n">
        <v>36.6</v>
      </c>
      <c r="H165" s="0" t="n">
        <v>8</v>
      </c>
      <c r="I165" s="0" t="n">
        <v>53</v>
      </c>
      <c r="J165" s="0" t="n">
        <v>2.8885</v>
      </c>
      <c r="K165" s="45" t="n">
        <v>44624.375</v>
      </c>
      <c r="L165" s="0" t="n">
        <v>11.17032</v>
      </c>
      <c r="M165" s="0" t="n">
        <v>8.28182</v>
      </c>
      <c r="N165" s="0" t="n">
        <v>10.1697</v>
      </c>
      <c r="O165" s="0" t="n">
        <v>7.2812</v>
      </c>
      <c r="P165" s="0" t="s">
        <v>446</v>
      </c>
      <c r="Q165" s="0" t="s">
        <v>352</v>
      </c>
      <c r="R165" s="0" t="s">
        <v>511</v>
      </c>
      <c r="S165" s="0" t="n">
        <v>7.17120000000001</v>
      </c>
      <c r="T165" s="0" t="n">
        <v>4.28270000000001</v>
      </c>
      <c r="U165" s="0" t="s">
        <v>325</v>
      </c>
      <c r="V165" s="0" t="s">
        <v>442</v>
      </c>
      <c r="W165" s="0" t="n">
        <v>11.25</v>
      </c>
      <c r="X165" s="0" t="n">
        <v>8.3615</v>
      </c>
      <c r="Y165" s="0" t="n">
        <v>0</v>
      </c>
      <c r="AB165" s="58" t="n">
        <f aca="false">M165-AA165</f>
        <v>8.28182</v>
      </c>
      <c r="AC165" s="58" t="n">
        <f aca="false">O165-AA165</f>
        <v>7.2812</v>
      </c>
      <c r="AD165" s="58" t="n">
        <f aca="false">AB165/L165%</f>
        <v>74.1412958626073</v>
      </c>
      <c r="AE165" s="58" t="n">
        <f aca="false">AC165/N165%</f>
        <v>71.5969989281886</v>
      </c>
      <c r="AF165" s="58" t="n">
        <f aca="false">T165-AA165</f>
        <v>4.28270000000001</v>
      </c>
      <c r="AG165" s="58" t="n">
        <f aca="false">AF165/S165%</f>
        <v>59.7208277554664</v>
      </c>
      <c r="AH165" s="58" t="n">
        <f aca="false">W165</f>
        <v>11.25</v>
      </c>
      <c r="AI165" s="58" t="n">
        <f aca="false">J165</f>
        <v>2.8885</v>
      </c>
      <c r="AJ165" s="58" t="n">
        <f aca="false">AH165-AI165</f>
        <v>8.3615</v>
      </c>
      <c r="AK165" s="58" t="n">
        <f aca="false">AA165</f>
        <v>0</v>
      </c>
      <c r="AL165" s="58" t="n">
        <f aca="false">AJ165-AK165</f>
        <v>8.3615</v>
      </c>
      <c r="AM165" s="58" t="n">
        <f aca="false">AL165/AH165%</f>
        <v>74.3244444444444</v>
      </c>
      <c r="AN165" s="0" t="str">
        <f aca="false">IF(ISBLANK(Z165),"","Capped")</f>
        <v/>
      </c>
      <c r="AO165" s="0" t="s">
        <v>327</v>
      </c>
      <c r="AP165" s="0" t="str">
        <f aca="false">TRIM(BA165)</f>
        <v>12V105F</v>
      </c>
      <c r="AQ165" s="59" t="e">
        <f aca="false">_xlfn.xlookup(A165,'SYS Allocations'!A:A,'SYS Allocations'!B:B)</f>
        <v>#NAME?</v>
      </c>
      <c r="AR165" s="59" t="e">
        <f aca="false">_xlfn.xlookup(A165,'SYS Allocations'!A:A,'SYS Allocations'!C:C)</f>
        <v>#NAME?</v>
      </c>
      <c r="AS165" s="59" t="e">
        <f aca="false">_xlfn.xlookup(A165,'SYS Allocations'!A:A,'SYS Allocations'!D:D)</f>
        <v>#NAME?</v>
      </c>
      <c r="AT165" s="59" t="e">
        <f aca="false">_xlfn.xlookup(A165,'SYS Allocations'!A:A,'SYS Allocations'!E:E)</f>
        <v>#NAME?</v>
      </c>
      <c r="AU165" s="59" t="e">
        <f aca="false">_xlfn.xlookup(A165,'SYS Allocations'!A:A,'SYS Allocations'!F:F)</f>
        <v>#NAME?</v>
      </c>
      <c r="BA165" s="0" t="str">
        <f aca="false">IFERROR(LEFT(R165,FIND("(",R165,1)-1),R165)</f>
        <v>12V105F</v>
      </c>
    </row>
    <row r="166" customFormat="false" ht="13.15" hidden="false" customHeight="false" outlineLevel="0" collapsed="false">
      <c r="A166" s="20" t="s">
        <v>182</v>
      </c>
      <c r="B166" s="0" t="s">
        <v>376</v>
      </c>
      <c r="C166" s="0" t="s">
        <v>687</v>
      </c>
      <c r="D166" s="0" t="s">
        <v>319</v>
      </c>
      <c r="E166" s="0" t="s">
        <v>688</v>
      </c>
      <c r="F166" s="0" t="s">
        <v>321</v>
      </c>
      <c r="G166" s="0" t="n">
        <v>36.6</v>
      </c>
      <c r="H166" s="0" t="n">
        <v>31</v>
      </c>
      <c r="I166" s="0" t="n">
        <v>403</v>
      </c>
      <c r="J166" s="0" t="n">
        <v>21.9635</v>
      </c>
      <c r="K166" s="45" t="n">
        <v>45589</v>
      </c>
      <c r="L166" s="0" t="n">
        <v>47.8728</v>
      </c>
      <c r="M166" s="0" t="n">
        <v>25.9093</v>
      </c>
      <c r="N166" s="0" t="n">
        <v>36.7875</v>
      </c>
      <c r="O166" s="0" t="n">
        <v>14.824</v>
      </c>
      <c r="P166" s="0" t="s">
        <v>322</v>
      </c>
      <c r="Q166" s="0" t="s">
        <v>331</v>
      </c>
      <c r="R166" s="0" t="s">
        <v>689</v>
      </c>
      <c r="S166" s="0" t="n">
        <v>37.908</v>
      </c>
      <c r="T166" s="0" t="n">
        <v>15.9445</v>
      </c>
      <c r="U166" s="0" t="s">
        <v>446</v>
      </c>
      <c r="V166" s="0" t="s">
        <v>690</v>
      </c>
      <c r="W166" s="0" t="n">
        <v>99.75</v>
      </c>
      <c r="X166" s="0" t="n">
        <v>77.7865</v>
      </c>
      <c r="Y166" s="0" t="n">
        <v>21</v>
      </c>
      <c r="AB166" s="58" t="n">
        <f aca="false">M166-AA166</f>
        <v>25.9093</v>
      </c>
      <c r="AC166" s="58" t="n">
        <f aca="false">O166-AA166</f>
        <v>14.824</v>
      </c>
      <c r="AD166" s="58" t="n">
        <f aca="false">AB166/L166%</f>
        <v>54.1211293260474</v>
      </c>
      <c r="AE166" s="58" t="n">
        <f aca="false">AC166/N166%</f>
        <v>40.2962962962963</v>
      </c>
      <c r="AF166" s="58" t="n">
        <f aca="false">T166-AA166</f>
        <v>15.9445</v>
      </c>
      <c r="AG166" s="58" t="n">
        <f aca="false">AF166/S166%</f>
        <v>42.0610425240055</v>
      </c>
      <c r="AH166" s="58" t="n">
        <f aca="false">W166</f>
        <v>99.75</v>
      </c>
      <c r="AI166" s="58" t="n">
        <f aca="false">J166</f>
        <v>21.9635</v>
      </c>
      <c r="AJ166" s="58" t="n">
        <f aca="false">AH166-AI166</f>
        <v>77.7865</v>
      </c>
      <c r="AK166" s="58" t="n">
        <f aca="false">AA166</f>
        <v>0</v>
      </c>
      <c r="AL166" s="58" t="n">
        <f aca="false">AJ166-AK166</f>
        <v>77.7865</v>
      </c>
      <c r="AM166" s="58" t="n">
        <f aca="false">AL166/AH166%</f>
        <v>77.9814536340852</v>
      </c>
      <c r="AN166" s="0" t="str">
        <f aca="false">IF(ISBLANK(Z166),"","Capped")</f>
        <v/>
      </c>
      <c r="AO166" s="0" t="s">
        <v>327</v>
      </c>
      <c r="AP166" s="0" t="str">
        <f aca="false">TRIM(BA166)</f>
        <v>2CP1400</v>
      </c>
      <c r="AQ166" s="59" t="e">
        <f aca="false">_xlfn.xlookup(A166,'SYS Allocations'!A:A,'SYS Allocations'!B:B)</f>
        <v>#NAME?</v>
      </c>
      <c r="AR166" s="59" t="e">
        <f aca="false">_xlfn.xlookup(A166,'SYS Allocations'!A:A,'SYS Allocations'!C:C)</f>
        <v>#NAME?</v>
      </c>
      <c r="AS166" s="59" t="e">
        <f aca="false">_xlfn.xlookup(A166,'SYS Allocations'!A:A,'SYS Allocations'!D:D)</f>
        <v>#NAME?</v>
      </c>
      <c r="AT166" s="59" t="e">
        <f aca="false">_xlfn.xlookup(A166,'SYS Allocations'!A:A,'SYS Allocations'!E:E)</f>
        <v>#NAME?</v>
      </c>
      <c r="AU166" s="59" t="e">
        <f aca="false">_xlfn.xlookup(A166,'SYS Allocations'!A:A,'SYS Allocations'!F:F)</f>
        <v>#NAME?</v>
      </c>
      <c r="BA166" s="0" t="str">
        <f aca="false">IFERROR(LEFT(R166,FIND("(",R166,1)-1),R166)</f>
        <v>2CP1400</v>
      </c>
    </row>
    <row r="167" customFormat="false" ht="13.15" hidden="false" customHeight="false" outlineLevel="0" collapsed="false">
      <c r="A167" s="20" t="s">
        <v>183</v>
      </c>
      <c r="B167" s="0" t="s">
        <v>376</v>
      </c>
      <c r="C167" s="0" t="s">
        <v>687</v>
      </c>
      <c r="D167" s="0" t="s">
        <v>319</v>
      </c>
      <c r="E167" s="0" t="s">
        <v>691</v>
      </c>
      <c r="F167" s="0" t="s">
        <v>397</v>
      </c>
      <c r="G167" s="0" t="n">
        <v>50</v>
      </c>
      <c r="H167" s="0" t="n">
        <v>11</v>
      </c>
      <c r="I167" s="0" t="n">
        <v>109</v>
      </c>
      <c r="J167" s="0" t="n">
        <v>5.9405</v>
      </c>
      <c r="K167" s="45" t="n">
        <v>45476</v>
      </c>
      <c r="L167" s="0" t="n">
        <v>21.8</v>
      </c>
      <c r="M167" s="0" t="n">
        <v>15.8595</v>
      </c>
      <c r="N167" s="0" t="n">
        <v>17.52175</v>
      </c>
      <c r="O167" s="0" t="n">
        <v>11.58125</v>
      </c>
      <c r="P167" s="0" t="s">
        <v>322</v>
      </c>
      <c r="Q167" s="0" t="s">
        <v>331</v>
      </c>
      <c r="R167" s="0" t="s">
        <v>365</v>
      </c>
      <c r="S167" s="0" t="n">
        <v>15.1632</v>
      </c>
      <c r="T167" s="0" t="n">
        <v>9.22269999999999</v>
      </c>
      <c r="U167" s="0" t="s">
        <v>322</v>
      </c>
      <c r="V167" s="0" t="s">
        <v>341</v>
      </c>
      <c r="W167" s="0" t="n">
        <v>45</v>
      </c>
      <c r="X167" s="0" t="n">
        <v>39.0595</v>
      </c>
      <c r="Y167" s="0" t="n">
        <v>96</v>
      </c>
      <c r="AB167" s="58" t="n">
        <f aca="false">M167-AA167</f>
        <v>15.8595</v>
      </c>
      <c r="AC167" s="58" t="n">
        <f aca="false">O167-AA167</f>
        <v>11.58125</v>
      </c>
      <c r="AD167" s="58" t="n">
        <f aca="false">AB167/L167%</f>
        <v>72.75</v>
      </c>
      <c r="AE167" s="58" t="n">
        <f aca="false">AC167/N167%</f>
        <v>66.0964230171073</v>
      </c>
      <c r="AF167" s="58" t="n">
        <f aca="false">T167-AA167</f>
        <v>9.22269999999999</v>
      </c>
      <c r="AG167" s="58" t="n">
        <f aca="false">AF167/S167%</f>
        <v>60.8229133692096</v>
      </c>
      <c r="AH167" s="58" t="n">
        <f aca="false">W167</f>
        <v>45</v>
      </c>
      <c r="AI167" s="58" t="n">
        <f aca="false">J167</f>
        <v>5.9405</v>
      </c>
      <c r="AJ167" s="58" t="n">
        <f aca="false">AH167-AI167</f>
        <v>39.0595</v>
      </c>
      <c r="AK167" s="58" t="n">
        <f aca="false">AA167</f>
        <v>0</v>
      </c>
      <c r="AL167" s="58" t="n">
        <f aca="false">AJ167-AK167</f>
        <v>39.0595</v>
      </c>
      <c r="AM167" s="58" t="n">
        <f aca="false">AL167/AH167%</f>
        <v>86.7988888888889</v>
      </c>
      <c r="AN167" s="0" t="str">
        <f aca="false">IF(ISBLANK(Z167),"","Capped")</f>
        <v/>
      </c>
      <c r="AO167" s="0" t="s">
        <v>327</v>
      </c>
      <c r="AP167" s="0" t="str">
        <f aca="false">TRIM(BA167)</f>
        <v>2DDm85-15</v>
      </c>
      <c r="AQ167" s="59" t="e">
        <f aca="false">_xlfn.xlookup(A167,'SYS Allocations'!A:A,'SYS Allocations'!B:B)</f>
        <v>#NAME?</v>
      </c>
      <c r="AR167" s="59" t="e">
        <f aca="false">_xlfn.xlookup(A167,'SYS Allocations'!A:A,'SYS Allocations'!C:C)</f>
        <v>#NAME?</v>
      </c>
      <c r="AS167" s="59" t="e">
        <f aca="false">_xlfn.xlookup(A167,'SYS Allocations'!A:A,'SYS Allocations'!D:D)</f>
        <v>#NAME?</v>
      </c>
      <c r="AT167" s="59" t="e">
        <f aca="false">_xlfn.xlookup(A167,'SYS Allocations'!A:A,'SYS Allocations'!E:E)</f>
        <v>#NAME?</v>
      </c>
      <c r="AU167" s="59" t="e">
        <f aca="false">_xlfn.xlookup(A167,'SYS Allocations'!A:A,'SYS Allocations'!F:F)</f>
        <v>#NAME?</v>
      </c>
      <c r="BA167" s="0" t="str">
        <f aca="false">IFERROR(LEFT(R167,FIND("(",R167,1)-1),R167)</f>
        <v>2DDm85-15</v>
      </c>
    </row>
    <row r="168" customFormat="false" ht="13.15" hidden="false" customHeight="false" outlineLevel="0" collapsed="false">
      <c r="A168" s="20" t="s">
        <v>184</v>
      </c>
      <c r="B168" s="0" t="s">
        <v>317</v>
      </c>
      <c r="C168" s="0" t="s">
        <v>692</v>
      </c>
      <c r="D168" s="0" t="s">
        <v>319</v>
      </c>
      <c r="E168" s="0" t="s">
        <v>693</v>
      </c>
      <c r="F168" s="0" t="s">
        <v>321</v>
      </c>
      <c r="G168" s="0" t="n">
        <v>36.6</v>
      </c>
      <c r="H168" s="0" t="n">
        <v>7</v>
      </c>
      <c r="I168" s="0" t="n">
        <v>97</v>
      </c>
      <c r="J168" s="0" t="n">
        <v>5.2865</v>
      </c>
      <c r="K168" s="45" t="n">
        <v>45630</v>
      </c>
      <c r="L168" s="0" t="n">
        <v>9.57456</v>
      </c>
      <c r="M168" s="0" t="n">
        <v>4.28806</v>
      </c>
      <c r="N168" s="0" t="n">
        <v>5.4282</v>
      </c>
      <c r="O168" s="0" t="n">
        <v>0.1417</v>
      </c>
      <c r="P168" s="0" t="s">
        <v>428</v>
      </c>
      <c r="Q168" s="0" t="s">
        <v>331</v>
      </c>
      <c r="R168" s="0" t="s">
        <v>630</v>
      </c>
      <c r="S168" s="0" t="n">
        <v>18.42912</v>
      </c>
      <c r="T168" s="0" t="n">
        <v>13.14262</v>
      </c>
      <c r="U168" s="0" t="s">
        <v>325</v>
      </c>
      <c r="V168" s="0" t="s">
        <v>442</v>
      </c>
      <c r="W168" s="0" t="n">
        <v>11.25</v>
      </c>
      <c r="X168" s="0" t="n">
        <v>5.9635</v>
      </c>
      <c r="Y168" s="0" t="n">
        <v>8</v>
      </c>
      <c r="AB168" s="58" t="n">
        <f aca="false">M168-AA168</f>
        <v>4.28806</v>
      </c>
      <c r="AC168" s="58" t="n">
        <f aca="false">O168-AA168</f>
        <v>0.1417</v>
      </c>
      <c r="AD168" s="58" t="n">
        <f aca="false">AB168/L168%</f>
        <v>44.7859744990893</v>
      </c>
      <c r="AE168" s="58" t="n">
        <f aca="false">AC168/N168%</f>
        <v>2.61044176706827</v>
      </c>
      <c r="AF168" s="58" t="n">
        <f aca="false">T168-AA168</f>
        <v>13.14262</v>
      </c>
      <c r="AG168" s="58" t="n">
        <f aca="false">AF168/S168%</f>
        <v>71.3144197878141</v>
      </c>
      <c r="AH168" s="58" t="n">
        <f aca="false">W168</f>
        <v>11.25</v>
      </c>
      <c r="AI168" s="58" t="n">
        <f aca="false">J168</f>
        <v>5.2865</v>
      </c>
      <c r="AJ168" s="58" t="n">
        <f aca="false">AH168-AI168</f>
        <v>5.9635</v>
      </c>
      <c r="AK168" s="58" t="n">
        <f aca="false">AA168</f>
        <v>0</v>
      </c>
      <c r="AL168" s="58" t="n">
        <f aca="false">AJ168-AK168</f>
        <v>5.9635</v>
      </c>
      <c r="AM168" s="58" t="n">
        <f aca="false">AL168/AH168%</f>
        <v>53.0088888888889</v>
      </c>
      <c r="AN168" s="0" t="str">
        <f aca="false">IF(ISBLANK(Z168),"","Capped")</f>
        <v/>
      </c>
      <c r="AO168" s="0" t="s">
        <v>327</v>
      </c>
      <c r="AP168" s="0" t="str">
        <f aca="false">TRIM(BA168)</f>
        <v>12V101F</v>
      </c>
      <c r="AQ168" s="59" t="e">
        <f aca="false">_xlfn.xlookup(A168,'SYS Allocations'!A:A,'SYS Allocations'!B:B)</f>
        <v>#NAME?</v>
      </c>
      <c r="AR168" s="59" t="e">
        <f aca="false">_xlfn.xlookup(A168,'SYS Allocations'!A:A,'SYS Allocations'!C:C)</f>
        <v>#NAME?</v>
      </c>
      <c r="AS168" s="59" t="e">
        <f aca="false">_xlfn.xlookup(A168,'SYS Allocations'!A:A,'SYS Allocations'!D:D)</f>
        <v>#NAME?</v>
      </c>
      <c r="AT168" s="59" t="e">
        <f aca="false">_xlfn.xlookup(A168,'SYS Allocations'!A:A,'SYS Allocations'!E:E)</f>
        <v>#NAME?</v>
      </c>
      <c r="AU168" s="59" t="e">
        <f aca="false">_xlfn.xlookup(A168,'SYS Allocations'!A:A,'SYS Allocations'!F:F)</f>
        <v>#NAME?</v>
      </c>
      <c r="BA168" s="0" t="str">
        <f aca="false">IFERROR(LEFT(R168,FIND("(",R168,1)-1),R168)</f>
        <v>12V101F </v>
      </c>
    </row>
    <row r="169" customFormat="false" ht="13.15" hidden="false" customHeight="false" outlineLevel="0" collapsed="false">
      <c r="A169" s="20" t="s">
        <v>185</v>
      </c>
      <c r="B169" s="0" t="s">
        <v>317</v>
      </c>
      <c r="C169" s="0" t="s">
        <v>692</v>
      </c>
      <c r="D169" s="0" t="s">
        <v>319</v>
      </c>
      <c r="E169" s="0" t="s">
        <v>694</v>
      </c>
      <c r="F169" s="0" t="s">
        <v>321</v>
      </c>
      <c r="G169" s="0" t="n">
        <v>36.6</v>
      </c>
      <c r="H169" s="0" t="n">
        <v>18</v>
      </c>
      <c r="I169" s="0" t="n">
        <v>176</v>
      </c>
      <c r="J169" s="0" t="n">
        <v>9.592</v>
      </c>
      <c r="K169" s="45" t="n">
        <v>45309</v>
      </c>
      <c r="L169" s="0" t="n">
        <v>27.12792</v>
      </c>
      <c r="M169" s="0" t="n">
        <v>17.53592</v>
      </c>
      <c r="N169" s="0" t="n">
        <v>15.84315</v>
      </c>
      <c r="O169" s="0" t="n">
        <v>6.25115</v>
      </c>
      <c r="P169" s="0" t="s">
        <v>322</v>
      </c>
      <c r="Q169" s="0" t="s">
        <v>331</v>
      </c>
      <c r="R169" s="0" t="s">
        <v>605</v>
      </c>
      <c r="S169" s="0" t="n">
        <v>28.188</v>
      </c>
      <c r="T169" s="0" t="n">
        <v>18.596</v>
      </c>
      <c r="U169" s="0" t="s">
        <v>337</v>
      </c>
      <c r="V169" s="0" t="s">
        <v>333</v>
      </c>
      <c r="W169" s="0" t="n">
        <v>22.5</v>
      </c>
      <c r="X169" s="0" t="n">
        <v>12.908</v>
      </c>
      <c r="Y169" s="0" t="n">
        <v>9</v>
      </c>
      <c r="AB169" s="58" t="n">
        <f aca="false">M169-AA169</f>
        <v>17.53592</v>
      </c>
      <c r="AC169" s="58" t="n">
        <f aca="false">O169-AA169</f>
        <v>6.25115</v>
      </c>
      <c r="AD169" s="58" t="n">
        <f aca="false">AB169/L169%</f>
        <v>64.6415943426551</v>
      </c>
      <c r="AE169" s="58" t="n">
        <f aca="false">AC169/N169%</f>
        <v>39.4564843481252</v>
      </c>
      <c r="AF169" s="58" t="n">
        <f aca="false">T169-AA169</f>
        <v>18.596</v>
      </c>
      <c r="AG169" s="58" t="n">
        <f aca="false">AF169/S169%</f>
        <v>65.9713353199943</v>
      </c>
      <c r="AH169" s="58" t="n">
        <f aca="false">W169</f>
        <v>22.5</v>
      </c>
      <c r="AI169" s="58" t="n">
        <f aca="false">J169</f>
        <v>9.592</v>
      </c>
      <c r="AJ169" s="58" t="n">
        <f aca="false">AH169-AI169</f>
        <v>12.908</v>
      </c>
      <c r="AK169" s="58" t="n">
        <f aca="false">AA169</f>
        <v>0</v>
      </c>
      <c r="AL169" s="58" t="n">
        <f aca="false">AJ169-AK169</f>
        <v>12.908</v>
      </c>
      <c r="AM169" s="58" t="n">
        <f aca="false">AL169/AH169%</f>
        <v>57.3688888888889</v>
      </c>
      <c r="AN169" s="0" t="str">
        <f aca="false">IF(ISBLANK(Z169),"","Capped")</f>
        <v/>
      </c>
      <c r="AO169" s="0" t="s">
        <v>327</v>
      </c>
      <c r="AP169" s="0" t="str">
        <f aca="false">TRIM(BA169)</f>
        <v>DDm85-27</v>
      </c>
      <c r="AQ169" s="59" t="e">
        <f aca="false">_xlfn.xlookup(A169,'SYS Allocations'!A:A,'SYS Allocations'!B:B)</f>
        <v>#NAME?</v>
      </c>
      <c r="AR169" s="59" t="e">
        <f aca="false">_xlfn.xlookup(A169,'SYS Allocations'!A:A,'SYS Allocations'!C:C)</f>
        <v>#NAME?</v>
      </c>
      <c r="AS169" s="59" t="e">
        <f aca="false">_xlfn.xlookup(A169,'SYS Allocations'!A:A,'SYS Allocations'!D:D)</f>
        <v>#NAME?</v>
      </c>
      <c r="AT169" s="59" t="e">
        <f aca="false">_xlfn.xlookup(A169,'SYS Allocations'!A:A,'SYS Allocations'!E:E)</f>
        <v>#NAME?</v>
      </c>
      <c r="AU169" s="59" t="e">
        <f aca="false">_xlfn.xlookup(A169,'SYS Allocations'!A:A,'SYS Allocations'!F:F)</f>
        <v>#NAME?</v>
      </c>
      <c r="BA169" s="0" t="str">
        <f aca="false">IFERROR(LEFT(R169,FIND("(",R169,1)-1),R169)</f>
        <v>DDm85-27</v>
      </c>
    </row>
    <row r="170" customFormat="false" ht="13.15" hidden="false" customHeight="false" outlineLevel="0" collapsed="false">
      <c r="A170" s="20" t="s">
        <v>186</v>
      </c>
      <c r="B170" s="0" t="s">
        <v>419</v>
      </c>
      <c r="C170" s="0" t="s">
        <v>695</v>
      </c>
      <c r="D170" s="0" t="s">
        <v>319</v>
      </c>
      <c r="E170" s="0" t="s">
        <v>696</v>
      </c>
      <c r="F170" s="0" t="s">
        <v>321</v>
      </c>
      <c r="G170" s="0" t="n">
        <v>36.6</v>
      </c>
      <c r="H170" s="0" t="n">
        <v>11</v>
      </c>
      <c r="I170" s="0" t="n">
        <v>101</v>
      </c>
      <c r="J170" s="0" t="n">
        <v>5.5045</v>
      </c>
      <c r="K170" s="45" t="n">
        <v>45659</v>
      </c>
      <c r="L170" s="0" t="n">
        <v>15.9576</v>
      </c>
      <c r="M170" s="0" t="n">
        <v>10.4531</v>
      </c>
      <c r="N170" s="0" t="n">
        <v>11.663</v>
      </c>
      <c r="O170" s="0" t="n">
        <v>6.1585</v>
      </c>
      <c r="P170" s="0" t="s">
        <v>446</v>
      </c>
      <c r="Q170" s="0" t="s">
        <v>352</v>
      </c>
      <c r="R170" s="0" t="s">
        <v>557</v>
      </c>
      <c r="S170" s="0" t="n">
        <v>14.91264</v>
      </c>
      <c r="T170" s="0" t="n">
        <v>9.40814000000002</v>
      </c>
      <c r="U170" s="0" t="s">
        <v>322</v>
      </c>
      <c r="V170" s="0" t="s">
        <v>512</v>
      </c>
      <c r="W170" s="0" t="n">
        <v>10.5</v>
      </c>
      <c r="X170" s="0" t="n">
        <v>4.9955</v>
      </c>
      <c r="Y170" s="0" t="n">
        <v>6</v>
      </c>
      <c r="AB170" s="58" t="n">
        <f aca="false">M170-AA170</f>
        <v>10.4531</v>
      </c>
      <c r="AC170" s="58" t="n">
        <f aca="false">O170-AA170</f>
        <v>6.1585</v>
      </c>
      <c r="AD170" s="58" t="n">
        <f aca="false">AB170/L170%</f>
        <v>65.5054644808743</v>
      </c>
      <c r="AE170" s="58" t="n">
        <f aca="false">AC170/N170%</f>
        <v>52.803738317757</v>
      </c>
      <c r="AF170" s="58" t="n">
        <f aca="false">T170-AA170</f>
        <v>9.40814000000002</v>
      </c>
      <c r="AG170" s="58" t="n">
        <f aca="false">AF170/S170%</f>
        <v>63.0883599416335</v>
      </c>
      <c r="AH170" s="58" t="n">
        <f aca="false">W170</f>
        <v>10.5</v>
      </c>
      <c r="AI170" s="58" t="n">
        <f aca="false">J170</f>
        <v>5.5045</v>
      </c>
      <c r="AJ170" s="58" t="n">
        <f aca="false">AH170-AI170</f>
        <v>4.9955</v>
      </c>
      <c r="AK170" s="58" t="n">
        <f aca="false">AA170</f>
        <v>0</v>
      </c>
      <c r="AL170" s="58" t="n">
        <f aca="false">AJ170-AK170</f>
        <v>4.9955</v>
      </c>
      <c r="AM170" s="58" t="n">
        <f aca="false">AL170/AH170%</f>
        <v>47.5761904761905</v>
      </c>
      <c r="AN170" s="0" t="str">
        <f aca="false">IF(ISBLANK(Z170),"","Capped")</f>
        <v/>
      </c>
      <c r="AO170" s="0" t="s">
        <v>327</v>
      </c>
      <c r="AP170" s="0" t="str">
        <f aca="false">TRIM(BA170)</f>
        <v>12V190F</v>
      </c>
      <c r="AQ170" s="59" t="e">
        <f aca="false">_xlfn.xlookup(A170,'SYS Allocations'!A:A,'SYS Allocations'!B:B)</f>
        <v>#NAME?</v>
      </c>
      <c r="AR170" s="59" t="e">
        <f aca="false">_xlfn.xlookup(A170,'SYS Allocations'!A:A,'SYS Allocations'!C:C)</f>
        <v>#NAME?</v>
      </c>
      <c r="AS170" s="59" t="e">
        <f aca="false">_xlfn.xlookup(A170,'SYS Allocations'!A:A,'SYS Allocations'!D:D)</f>
        <v>#NAME?</v>
      </c>
      <c r="AT170" s="59" t="e">
        <f aca="false">_xlfn.xlookup(A170,'SYS Allocations'!A:A,'SYS Allocations'!E:E)</f>
        <v>#NAME?</v>
      </c>
      <c r="AU170" s="59" t="e">
        <f aca="false">_xlfn.xlookup(A170,'SYS Allocations'!A:A,'SYS Allocations'!F:F)</f>
        <v>#NAME?</v>
      </c>
      <c r="BA170" s="0" t="str">
        <f aca="false">IFERROR(LEFT(R170,FIND("(",R170,1)-1),R170)</f>
        <v>12V190F</v>
      </c>
    </row>
    <row r="171" customFormat="false" ht="13.15" hidden="false" customHeight="false" outlineLevel="0" collapsed="false">
      <c r="A171" s="20" t="s">
        <v>187</v>
      </c>
      <c r="B171" s="0" t="s">
        <v>394</v>
      </c>
      <c r="C171" s="0" t="s">
        <v>697</v>
      </c>
      <c r="D171" s="0" t="s">
        <v>319</v>
      </c>
      <c r="E171" s="0" t="s">
        <v>698</v>
      </c>
      <c r="F171" s="0" t="s">
        <v>321</v>
      </c>
      <c r="G171" s="0" t="n">
        <v>36.6</v>
      </c>
      <c r="H171" s="0" t="n">
        <v>32</v>
      </c>
      <c r="I171" s="0" t="n">
        <v>349</v>
      </c>
      <c r="J171" s="0" t="n">
        <v>19.0205</v>
      </c>
      <c r="K171" s="45" t="n">
        <v>45659</v>
      </c>
      <c r="L171" s="0" t="n">
        <v>49.46856</v>
      </c>
      <c r="M171" s="0" t="n">
        <v>30.44806</v>
      </c>
      <c r="N171" s="0" t="n">
        <v>35.6757</v>
      </c>
      <c r="O171" s="0" t="n">
        <v>16.6552</v>
      </c>
      <c r="P171" s="0" t="s">
        <v>337</v>
      </c>
      <c r="Q171" s="0" t="s">
        <v>331</v>
      </c>
      <c r="R171" s="0" t="s">
        <v>336</v>
      </c>
      <c r="S171" s="0" t="n">
        <v>42.2496</v>
      </c>
      <c r="T171" s="0" t="n">
        <v>23.2291</v>
      </c>
      <c r="U171" s="0" t="s">
        <v>322</v>
      </c>
      <c r="V171" s="0" t="s">
        <v>341</v>
      </c>
      <c r="W171" s="0" t="n">
        <v>45</v>
      </c>
      <c r="X171" s="0" t="n">
        <v>25.9795</v>
      </c>
      <c r="Y171" s="0" t="n">
        <v>40</v>
      </c>
      <c r="AB171" s="58" t="n">
        <f aca="false">M171-AA171</f>
        <v>30.44806</v>
      </c>
      <c r="AC171" s="58" t="n">
        <f aca="false">O171-AA171</f>
        <v>16.6552</v>
      </c>
      <c r="AD171" s="58" t="n">
        <f aca="false">AB171/L171%</f>
        <v>61.5503261061167</v>
      </c>
      <c r="AE171" s="58" t="n">
        <f aca="false">AC171/N171%</f>
        <v>46.6849984723495</v>
      </c>
      <c r="AF171" s="58" t="n">
        <f aca="false">T171-AA171</f>
        <v>23.2291</v>
      </c>
      <c r="AG171" s="58" t="n">
        <f aca="false">AF171/S171%</f>
        <v>54.9806388699538</v>
      </c>
      <c r="AH171" s="60" t="n">
        <f aca="false">AVERAGE(W171:W172)</f>
        <v>45</v>
      </c>
      <c r="AI171" s="60" t="n">
        <f aca="false">SUM(J171:J172)</f>
        <v>31.8825</v>
      </c>
      <c r="AJ171" s="60" t="n">
        <f aca="false">AH171-AI171</f>
        <v>13.1175</v>
      </c>
      <c r="AK171" s="60" t="n">
        <f aca="false">SUM(AA171:AA172)</f>
        <v>0</v>
      </c>
      <c r="AL171" s="60" t="n">
        <f aca="false">AJ171-AK171</f>
        <v>13.1175</v>
      </c>
      <c r="AM171" s="61" t="n">
        <f aca="false">AL171/AH171%</f>
        <v>29.15</v>
      </c>
      <c r="AN171" s="0" t="str">
        <f aca="false">IF(ISBLANK(Z171),"","Capped")</f>
        <v/>
      </c>
      <c r="AO171" s="0" t="s">
        <v>327</v>
      </c>
      <c r="AP171" s="0" t="str">
        <f aca="false">TRIM(BA171)</f>
        <v>DDm100-25</v>
      </c>
      <c r="AQ171" s="59" t="e">
        <f aca="false">_xlfn.xlookup(A171,'SYS Allocations'!A:A,'SYS Allocations'!B:B)</f>
        <v>#NAME?</v>
      </c>
      <c r="AR171" s="59" t="e">
        <f aca="false">_xlfn.xlookup(A171,'SYS Allocations'!A:A,'SYS Allocations'!C:C)</f>
        <v>#NAME?</v>
      </c>
      <c r="AS171" s="59" t="e">
        <f aca="false">_xlfn.xlookup(A171,'SYS Allocations'!A:A,'SYS Allocations'!D:D)</f>
        <v>#NAME?</v>
      </c>
      <c r="AT171" s="59" t="e">
        <f aca="false">_xlfn.xlookup(A171,'SYS Allocations'!A:A,'SYS Allocations'!E:E)</f>
        <v>#NAME?</v>
      </c>
      <c r="AU171" s="59" t="e">
        <f aca="false">_xlfn.xlookup(A171,'SYS Allocations'!A:A,'SYS Allocations'!F:F)</f>
        <v>#NAME?</v>
      </c>
      <c r="BA171" s="0" t="str">
        <f aca="false">IFERROR(LEFT(R171,FIND("(",R171,1)-1),R171)</f>
        <v>DDm100-25</v>
      </c>
    </row>
    <row r="172" customFormat="false" ht="13.15" hidden="false" customHeight="false" outlineLevel="0" collapsed="false">
      <c r="A172" s="20" t="s">
        <v>188</v>
      </c>
      <c r="B172" s="0" t="s">
        <v>394</v>
      </c>
      <c r="C172" s="0" t="s">
        <v>697</v>
      </c>
      <c r="D172" s="0" t="s">
        <v>319</v>
      </c>
      <c r="E172" s="0" t="s">
        <v>698</v>
      </c>
      <c r="F172" s="0" t="s">
        <v>321</v>
      </c>
      <c r="G172" s="0" t="n">
        <v>36.6</v>
      </c>
      <c r="H172" s="0" t="n">
        <v>24</v>
      </c>
      <c r="I172" s="0" t="n">
        <v>236</v>
      </c>
      <c r="J172" s="0" t="n">
        <v>12.862</v>
      </c>
      <c r="K172" s="45" t="n">
        <v>45659</v>
      </c>
      <c r="L172" s="0" t="n">
        <v>36.70248</v>
      </c>
      <c r="M172" s="0" t="n">
        <v>23.84048</v>
      </c>
      <c r="N172" s="0" t="n">
        <v>17.5381</v>
      </c>
      <c r="O172" s="0" t="n">
        <v>4.6761</v>
      </c>
      <c r="P172" s="0" t="s">
        <v>337</v>
      </c>
      <c r="Q172" s="0" t="s">
        <v>331</v>
      </c>
      <c r="R172" s="0" t="s">
        <v>340</v>
      </c>
      <c r="S172" s="0" t="n">
        <v>45.7056</v>
      </c>
      <c r="T172" s="0" t="n">
        <v>32.8436</v>
      </c>
      <c r="U172" s="0" t="s">
        <v>322</v>
      </c>
      <c r="V172" s="0" t="s">
        <v>341</v>
      </c>
      <c r="W172" s="0" t="n">
        <v>45</v>
      </c>
      <c r="X172" s="0" t="n">
        <v>32.138</v>
      </c>
      <c r="Y172" s="0" t="n">
        <v>40</v>
      </c>
      <c r="AB172" s="58" t="n">
        <f aca="false">M172-AA172</f>
        <v>23.84048</v>
      </c>
      <c r="AC172" s="58" t="n">
        <f aca="false">O172-AA172</f>
        <v>4.6761</v>
      </c>
      <c r="AD172" s="58" t="n">
        <f aca="false">AB172/L172%</f>
        <v>64.9560465668805</v>
      </c>
      <c r="AE172" s="58" t="n">
        <f aca="false">AC172/N172%</f>
        <v>26.6625233064015</v>
      </c>
      <c r="AF172" s="58" t="n">
        <f aca="false">T172-AA172</f>
        <v>32.8436</v>
      </c>
      <c r="AG172" s="58" t="n">
        <f aca="false">AF172/S172%</f>
        <v>71.8590282153609</v>
      </c>
      <c r="AH172" s="60"/>
      <c r="AI172" s="60"/>
      <c r="AJ172" s="60"/>
      <c r="AK172" s="60"/>
      <c r="AL172" s="60"/>
      <c r="AM172" s="61"/>
      <c r="AN172" s="0" t="str">
        <f aca="false">IF(ISBLANK(Z172),"","Capped")</f>
        <v/>
      </c>
      <c r="AO172" s="0" t="s">
        <v>327</v>
      </c>
      <c r="AP172" s="0" t="str">
        <f aca="false">TRIM(BA172)</f>
        <v>DDm100-27</v>
      </c>
      <c r="AQ172" s="59"/>
      <c r="AR172" s="59"/>
      <c r="AS172" s="59"/>
      <c r="AT172" s="59"/>
      <c r="AU172" s="59"/>
      <c r="BA172" s="0" t="str">
        <f aca="false">IFERROR(LEFT(R172,FIND("(",R172,1)-1),R172)</f>
        <v>DDm100-27</v>
      </c>
    </row>
    <row r="173" customFormat="false" ht="13.15" hidden="false" customHeight="false" outlineLevel="0" collapsed="false">
      <c r="A173" s="20" t="s">
        <v>189</v>
      </c>
      <c r="B173" s="0" t="s">
        <v>394</v>
      </c>
      <c r="C173" s="0" t="s">
        <v>699</v>
      </c>
      <c r="D173" s="0" t="s">
        <v>319</v>
      </c>
      <c r="E173" s="0" t="s">
        <v>700</v>
      </c>
      <c r="F173" s="0" t="s">
        <v>701</v>
      </c>
      <c r="G173" s="0" t="n">
        <v>60.4</v>
      </c>
      <c r="H173" s="0" t="n">
        <v>8</v>
      </c>
      <c r="I173" s="0" t="n">
        <v>105</v>
      </c>
      <c r="J173" s="0" t="n">
        <v>5.7225</v>
      </c>
      <c r="K173" s="45" t="n">
        <v>45532</v>
      </c>
      <c r="L173" s="0" t="n">
        <v>18.43408</v>
      </c>
      <c r="M173" s="0" t="n">
        <v>12.71158</v>
      </c>
      <c r="N173" s="0" t="n">
        <v>16.5571</v>
      </c>
      <c r="O173" s="0" t="n">
        <v>10.8346</v>
      </c>
      <c r="P173" s="0" t="s">
        <v>325</v>
      </c>
      <c r="Q173" s="0" t="s">
        <v>331</v>
      </c>
      <c r="R173" s="0" t="s">
        <v>365</v>
      </c>
      <c r="S173" s="0" t="n">
        <v>10.1088</v>
      </c>
      <c r="T173" s="0" t="n">
        <v>4.38629999999998</v>
      </c>
      <c r="U173" s="0" t="s">
        <v>325</v>
      </c>
      <c r="V173" s="0" t="s">
        <v>333</v>
      </c>
      <c r="W173" s="0" t="n">
        <v>22.5</v>
      </c>
      <c r="X173" s="0" t="n">
        <v>16.7775</v>
      </c>
      <c r="Y173" s="0" t="n">
        <v>24</v>
      </c>
      <c r="AB173" s="58" t="n">
        <f aca="false">M173-AA173</f>
        <v>12.71158</v>
      </c>
      <c r="AC173" s="58" t="n">
        <f aca="false">O173-AA173</f>
        <v>10.8346</v>
      </c>
      <c r="AD173" s="58" t="n">
        <f aca="false">AB173/L173%</f>
        <v>68.9569536423841</v>
      </c>
      <c r="AE173" s="58" t="n">
        <f aca="false">AC173/N173%</f>
        <v>65.4377880184332</v>
      </c>
      <c r="AF173" s="58" t="n">
        <f aca="false">T173-AA173</f>
        <v>4.38629999999998</v>
      </c>
      <c r="AG173" s="58" t="n">
        <f aca="false">AF173/S173%</f>
        <v>43.3909069325734</v>
      </c>
      <c r="AH173" s="58" t="n">
        <f aca="false">W173</f>
        <v>22.5</v>
      </c>
      <c r="AI173" s="58" t="n">
        <f aca="false">J173</f>
        <v>5.7225</v>
      </c>
      <c r="AJ173" s="58" t="n">
        <f aca="false">AH173-AI173</f>
        <v>16.7775</v>
      </c>
      <c r="AK173" s="58" t="n">
        <f aca="false">AA173</f>
        <v>0</v>
      </c>
      <c r="AL173" s="58" t="n">
        <f aca="false">AJ173-AK173</f>
        <v>16.7775</v>
      </c>
      <c r="AM173" s="58" t="n">
        <f aca="false">AL173/AH173%</f>
        <v>74.5666666666667</v>
      </c>
      <c r="AN173" s="0" t="str">
        <f aca="false">IF(ISBLANK(Z173),"","Capped")</f>
        <v/>
      </c>
      <c r="AO173" s="0" t="s">
        <v>327</v>
      </c>
      <c r="AP173" s="0" t="str">
        <f aca="false">TRIM(BA173)</f>
        <v>2DDm85-15</v>
      </c>
      <c r="AQ173" s="59" t="e">
        <f aca="false">_xlfn.xlookup(A173,'SYS Allocations'!A:A,'SYS Allocations'!B:B)</f>
        <v>#NAME?</v>
      </c>
      <c r="AR173" s="59" t="e">
        <f aca="false">_xlfn.xlookup(A173,'SYS Allocations'!A:A,'SYS Allocations'!C:C)</f>
        <v>#NAME?</v>
      </c>
      <c r="AS173" s="59" t="e">
        <f aca="false">_xlfn.xlookup(A173,'SYS Allocations'!A:A,'SYS Allocations'!D:D)</f>
        <v>#NAME?</v>
      </c>
      <c r="AT173" s="59" t="e">
        <f aca="false">_xlfn.xlookup(A173,'SYS Allocations'!A:A,'SYS Allocations'!E:E)</f>
        <v>#NAME?</v>
      </c>
      <c r="AU173" s="59" t="e">
        <f aca="false">_xlfn.xlookup(A173,'SYS Allocations'!A:A,'SYS Allocations'!F:F)</f>
        <v>#NAME?</v>
      </c>
      <c r="BA173" s="0" t="str">
        <f aca="false">IFERROR(LEFT(R173,FIND("(",R173,1)-1),R173)</f>
        <v>2DDm85-15</v>
      </c>
    </row>
    <row r="174" customFormat="false" ht="13.15" hidden="false" customHeight="false" outlineLevel="0" collapsed="false">
      <c r="A174" s="20" t="s">
        <v>190</v>
      </c>
      <c r="B174" s="0" t="s">
        <v>488</v>
      </c>
      <c r="C174" s="0" t="s">
        <v>702</v>
      </c>
      <c r="D174" s="0" t="s">
        <v>390</v>
      </c>
      <c r="E174" s="0" t="s">
        <v>703</v>
      </c>
      <c r="F174" s="0" t="s">
        <v>383</v>
      </c>
      <c r="G174" s="0" t="n">
        <v>55</v>
      </c>
      <c r="H174" s="0" t="n">
        <v>6</v>
      </c>
      <c r="I174" s="0" t="n">
        <v>97</v>
      </c>
      <c r="J174" s="0" t="n">
        <v>5.2865</v>
      </c>
      <c r="K174" s="45" t="n">
        <v>45517</v>
      </c>
      <c r="L174" s="0" t="n">
        <v>11.99</v>
      </c>
      <c r="M174" s="0" t="n">
        <v>6.7035</v>
      </c>
      <c r="N174" s="0" t="n">
        <v>9.336939564</v>
      </c>
      <c r="O174" s="0" t="n">
        <v>4.050439564</v>
      </c>
      <c r="P174" s="0" t="s">
        <v>337</v>
      </c>
      <c r="Q174" s="0" t="s">
        <v>323</v>
      </c>
      <c r="R174" s="0" t="s">
        <v>704</v>
      </c>
      <c r="S174" s="0" t="n">
        <v>11.664</v>
      </c>
      <c r="T174" s="0" t="n">
        <v>6.37749999999999</v>
      </c>
      <c r="U174" s="0" t="s">
        <v>337</v>
      </c>
      <c r="V174" s="0" t="s">
        <v>333</v>
      </c>
      <c r="W174" s="0" t="n">
        <v>22.5</v>
      </c>
      <c r="X174" s="0" t="n">
        <v>17.2135</v>
      </c>
      <c r="Y174" s="0" t="n">
        <v>3</v>
      </c>
      <c r="Z174" s="0" t="s">
        <v>8</v>
      </c>
      <c r="AB174" s="58" t="n">
        <f aca="false">M174-AA174</f>
        <v>6.7035</v>
      </c>
      <c r="AC174" s="58" t="n">
        <f aca="false">O174-AA174</f>
        <v>4.050439564</v>
      </c>
      <c r="AD174" s="58" t="n">
        <f aca="false">AB174/L174%</f>
        <v>55.9090909090909</v>
      </c>
      <c r="AE174" s="58" t="n">
        <f aca="false">AC174/N174%</f>
        <v>43.3808052010649</v>
      </c>
      <c r="AF174" s="58" t="n">
        <f aca="false">T174-AA174</f>
        <v>6.37749999999999</v>
      </c>
      <c r="AG174" s="58" t="n">
        <f aca="false">AF174/S174%</f>
        <v>54.6767832647461</v>
      </c>
      <c r="AH174" s="58" t="n">
        <f aca="false">W174</f>
        <v>22.5</v>
      </c>
      <c r="AI174" s="58" t="n">
        <f aca="false">J174</f>
        <v>5.2865</v>
      </c>
      <c r="AJ174" s="58" t="n">
        <f aca="false">AH174-AI174</f>
        <v>17.2135</v>
      </c>
      <c r="AK174" s="58" t="n">
        <f aca="false">AA174</f>
        <v>0</v>
      </c>
      <c r="AL174" s="58" t="n">
        <f aca="false">AJ174-AK174</f>
        <v>17.2135</v>
      </c>
      <c r="AM174" s="58" t="n">
        <f aca="false">AL174/AH174%</f>
        <v>76.5044444444444</v>
      </c>
      <c r="AN174" s="0" t="str">
        <f aca="false">IF(ISBLANK(Z174),"","Capped")</f>
        <v>Capped</v>
      </c>
      <c r="AO174" s="0" t="s">
        <v>327</v>
      </c>
      <c r="AP174" s="0" t="str">
        <f aca="false">TRIM(BA174)</f>
        <v>EN320</v>
      </c>
      <c r="AQ174" s="59" t="e">
        <f aca="false">_xlfn.xlookup(A174,'SYS Allocations'!A:A,'SYS Allocations'!B:B)</f>
        <v>#NAME?</v>
      </c>
      <c r="AR174" s="59" t="e">
        <f aca="false">_xlfn.xlookup(A174,'SYS Allocations'!A:A,'SYS Allocations'!C:C)</f>
        <v>#NAME?</v>
      </c>
      <c r="AS174" s="59" t="e">
        <f aca="false">_xlfn.xlookup(A174,'SYS Allocations'!A:A,'SYS Allocations'!D:D)</f>
        <v>#NAME?</v>
      </c>
      <c r="AT174" s="59" t="e">
        <f aca="false">_xlfn.xlookup(A174,'SYS Allocations'!A:A,'SYS Allocations'!E:E)</f>
        <v>#NAME?</v>
      </c>
      <c r="AU174" s="59" t="e">
        <f aca="false">_xlfn.xlookup(A174,'SYS Allocations'!A:A,'SYS Allocations'!F:F)</f>
        <v>#NAME?</v>
      </c>
      <c r="BA174" s="0" t="str">
        <f aca="false">IFERROR(LEFT(R174,FIND("(",R174,1)-1),R174)</f>
        <v>EN320</v>
      </c>
    </row>
    <row r="175" customFormat="false" ht="13.15" hidden="false" customHeight="false" outlineLevel="0" collapsed="false">
      <c r="A175" s="20" t="s">
        <v>191</v>
      </c>
      <c r="B175" s="0" t="s">
        <v>488</v>
      </c>
      <c r="C175" s="0" t="s">
        <v>705</v>
      </c>
      <c r="D175" s="0" t="s">
        <v>319</v>
      </c>
      <c r="E175" s="0" t="s">
        <v>706</v>
      </c>
      <c r="F175" s="0" t="s">
        <v>364</v>
      </c>
      <c r="G175" s="0" t="n">
        <v>75</v>
      </c>
      <c r="H175" s="0" t="n">
        <v>9</v>
      </c>
      <c r="I175" s="0" t="n">
        <v>250</v>
      </c>
      <c r="J175" s="0" t="n">
        <v>13.625</v>
      </c>
      <c r="K175" s="45" t="n">
        <v>45625</v>
      </c>
      <c r="L175" s="0" t="n">
        <v>26.16</v>
      </c>
      <c r="M175" s="0" t="n">
        <v>12.535</v>
      </c>
      <c r="N175" s="0" t="n">
        <v>20.6555</v>
      </c>
      <c r="O175" s="0" t="n">
        <v>7.0305</v>
      </c>
      <c r="P175" s="0" t="s">
        <v>325</v>
      </c>
      <c r="Q175" s="0" t="s">
        <v>331</v>
      </c>
      <c r="R175" s="0" t="s">
        <v>605</v>
      </c>
      <c r="S175" s="0" t="n">
        <v>18.792</v>
      </c>
      <c r="T175" s="0" t="n">
        <v>5.16699999999998</v>
      </c>
      <c r="U175" s="0" t="s">
        <v>322</v>
      </c>
      <c r="V175" s="0" t="s">
        <v>341</v>
      </c>
      <c r="W175" s="0" t="n">
        <v>45</v>
      </c>
      <c r="X175" s="0" t="n">
        <v>31.375</v>
      </c>
      <c r="Y175" s="0" t="n">
        <v>31</v>
      </c>
      <c r="AB175" s="58" t="n">
        <f aca="false">M175-AA175</f>
        <v>12.535</v>
      </c>
      <c r="AC175" s="58" t="n">
        <f aca="false">O175-AA175</f>
        <v>7.0305</v>
      </c>
      <c r="AD175" s="58" t="n">
        <f aca="false">AB175/L175%</f>
        <v>47.9166666666667</v>
      </c>
      <c r="AE175" s="58" t="n">
        <f aca="false">AC175/N175%</f>
        <v>34.0369393139842</v>
      </c>
      <c r="AF175" s="58" t="n">
        <f aca="false">T175-AA175</f>
        <v>5.16699999999998</v>
      </c>
      <c r="AG175" s="58" t="n">
        <f aca="false">AF175/S175%</f>
        <v>27.495742869306</v>
      </c>
      <c r="AH175" s="60" t="n">
        <f aca="false">AVERAGE(W175:W176)</f>
        <v>45</v>
      </c>
      <c r="AI175" s="60" t="n">
        <f aca="false">SUM(J175:J176)</f>
        <v>27.25</v>
      </c>
      <c r="AJ175" s="60" t="n">
        <f aca="false">AH175-AI175</f>
        <v>17.75</v>
      </c>
      <c r="AK175" s="60" t="n">
        <f aca="false">SUM(AA175:AA176)</f>
        <v>0</v>
      </c>
      <c r="AL175" s="60" t="n">
        <f aca="false">AJ175-AK175</f>
        <v>17.75</v>
      </c>
      <c r="AM175" s="61" t="n">
        <f aca="false">AL175/AH175%</f>
        <v>39.4444444444444</v>
      </c>
      <c r="AN175" s="0" t="str">
        <f aca="false">IF(ISBLANK(Z175),"","Capped")</f>
        <v/>
      </c>
      <c r="AO175" s="0" t="s">
        <v>327</v>
      </c>
      <c r="AP175" s="0" t="str">
        <f aca="false">TRIM(BA175)</f>
        <v>DDm85-27</v>
      </c>
      <c r="AQ175" s="59" t="e">
        <f aca="false">_xlfn.xlookup(A175,'SYS Allocations'!A:A,'SYS Allocations'!B:B)</f>
        <v>#NAME?</v>
      </c>
      <c r="AR175" s="59" t="e">
        <f aca="false">_xlfn.xlookup(A175,'SYS Allocations'!A:A,'SYS Allocations'!C:C)</f>
        <v>#NAME?</v>
      </c>
      <c r="AS175" s="59" t="e">
        <f aca="false">_xlfn.xlookup(A175,'SYS Allocations'!A:A,'SYS Allocations'!D:D)</f>
        <v>#NAME?</v>
      </c>
      <c r="AT175" s="59" t="e">
        <f aca="false">_xlfn.xlookup(A175,'SYS Allocations'!A:A,'SYS Allocations'!E:E)</f>
        <v>#NAME?</v>
      </c>
      <c r="AU175" s="59" t="e">
        <f aca="false">_xlfn.xlookup(A175,'SYS Allocations'!A:A,'SYS Allocations'!F:F)</f>
        <v>#NAME?</v>
      </c>
      <c r="BA175" s="0" t="str">
        <f aca="false">IFERROR(LEFT(R175,FIND("(",R175,1)-1),R175)</f>
        <v>DDm85-27</v>
      </c>
    </row>
    <row r="176" customFormat="false" ht="13.15" hidden="false" customHeight="false" outlineLevel="0" collapsed="false">
      <c r="A176" s="20" t="s">
        <v>192</v>
      </c>
      <c r="B176" s="0" t="s">
        <v>488</v>
      </c>
      <c r="C176" s="0" t="s">
        <v>705</v>
      </c>
      <c r="D176" s="0" t="s">
        <v>319</v>
      </c>
      <c r="E176" s="0" t="s">
        <v>706</v>
      </c>
      <c r="F176" s="0" t="s">
        <v>364</v>
      </c>
      <c r="G176" s="0" t="n">
        <v>75</v>
      </c>
      <c r="H176" s="0" t="n">
        <v>7</v>
      </c>
      <c r="I176" s="0" t="n">
        <v>250</v>
      </c>
      <c r="J176" s="0" t="n">
        <v>13.625</v>
      </c>
      <c r="K176" s="45" t="n">
        <v>45625</v>
      </c>
      <c r="L176" s="0" t="n">
        <v>19.62</v>
      </c>
      <c r="M176" s="0" t="n">
        <v>5.995</v>
      </c>
      <c r="N176" s="0" t="n">
        <v>12.4805</v>
      </c>
      <c r="O176" s="0" t="n">
        <v>-1.1445</v>
      </c>
      <c r="P176" s="0" t="s">
        <v>325</v>
      </c>
      <c r="Q176" s="0" t="s">
        <v>331</v>
      </c>
      <c r="R176" s="0" t="s">
        <v>605</v>
      </c>
      <c r="S176" s="0" t="n">
        <v>18.792</v>
      </c>
      <c r="T176" s="0" t="n">
        <v>5.16699999999998</v>
      </c>
      <c r="U176" s="0" t="s">
        <v>322</v>
      </c>
      <c r="V176" s="0" t="s">
        <v>341</v>
      </c>
      <c r="W176" s="0" t="n">
        <v>45</v>
      </c>
      <c r="X176" s="0" t="n">
        <v>31.375</v>
      </c>
      <c r="Y176" s="0" t="n">
        <v>31</v>
      </c>
      <c r="AB176" s="58" t="n">
        <f aca="false">M176-AA176</f>
        <v>5.995</v>
      </c>
      <c r="AC176" s="58" t="n">
        <f aca="false">O176-AA176</f>
        <v>-1.1445</v>
      </c>
      <c r="AD176" s="58" t="n">
        <f aca="false">AB176/L176%</f>
        <v>30.5555555555556</v>
      </c>
      <c r="AE176" s="58" t="n">
        <f aca="false">AC176/N176%</f>
        <v>-9.1703056768559</v>
      </c>
      <c r="AF176" s="58" t="n">
        <f aca="false">T176-AA176</f>
        <v>5.16699999999998</v>
      </c>
      <c r="AG176" s="58" t="n">
        <f aca="false">AF176/S176%</f>
        <v>27.495742869306</v>
      </c>
      <c r="AH176" s="60"/>
      <c r="AI176" s="60"/>
      <c r="AJ176" s="60"/>
      <c r="AK176" s="60"/>
      <c r="AL176" s="60"/>
      <c r="AM176" s="61"/>
      <c r="AN176" s="0" t="str">
        <f aca="false">IF(ISBLANK(Z176),"","Capped")</f>
        <v/>
      </c>
      <c r="AO176" s="0" t="s">
        <v>327</v>
      </c>
      <c r="AP176" s="0" t="str">
        <f aca="false">TRIM(BA176)</f>
        <v>DDm85-27</v>
      </c>
      <c r="AQ176" s="59" t="e">
        <f aca="false">_xlfn.xlookup(A176,'SYS Allocations'!A:A,'SYS Allocations'!B:B)</f>
        <v>#NAME?</v>
      </c>
      <c r="AR176" s="59" t="e">
        <f aca="false">_xlfn.xlookup(A176,'SYS Allocations'!A:A,'SYS Allocations'!C:C)</f>
        <v>#NAME?</v>
      </c>
      <c r="AS176" s="59" t="e">
        <f aca="false">_xlfn.xlookup(A176,'SYS Allocations'!A:A,'SYS Allocations'!D:D)</f>
        <v>#NAME?</v>
      </c>
      <c r="AT176" s="59" t="e">
        <f aca="false">_xlfn.xlookup(A176,'SYS Allocations'!A:A,'SYS Allocations'!E:E)</f>
        <v>#NAME?</v>
      </c>
      <c r="AU176" s="59" t="e">
        <f aca="false">_xlfn.xlookup(A176,'SYS Allocations'!A:A,'SYS Allocations'!F:F)</f>
        <v>#NAME?</v>
      </c>
      <c r="BA176" s="0" t="str">
        <f aca="false">IFERROR(LEFT(R176,FIND("(",R176,1)-1),R176)</f>
        <v>DDm85-27</v>
      </c>
    </row>
    <row r="177" customFormat="false" ht="13.15" hidden="false" customHeight="false" outlineLevel="0" collapsed="false">
      <c r="A177" s="20" t="s">
        <v>193</v>
      </c>
      <c r="B177" s="0" t="s">
        <v>371</v>
      </c>
      <c r="C177" s="0" t="s">
        <v>707</v>
      </c>
      <c r="D177" s="0" t="s">
        <v>319</v>
      </c>
      <c r="E177" s="0" t="s">
        <v>708</v>
      </c>
      <c r="F177" s="0" t="s">
        <v>321</v>
      </c>
      <c r="G177" s="0" t="n">
        <v>36.6</v>
      </c>
      <c r="H177" s="0" t="n">
        <v>22</v>
      </c>
      <c r="I177" s="0" t="n">
        <v>83</v>
      </c>
      <c r="J177" s="0" t="n">
        <v>4.5235</v>
      </c>
      <c r="K177" s="45" t="n">
        <v>45659</v>
      </c>
      <c r="L177" s="0" t="n">
        <v>33.51096</v>
      </c>
      <c r="M177" s="0" t="n">
        <v>28.98746</v>
      </c>
      <c r="N177" s="0" t="n">
        <v>27.0647</v>
      </c>
      <c r="O177" s="0" t="n">
        <v>22.5412</v>
      </c>
      <c r="P177" s="0" t="s">
        <v>325</v>
      </c>
      <c r="Q177" s="0" t="s">
        <v>331</v>
      </c>
      <c r="R177" s="0" t="s">
        <v>472</v>
      </c>
      <c r="S177" s="0" t="n">
        <v>22.9824</v>
      </c>
      <c r="T177" s="0" t="n">
        <v>18.4589</v>
      </c>
      <c r="U177" s="0" t="s">
        <v>322</v>
      </c>
      <c r="V177" s="0" t="s">
        <v>709</v>
      </c>
      <c r="W177" s="0" t="n">
        <v>39</v>
      </c>
      <c r="X177" s="0" t="n">
        <v>34.4765</v>
      </c>
      <c r="Y177" s="0" t="n">
        <v>7</v>
      </c>
      <c r="AB177" s="58" t="n">
        <f aca="false">M177-AA177</f>
        <v>28.98746</v>
      </c>
      <c r="AC177" s="58" t="n">
        <f aca="false">O177-AA177</f>
        <v>22.5412</v>
      </c>
      <c r="AD177" s="58" t="n">
        <f aca="false">AB177/L177%</f>
        <v>86.5014311735623</v>
      </c>
      <c r="AE177" s="58" t="n">
        <f aca="false">AC177/N177%</f>
        <v>83.2863471606927</v>
      </c>
      <c r="AF177" s="58" t="n">
        <f aca="false">T177-AA177</f>
        <v>18.4589</v>
      </c>
      <c r="AG177" s="58" t="n">
        <f aca="false">AF177/S177%</f>
        <v>80.3175473405737</v>
      </c>
      <c r="AH177" s="60" t="n">
        <f aca="false">AVERAGE(W177:W178)</f>
        <v>39</v>
      </c>
      <c r="AI177" s="60" t="n">
        <f aca="false">SUM(J177:J178)</f>
        <v>6.758</v>
      </c>
      <c r="AJ177" s="60" t="n">
        <f aca="false">AH177-AI177</f>
        <v>32.242</v>
      </c>
      <c r="AK177" s="60" t="n">
        <f aca="false">SUM(AA177:AA178)</f>
        <v>0</v>
      </c>
      <c r="AL177" s="60" t="n">
        <f aca="false">AJ177-AK177</f>
        <v>32.242</v>
      </c>
      <c r="AM177" s="61" t="n">
        <f aca="false">AL177/AH177%</f>
        <v>82.6717948717949</v>
      </c>
      <c r="AN177" s="0" t="str">
        <f aca="false">IF(ISBLANK(Z177),"","Capped")</f>
        <v/>
      </c>
      <c r="AO177" s="44" t="s">
        <v>393</v>
      </c>
      <c r="AP177" s="0" t="str">
        <f aca="false">TRIM(BA177)</f>
        <v>DDm85-33</v>
      </c>
      <c r="AQ177" s="59" t="e">
        <f aca="false">_xlfn.xlookup(A177,'SYS Allocations'!A:A,'SYS Allocations'!B:B)</f>
        <v>#NAME?</v>
      </c>
      <c r="AR177" s="59" t="e">
        <f aca="false">_xlfn.xlookup(A177,'SYS Allocations'!A:A,'SYS Allocations'!C:C)</f>
        <v>#NAME?</v>
      </c>
      <c r="AS177" s="59" t="e">
        <f aca="false">_xlfn.xlookup(A177,'SYS Allocations'!A:A,'SYS Allocations'!D:D)</f>
        <v>#NAME?</v>
      </c>
      <c r="AT177" s="59" t="e">
        <f aca="false">_xlfn.xlookup(A177,'SYS Allocations'!A:A,'SYS Allocations'!E:E)</f>
        <v>#NAME?</v>
      </c>
      <c r="AU177" s="59" t="e">
        <f aca="false">_xlfn.xlookup(A177,'SYS Allocations'!A:A,'SYS Allocations'!F:F)</f>
        <v>#NAME?</v>
      </c>
      <c r="BA177" s="0" t="str">
        <f aca="false">IFERROR(LEFT(R177,FIND("(",R177,1)-1),R177)</f>
        <v>DDm85-33</v>
      </c>
    </row>
    <row r="178" customFormat="false" ht="13.15" hidden="false" customHeight="false" outlineLevel="0" collapsed="false">
      <c r="A178" s="20" t="s">
        <v>194</v>
      </c>
      <c r="B178" s="0" t="s">
        <v>371</v>
      </c>
      <c r="C178" s="0" t="s">
        <v>707</v>
      </c>
      <c r="D178" s="0" t="s">
        <v>319</v>
      </c>
      <c r="E178" s="0" t="s">
        <v>708</v>
      </c>
      <c r="F178" s="0" t="s">
        <v>321</v>
      </c>
      <c r="G178" s="0" t="n">
        <v>36.6</v>
      </c>
      <c r="H178" s="0" t="n">
        <v>22</v>
      </c>
      <c r="I178" s="0" t="n">
        <v>41</v>
      </c>
      <c r="J178" s="0" t="n">
        <v>2.2345</v>
      </c>
      <c r="K178" s="45" t="n">
        <v>45659</v>
      </c>
      <c r="L178" s="0" t="n">
        <v>33.51096</v>
      </c>
      <c r="M178" s="0" t="n">
        <v>31.27646</v>
      </c>
      <c r="N178" s="0" t="n">
        <v>27.0647</v>
      </c>
      <c r="O178" s="0" t="n">
        <v>24.8302</v>
      </c>
      <c r="P178" s="0" t="s">
        <v>325</v>
      </c>
      <c r="Q178" s="0" t="s">
        <v>331</v>
      </c>
      <c r="R178" s="0" t="s">
        <v>472</v>
      </c>
      <c r="S178" s="0" t="n">
        <v>22.9824</v>
      </c>
      <c r="T178" s="0" t="n">
        <v>20.7479</v>
      </c>
      <c r="U178" s="0" t="s">
        <v>322</v>
      </c>
      <c r="V178" s="0" t="s">
        <v>709</v>
      </c>
      <c r="W178" s="0" t="n">
        <v>39</v>
      </c>
      <c r="X178" s="0" t="n">
        <v>36.7655</v>
      </c>
      <c r="Y178" s="0" t="n">
        <v>7</v>
      </c>
      <c r="AB178" s="58" t="n">
        <f aca="false">M178-AA178</f>
        <v>31.27646</v>
      </c>
      <c r="AC178" s="58" t="n">
        <f aca="false">O178-AA178</f>
        <v>24.8302</v>
      </c>
      <c r="AD178" s="58" t="n">
        <f aca="false">AB178/L178%</f>
        <v>93.3320322664585</v>
      </c>
      <c r="AE178" s="58" t="n">
        <f aca="false">AC178/N178%</f>
        <v>91.7438582360049</v>
      </c>
      <c r="AF178" s="58" t="n">
        <f aca="false">T178-AA178</f>
        <v>20.7479</v>
      </c>
      <c r="AG178" s="58" t="n">
        <f aca="false">AF178/S178%</f>
        <v>90.2773426622111</v>
      </c>
      <c r="AH178" s="60"/>
      <c r="AI178" s="60"/>
      <c r="AJ178" s="60"/>
      <c r="AK178" s="60"/>
      <c r="AL178" s="60"/>
      <c r="AM178" s="61"/>
      <c r="AN178" s="0" t="str">
        <f aca="false">IF(ISBLANK(Z178),"","Capped")</f>
        <v/>
      </c>
      <c r="AO178" s="44" t="s">
        <v>393</v>
      </c>
      <c r="AP178" s="0" t="str">
        <f aca="false">TRIM(BA178)</f>
        <v>DDm85-33</v>
      </c>
      <c r="AQ178" s="59" t="e">
        <f aca="false">_xlfn.xlookup(A178,'SYS Allocations'!A:A,'SYS Allocations'!B:B)</f>
        <v>#NAME?</v>
      </c>
      <c r="AR178" s="59" t="e">
        <f aca="false">_xlfn.xlookup(A178,'SYS Allocations'!A:A,'SYS Allocations'!C:C)</f>
        <v>#NAME?</v>
      </c>
      <c r="AS178" s="59" t="e">
        <f aca="false">_xlfn.xlookup(A178,'SYS Allocations'!A:A,'SYS Allocations'!D:D)</f>
        <v>#NAME?</v>
      </c>
      <c r="AT178" s="59" t="e">
        <f aca="false">_xlfn.xlookup(A178,'SYS Allocations'!A:A,'SYS Allocations'!E:E)</f>
        <v>#NAME?</v>
      </c>
      <c r="AU178" s="59" t="e">
        <f aca="false">_xlfn.xlookup(A178,'SYS Allocations'!A:A,'SYS Allocations'!F:F)</f>
        <v>#NAME?</v>
      </c>
      <c r="BA178" s="0" t="str">
        <f aca="false">IFERROR(LEFT(R178,FIND("(",R178,1)-1),R178)</f>
        <v>DDm85-33</v>
      </c>
    </row>
    <row r="179" customFormat="false" ht="13.15" hidden="false" customHeight="false" outlineLevel="0" collapsed="false">
      <c r="A179" s="20" t="s">
        <v>195</v>
      </c>
      <c r="B179" s="0" t="s">
        <v>371</v>
      </c>
      <c r="C179" s="0" t="s">
        <v>710</v>
      </c>
      <c r="D179" s="0" t="s">
        <v>319</v>
      </c>
      <c r="E179" s="0" t="s">
        <v>711</v>
      </c>
      <c r="F179" s="0" t="s">
        <v>364</v>
      </c>
      <c r="G179" s="0" t="n">
        <v>75</v>
      </c>
      <c r="H179" s="0" t="n">
        <v>8</v>
      </c>
      <c r="I179" s="0" t="n">
        <v>125</v>
      </c>
      <c r="J179" s="0" t="n">
        <v>6.8125</v>
      </c>
      <c r="K179" s="45" t="n">
        <v>45062</v>
      </c>
      <c r="L179" s="0" t="n">
        <v>22.89</v>
      </c>
      <c r="M179" s="0" t="n">
        <v>16.0775</v>
      </c>
      <c r="N179" s="0" t="n">
        <v>11.1725</v>
      </c>
      <c r="O179" s="0" t="n">
        <v>4.36</v>
      </c>
      <c r="P179" s="0" t="s">
        <v>325</v>
      </c>
      <c r="Q179" s="0" t="s">
        <v>331</v>
      </c>
      <c r="R179" s="0" t="s">
        <v>403</v>
      </c>
      <c r="S179" s="0" t="n">
        <v>28.1232</v>
      </c>
      <c r="T179" s="0" t="n">
        <v>21.3107</v>
      </c>
      <c r="U179" s="0" t="s">
        <v>346</v>
      </c>
      <c r="V179" s="0" t="s">
        <v>366</v>
      </c>
      <c r="W179" s="0" t="n">
        <v>116.25</v>
      </c>
      <c r="X179" s="0" t="n">
        <v>109.4375</v>
      </c>
      <c r="Y179" s="0" t="n">
        <v>66</v>
      </c>
      <c r="AB179" s="58" t="n">
        <f aca="false">M179-AA179</f>
        <v>16.0775</v>
      </c>
      <c r="AC179" s="58" t="n">
        <f aca="false">O179-AA179</f>
        <v>4.36</v>
      </c>
      <c r="AD179" s="58" t="n">
        <f aca="false">AB179/L179%</f>
        <v>70.2380952380952</v>
      </c>
      <c r="AE179" s="58" t="n">
        <f aca="false">AC179/N179%</f>
        <v>39.0243902439024</v>
      </c>
      <c r="AF179" s="58" t="n">
        <f aca="false">T179-AA179</f>
        <v>21.3107</v>
      </c>
      <c r="AG179" s="58" t="n">
        <f aca="false">AF179/S179%</f>
        <v>75.776227456335</v>
      </c>
      <c r="AH179" s="60" t="n">
        <f aca="false">AVERAGE(W179:W182)</f>
        <v>116.25</v>
      </c>
      <c r="AI179" s="60" t="n">
        <f aca="false">SUM(J179:J182)</f>
        <v>23.1625</v>
      </c>
      <c r="AJ179" s="60" t="n">
        <f aca="false">AH179-AI179</f>
        <v>93.0875</v>
      </c>
      <c r="AK179" s="60" t="n">
        <f aca="false">SUM(AA179:AA182)</f>
        <v>0</v>
      </c>
      <c r="AL179" s="60" t="n">
        <f aca="false">AJ179-AK179</f>
        <v>93.0875</v>
      </c>
      <c r="AM179" s="61" t="n">
        <f aca="false">AL179/AH179%</f>
        <v>80.0752688172043</v>
      </c>
      <c r="AN179" s="0" t="str">
        <f aca="false">IF(ISBLANK(Z179),"","Capped")</f>
        <v/>
      </c>
      <c r="AO179" s="0" t="s">
        <v>393</v>
      </c>
      <c r="AP179" s="0" t="str">
        <f aca="false">TRIM(BA179)</f>
        <v>DDm100-33</v>
      </c>
      <c r="AQ179" s="59" t="e">
        <f aca="false">_xlfn.xlookup(A179,'SYS Allocations'!A:A,'SYS Allocations'!B:B)</f>
        <v>#NAME?</v>
      </c>
      <c r="AR179" s="59" t="e">
        <f aca="false">_xlfn.xlookup(A179,'SYS Allocations'!A:A,'SYS Allocations'!C:C)</f>
        <v>#NAME?</v>
      </c>
      <c r="AS179" s="59" t="e">
        <f aca="false">_xlfn.xlookup(A179,'SYS Allocations'!A:A,'SYS Allocations'!D:D)</f>
        <v>#NAME?</v>
      </c>
      <c r="AT179" s="59" t="e">
        <f aca="false">_xlfn.xlookup(A179,'SYS Allocations'!A:A,'SYS Allocations'!E:E)</f>
        <v>#NAME?</v>
      </c>
      <c r="AU179" s="59" t="e">
        <f aca="false">_xlfn.xlookup(A179,'SYS Allocations'!A:A,'SYS Allocations'!F:F)</f>
        <v>#NAME?</v>
      </c>
      <c r="BA179" s="0" t="str">
        <f aca="false">IFERROR(LEFT(R179,FIND("(",R179,1)-1),R179)</f>
        <v>DDm100-33</v>
      </c>
    </row>
    <row r="180" customFormat="false" ht="13.15" hidden="false" customHeight="false" outlineLevel="0" collapsed="false">
      <c r="A180" s="20" t="s">
        <v>196</v>
      </c>
      <c r="B180" s="0" t="s">
        <v>371</v>
      </c>
      <c r="C180" s="0" t="s">
        <v>710</v>
      </c>
      <c r="D180" s="0" t="s">
        <v>319</v>
      </c>
      <c r="E180" s="0" t="s">
        <v>711</v>
      </c>
      <c r="F180" s="0" t="s">
        <v>364</v>
      </c>
      <c r="G180" s="0" t="n">
        <v>75</v>
      </c>
      <c r="H180" s="0" t="n">
        <v>11</v>
      </c>
      <c r="I180" s="0" t="n">
        <v>80</v>
      </c>
      <c r="J180" s="0" t="n">
        <v>4.36</v>
      </c>
      <c r="K180" s="45" t="n">
        <v>45062</v>
      </c>
      <c r="L180" s="0" t="n">
        <v>32.7</v>
      </c>
      <c r="M180" s="0" t="n">
        <v>28.34</v>
      </c>
      <c r="N180" s="0" t="n">
        <v>19.075</v>
      </c>
      <c r="O180" s="0" t="n">
        <v>14.715</v>
      </c>
      <c r="P180" s="0" t="s">
        <v>325</v>
      </c>
      <c r="Q180" s="0" t="s">
        <v>331</v>
      </c>
      <c r="R180" s="0" t="s">
        <v>345</v>
      </c>
      <c r="S180" s="0" t="n">
        <v>35.5536</v>
      </c>
      <c r="T180" s="0" t="n">
        <v>31.1936</v>
      </c>
      <c r="U180" s="0" t="s">
        <v>346</v>
      </c>
      <c r="V180" s="0" t="s">
        <v>366</v>
      </c>
      <c r="W180" s="0" t="n">
        <v>116.25</v>
      </c>
      <c r="X180" s="0" t="n">
        <v>111.89</v>
      </c>
      <c r="Y180" s="0" t="n">
        <v>66</v>
      </c>
      <c r="AB180" s="58" t="n">
        <f aca="false">M180-AA180</f>
        <v>28.34</v>
      </c>
      <c r="AC180" s="58" t="n">
        <f aca="false">O180-AA180</f>
        <v>14.715</v>
      </c>
      <c r="AD180" s="58" t="n">
        <f aca="false">AB180/L180%</f>
        <v>86.6666666666667</v>
      </c>
      <c r="AE180" s="58" t="n">
        <f aca="false">AC180/N180%</f>
        <v>77.1428571428571</v>
      </c>
      <c r="AF180" s="58" t="n">
        <f aca="false">T180-AA180</f>
        <v>31.1936</v>
      </c>
      <c r="AG180" s="58" t="n">
        <f aca="false">AF180/S180%</f>
        <v>87.7368255254039</v>
      </c>
      <c r="AH180" s="60"/>
      <c r="AI180" s="60"/>
      <c r="AJ180" s="60"/>
      <c r="AK180" s="60"/>
      <c r="AL180" s="60"/>
      <c r="AM180" s="61"/>
      <c r="AN180" s="0" t="str">
        <f aca="false">IF(ISBLANK(Z180),"","Capped")</f>
        <v/>
      </c>
      <c r="AO180" s="0" t="s">
        <v>393</v>
      </c>
      <c r="AP180" s="0" t="str">
        <f aca="false">TRIM(BA180)</f>
        <v>DDm125-33</v>
      </c>
      <c r="AQ180" s="59" t="e">
        <f aca="false">_xlfn.xlookup(A180,'SYS Allocations'!A:A,'SYS Allocations'!B:B)</f>
        <v>#NAME?</v>
      </c>
      <c r="AR180" s="59" t="e">
        <f aca="false">_xlfn.xlookup(A180,'SYS Allocations'!A:A,'SYS Allocations'!C:C)</f>
        <v>#NAME?</v>
      </c>
      <c r="AS180" s="59" t="e">
        <f aca="false">_xlfn.xlookup(A180,'SYS Allocations'!A:A,'SYS Allocations'!D:D)</f>
        <v>#NAME?</v>
      </c>
      <c r="AT180" s="59" t="e">
        <f aca="false">_xlfn.xlookup(A180,'SYS Allocations'!A:A,'SYS Allocations'!E:E)</f>
        <v>#NAME?</v>
      </c>
      <c r="AU180" s="59" t="e">
        <f aca="false">_xlfn.xlookup(A180,'SYS Allocations'!A:A,'SYS Allocations'!F:F)</f>
        <v>#NAME?</v>
      </c>
      <c r="BA180" s="0" t="str">
        <f aca="false">IFERROR(LEFT(R180,FIND("(",R180,1)-1),R180)</f>
        <v>DDm125-33</v>
      </c>
    </row>
    <row r="181" customFormat="false" ht="13.15" hidden="false" customHeight="false" outlineLevel="0" collapsed="false">
      <c r="A181" s="20" t="s">
        <v>197</v>
      </c>
      <c r="B181" s="0" t="s">
        <v>371</v>
      </c>
      <c r="C181" s="0" t="s">
        <v>710</v>
      </c>
      <c r="D181" s="0" t="s">
        <v>319</v>
      </c>
      <c r="E181" s="0" t="s">
        <v>711</v>
      </c>
      <c r="F181" s="0" t="s">
        <v>364</v>
      </c>
      <c r="G181" s="0" t="n">
        <v>75</v>
      </c>
      <c r="H181" s="0" t="n">
        <v>8</v>
      </c>
      <c r="I181" s="0" t="n">
        <v>120</v>
      </c>
      <c r="J181" s="0" t="n">
        <v>6.54</v>
      </c>
      <c r="K181" s="45" t="n">
        <v>45062</v>
      </c>
      <c r="L181" s="0" t="n">
        <v>22.89</v>
      </c>
      <c r="M181" s="0" t="n">
        <v>16.35</v>
      </c>
      <c r="N181" s="0" t="n">
        <v>11.1725</v>
      </c>
      <c r="O181" s="0" t="n">
        <v>4.6325</v>
      </c>
      <c r="P181" s="0" t="s">
        <v>325</v>
      </c>
      <c r="Q181" s="0" t="s">
        <v>331</v>
      </c>
      <c r="R181" s="0" t="s">
        <v>403</v>
      </c>
      <c r="S181" s="0" t="n">
        <v>28.1232</v>
      </c>
      <c r="T181" s="0" t="n">
        <v>21.5832</v>
      </c>
      <c r="U181" s="0" t="s">
        <v>346</v>
      </c>
      <c r="V181" s="0" t="s">
        <v>366</v>
      </c>
      <c r="W181" s="0" t="n">
        <v>116.25</v>
      </c>
      <c r="X181" s="0" t="n">
        <v>109.71</v>
      </c>
      <c r="Y181" s="0" t="n">
        <v>66</v>
      </c>
      <c r="AB181" s="58" t="n">
        <f aca="false">M181-AA181</f>
        <v>16.35</v>
      </c>
      <c r="AC181" s="58" t="n">
        <f aca="false">O181-AA181</f>
        <v>4.6325</v>
      </c>
      <c r="AD181" s="58" t="n">
        <f aca="false">AB181/L181%</f>
        <v>71.4285714285714</v>
      </c>
      <c r="AE181" s="58" t="n">
        <f aca="false">AC181/N181%</f>
        <v>41.4634146341463</v>
      </c>
      <c r="AF181" s="58" t="n">
        <f aca="false">T181-AA181</f>
        <v>21.5832</v>
      </c>
      <c r="AG181" s="58" t="n">
        <f aca="false">AF181/S181%</f>
        <v>76.7451783580816</v>
      </c>
      <c r="AH181" s="60"/>
      <c r="AI181" s="60"/>
      <c r="AJ181" s="60"/>
      <c r="AK181" s="60"/>
      <c r="AL181" s="60"/>
      <c r="AM181" s="61"/>
      <c r="AN181" s="0" t="str">
        <f aca="false">IF(ISBLANK(Z181),"","Capped")</f>
        <v/>
      </c>
      <c r="AO181" s="0" t="s">
        <v>393</v>
      </c>
      <c r="AP181" s="0" t="str">
        <f aca="false">TRIM(BA181)</f>
        <v>DDm100-33</v>
      </c>
      <c r="AQ181" s="59" t="e">
        <f aca="false">_xlfn.xlookup(A181,'SYS Allocations'!A:A,'SYS Allocations'!B:B)</f>
        <v>#NAME?</v>
      </c>
      <c r="AR181" s="59" t="e">
        <f aca="false">_xlfn.xlookup(A181,'SYS Allocations'!A:A,'SYS Allocations'!C:C)</f>
        <v>#NAME?</v>
      </c>
      <c r="AS181" s="59" t="e">
        <f aca="false">_xlfn.xlookup(A181,'SYS Allocations'!A:A,'SYS Allocations'!D:D)</f>
        <v>#NAME?</v>
      </c>
      <c r="AT181" s="59" t="e">
        <f aca="false">_xlfn.xlookup(A181,'SYS Allocations'!A:A,'SYS Allocations'!E:E)</f>
        <v>#NAME?</v>
      </c>
      <c r="AU181" s="59" t="e">
        <f aca="false">_xlfn.xlookup(A181,'SYS Allocations'!A:A,'SYS Allocations'!F:F)</f>
        <v>#NAME?</v>
      </c>
      <c r="BA181" s="0" t="str">
        <f aca="false">IFERROR(LEFT(R181,FIND("(",R181,1)-1),R181)</f>
        <v>DDm100-33</v>
      </c>
    </row>
    <row r="182" customFormat="false" ht="13.15" hidden="false" customHeight="false" outlineLevel="0" collapsed="false">
      <c r="A182" s="20" t="s">
        <v>198</v>
      </c>
      <c r="B182" s="0" t="s">
        <v>371</v>
      </c>
      <c r="C182" s="0" t="s">
        <v>710</v>
      </c>
      <c r="D182" s="0" t="s">
        <v>319</v>
      </c>
      <c r="E182" s="0" t="s">
        <v>711</v>
      </c>
      <c r="F182" s="0" t="s">
        <v>364</v>
      </c>
      <c r="G182" s="0" t="n">
        <v>75</v>
      </c>
      <c r="H182" s="0" t="n">
        <v>10</v>
      </c>
      <c r="I182" s="0" t="n">
        <v>100</v>
      </c>
      <c r="J182" s="0" t="n">
        <v>5.45</v>
      </c>
      <c r="K182" s="45" t="n">
        <v>45062</v>
      </c>
      <c r="L182" s="0" t="n">
        <v>29.43</v>
      </c>
      <c r="M182" s="0" t="n">
        <v>23.98</v>
      </c>
      <c r="N182" s="0" t="n">
        <v>14.9875</v>
      </c>
      <c r="O182" s="0" t="n">
        <v>9.5375</v>
      </c>
      <c r="P182" s="0" t="s">
        <v>325</v>
      </c>
      <c r="Q182" s="0" t="s">
        <v>331</v>
      </c>
      <c r="R182" s="0" t="s">
        <v>345</v>
      </c>
      <c r="S182" s="0" t="n">
        <v>35.5536</v>
      </c>
      <c r="T182" s="0" t="n">
        <v>30.1036</v>
      </c>
      <c r="U182" s="0" t="s">
        <v>346</v>
      </c>
      <c r="V182" s="0" t="s">
        <v>366</v>
      </c>
      <c r="W182" s="0" t="n">
        <v>116.25</v>
      </c>
      <c r="X182" s="0" t="n">
        <v>110.8</v>
      </c>
      <c r="Y182" s="0" t="n">
        <v>66</v>
      </c>
      <c r="AB182" s="58" t="n">
        <f aca="false">M182-AA182</f>
        <v>23.98</v>
      </c>
      <c r="AC182" s="58" t="n">
        <f aca="false">O182-AA182</f>
        <v>9.5375</v>
      </c>
      <c r="AD182" s="58" t="n">
        <f aca="false">AB182/L182%</f>
        <v>81.4814814814815</v>
      </c>
      <c r="AE182" s="58" t="n">
        <f aca="false">AC182/N182%</f>
        <v>63.6363636363636</v>
      </c>
      <c r="AF182" s="58" t="n">
        <f aca="false">T182-AA182</f>
        <v>30.1036</v>
      </c>
      <c r="AG182" s="58" t="n">
        <f aca="false">AF182/S182%</f>
        <v>84.6710319067549</v>
      </c>
      <c r="AH182" s="60"/>
      <c r="AI182" s="60"/>
      <c r="AJ182" s="60"/>
      <c r="AK182" s="60"/>
      <c r="AL182" s="60"/>
      <c r="AM182" s="61"/>
      <c r="AN182" s="0" t="str">
        <f aca="false">IF(ISBLANK(Z182),"","Capped")</f>
        <v/>
      </c>
      <c r="AO182" s="0" t="s">
        <v>393</v>
      </c>
      <c r="AP182" s="0" t="str">
        <f aca="false">TRIM(BA182)</f>
        <v>DDm125-33</v>
      </c>
      <c r="AQ182" s="59" t="e">
        <f aca="false">_xlfn.xlookup(A182,'SYS Allocations'!A:A,'SYS Allocations'!B:B)</f>
        <v>#NAME?</v>
      </c>
      <c r="AR182" s="59" t="e">
        <f aca="false">_xlfn.xlookup(A182,'SYS Allocations'!A:A,'SYS Allocations'!C:C)</f>
        <v>#NAME?</v>
      </c>
      <c r="AS182" s="59" t="e">
        <f aca="false">_xlfn.xlookup(A182,'SYS Allocations'!A:A,'SYS Allocations'!D:D)</f>
        <v>#NAME?</v>
      </c>
      <c r="AT182" s="59" t="e">
        <f aca="false">_xlfn.xlookup(A182,'SYS Allocations'!A:A,'SYS Allocations'!E:E)</f>
        <v>#NAME?</v>
      </c>
      <c r="AU182" s="59" t="e">
        <f aca="false">_xlfn.xlookup(A182,'SYS Allocations'!A:A,'SYS Allocations'!F:F)</f>
        <v>#NAME?</v>
      </c>
      <c r="BA182" s="0" t="str">
        <f aca="false">IFERROR(LEFT(R182,FIND("(",R182,1)-1),R182)</f>
        <v>DDm125-33</v>
      </c>
    </row>
    <row r="183" customFormat="false" ht="13.15" hidden="false" customHeight="false" outlineLevel="0" collapsed="false">
      <c r="A183" s="20" t="s">
        <v>199</v>
      </c>
      <c r="B183" s="0" t="s">
        <v>371</v>
      </c>
      <c r="C183" s="0" t="s">
        <v>712</v>
      </c>
      <c r="D183" s="0" t="s">
        <v>319</v>
      </c>
      <c r="E183" s="0" t="s">
        <v>713</v>
      </c>
      <c r="F183" s="0" t="s">
        <v>321</v>
      </c>
      <c r="G183" s="0" t="n">
        <v>36.6</v>
      </c>
      <c r="H183" s="0" t="n">
        <v>30</v>
      </c>
      <c r="I183" s="0" t="n">
        <v>119</v>
      </c>
      <c r="J183" s="0" t="n">
        <v>6.4855</v>
      </c>
      <c r="K183" s="45" t="n">
        <v>45659</v>
      </c>
      <c r="L183" s="0" t="n">
        <v>46.27704</v>
      </c>
      <c r="M183" s="0" t="n">
        <v>39.79154</v>
      </c>
      <c r="N183" s="0" t="n">
        <v>41.4963</v>
      </c>
      <c r="O183" s="0" t="n">
        <v>35.0108</v>
      </c>
      <c r="P183" s="0" t="s">
        <v>325</v>
      </c>
      <c r="Q183" s="0" t="s">
        <v>331</v>
      </c>
      <c r="R183" s="0" t="s">
        <v>582</v>
      </c>
      <c r="S183" s="0" t="n">
        <v>26.6544</v>
      </c>
      <c r="T183" s="0" t="n">
        <v>20.1689</v>
      </c>
      <c r="U183" s="0" t="s">
        <v>379</v>
      </c>
      <c r="V183" s="0" t="s">
        <v>714</v>
      </c>
      <c r="W183" s="0" t="n">
        <v>99.825</v>
      </c>
      <c r="X183" s="0" t="n">
        <v>93.3395</v>
      </c>
      <c r="Y183" s="0" t="n">
        <v>49</v>
      </c>
      <c r="AB183" s="58" t="n">
        <f aca="false">M183-AA183</f>
        <v>39.79154</v>
      </c>
      <c r="AC183" s="58" t="n">
        <f aca="false">O183-AA183</f>
        <v>35.0108</v>
      </c>
      <c r="AD183" s="58" t="n">
        <f aca="false">AB183/L183%</f>
        <v>85.9854908611268</v>
      </c>
      <c r="AE183" s="58" t="n">
        <f aca="false">AC183/N183%</f>
        <v>84.3708957184135</v>
      </c>
      <c r="AF183" s="58" t="n">
        <f aca="false">T183-AA183</f>
        <v>20.1689</v>
      </c>
      <c r="AG183" s="58" t="n">
        <f aca="false">AF183/S183%</f>
        <v>75.6681823638874</v>
      </c>
      <c r="AH183" s="58" t="n">
        <f aca="false">W183</f>
        <v>99.825</v>
      </c>
      <c r="AI183" s="58" t="n">
        <f aca="false">J183</f>
        <v>6.4855</v>
      </c>
      <c r="AJ183" s="58" t="n">
        <f aca="false">AH183-AI183</f>
        <v>93.3395</v>
      </c>
      <c r="AK183" s="58" t="n">
        <f aca="false">AA183</f>
        <v>0</v>
      </c>
      <c r="AL183" s="58" t="n">
        <f aca="false">AJ183-AK183</f>
        <v>93.3395</v>
      </c>
      <c r="AM183" s="58" t="n">
        <f aca="false">AL183/AH183%</f>
        <v>93.5031304783371</v>
      </c>
      <c r="AN183" s="0" t="str">
        <f aca="false">IF(ISBLANK(Z183),"","Capped")</f>
        <v/>
      </c>
      <c r="AO183" s="44" t="s">
        <v>393</v>
      </c>
      <c r="AP183" s="0" t="str">
        <f aca="false">TRIM(BA183)</f>
        <v>DDm125-25</v>
      </c>
      <c r="AQ183" s="59" t="e">
        <f aca="false">_xlfn.xlookup(A183,'SYS Allocations'!A:A,'SYS Allocations'!B:B)</f>
        <v>#NAME?</v>
      </c>
      <c r="AR183" s="59" t="e">
        <f aca="false">_xlfn.xlookup(A183,'SYS Allocations'!A:A,'SYS Allocations'!C:C)</f>
        <v>#NAME?</v>
      </c>
      <c r="AS183" s="59" t="e">
        <f aca="false">_xlfn.xlookup(A183,'SYS Allocations'!A:A,'SYS Allocations'!D:D)</f>
        <v>#NAME?</v>
      </c>
      <c r="AT183" s="59" t="e">
        <f aca="false">_xlfn.xlookup(A183,'SYS Allocations'!A:A,'SYS Allocations'!E:E)</f>
        <v>#NAME?</v>
      </c>
      <c r="AU183" s="59" t="e">
        <f aca="false">_xlfn.xlookup(A183,'SYS Allocations'!A:A,'SYS Allocations'!F:F)</f>
        <v>#NAME?</v>
      </c>
      <c r="BA183" s="0" t="str">
        <f aca="false">IFERROR(LEFT(R183,FIND("(",R183,1)-1),R183)</f>
        <v>DDm125-25</v>
      </c>
    </row>
    <row r="184" customFormat="false" ht="13.15" hidden="false" customHeight="false" outlineLevel="0" collapsed="false">
      <c r="A184" s="20" t="s">
        <v>200</v>
      </c>
      <c r="B184" s="0" t="s">
        <v>371</v>
      </c>
      <c r="C184" s="0" t="s">
        <v>712</v>
      </c>
      <c r="D184" s="0" t="s">
        <v>319</v>
      </c>
      <c r="E184" s="0" t="s">
        <v>713</v>
      </c>
      <c r="F184" s="0" t="s">
        <v>321</v>
      </c>
      <c r="G184" s="0" t="n">
        <v>36.6</v>
      </c>
      <c r="H184" s="0" t="n">
        <v>30</v>
      </c>
      <c r="I184" s="0" t="n">
        <v>139</v>
      </c>
      <c r="J184" s="0" t="n">
        <v>7.5755</v>
      </c>
      <c r="K184" s="45" t="n">
        <v>45659</v>
      </c>
      <c r="L184" s="0" t="n">
        <v>46.27704</v>
      </c>
      <c r="M184" s="0" t="n">
        <v>38.70154</v>
      </c>
      <c r="N184" s="0" t="n">
        <v>41.4963</v>
      </c>
      <c r="O184" s="0" t="n">
        <v>33.9208</v>
      </c>
      <c r="P184" s="0" t="s">
        <v>325</v>
      </c>
      <c r="Q184" s="0" t="s">
        <v>331</v>
      </c>
      <c r="R184" s="0" t="s">
        <v>582</v>
      </c>
      <c r="S184" s="0" t="n">
        <v>26.6544</v>
      </c>
      <c r="T184" s="0" t="n">
        <v>19.0789</v>
      </c>
      <c r="U184" s="0" t="s">
        <v>379</v>
      </c>
      <c r="V184" s="0" t="s">
        <v>714</v>
      </c>
      <c r="W184" s="0" t="n">
        <v>99.825</v>
      </c>
      <c r="X184" s="0" t="n">
        <v>92.2495</v>
      </c>
      <c r="Y184" s="0" t="n">
        <v>49</v>
      </c>
      <c r="AB184" s="58" t="n">
        <f aca="false">M184-AA184</f>
        <v>38.70154</v>
      </c>
      <c r="AC184" s="58" t="n">
        <f aca="false">O184-AA184</f>
        <v>33.9208</v>
      </c>
      <c r="AD184" s="58" t="n">
        <f aca="false">AB184/L184%</f>
        <v>83.6301111739212</v>
      </c>
      <c r="AE184" s="58" t="n">
        <f aca="false">AC184/N184%</f>
        <v>81.7441555030208</v>
      </c>
      <c r="AF184" s="58" t="n">
        <f aca="false">T184-AA184</f>
        <v>19.0789</v>
      </c>
      <c r="AG184" s="58" t="n">
        <f aca="false">AF184/S184%</f>
        <v>71.5788012485744</v>
      </c>
      <c r="AH184" s="58" t="n">
        <f aca="false">W184</f>
        <v>99.825</v>
      </c>
      <c r="AI184" s="58" t="n">
        <f aca="false">J184</f>
        <v>7.5755</v>
      </c>
      <c r="AJ184" s="58" t="n">
        <f aca="false">AH184-AI184</f>
        <v>92.2495</v>
      </c>
      <c r="AK184" s="58" t="n">
        <f aca="false">AA184</f>
        <v>0</v>
      </c>
      <c r="AL184" s="58" t="n">
        <f aca="false">AJ184-AK184</f>
        <v>92.2495</v>
      </c>
      <c r="AM184" s="58" t="n">
        <f aca="false">AL184/AH184%</f>
        <v>92.4112196343601</v>
      </c>
      <c r="AN184" s="0" t="str">
        <f aca="false">IF(ISBLANK(Z184),"","Capped")</f>
        <v/>
      </c>
      <c r="AO184" s="44" t="s">
        <v>393</v>
      </c>
      <c r="AP184" s="0" t="str">
        <f aca="false">TRIM(BA184)</f>
        <v>DDm125-25</v>
      </c>
      <c r="AQ184" s="59" t="e">
        <f aca="false">_xlfn.xlookup(A184,'SYS Allocations'!A:A,'SYS Allocations'!B:B)</f>
        <v>#NAME?</v>
      </c>
      <c r="AR184" s="59" t="e">
        <f aca="false">_xlfn.xlookup(A184,'SYS Allocations'!A:A,'SYS Allocations'!C:C)</f>
        <v>#NAME?</v>
      </c>
      <c r="AS184" s="59" t="e">
        <f aca="false">_xlfn.xlookup(A184,'SYS Allocations'!A:A,'SYS Allocations'!D:D)</f>
        <v>#NAME?</v>
      </c>
      <c r="AT184" s="59" t="e">
        <f aca="false">_xlfn.xlookup(A184,'SYS Allocations'!A:A,'SYS Allocations'!E:E)</f>
        <v>#NAME?</v>
      </c>
      <c r="AU184" s="59" t="e">
        <f aca="false">_xlfn.xlookup(A184,'SYS Allocations'!A:A,'SYS Allocations'!F:F)</f>
        <v>#NAME?</v>
      </c>
      <c r="BA184" s="0" t="str">
        <f aca="false">IFERROR(LEFT(R184,FIND("(",R184,1)-1),R184)</f>
        <v>DDm125-25</v>
      </c>
    </row>
    <row r="185" customFormat="false" ht="13.15" hidden="false" customHeight="false" outlineLevel="0" collapsed="false">
      <c r="A185" s="20" t="s">
        <v>201</v>
      </c>
      <c r="B185" s="0" t="s">
        <v>419</v>
      </c>
      <c r="C185" s="0" t="s">
        <v>715</v>
      </c>
      <c r="D185" s="0" t="s">
        <v>390</v>
      </c>
      <c r="E185" s="0" t="s">
        <v>716</v>
      </c>
      <c r="F185" s="0" t="s">
        <v>717</v>
      </c>
      <c r="G185" s="0" t="n">
        <v>100</v>
      </c>
      <c r="H185" s="0" t="n">
        <v>2</v>
      </c>
      <c r="I185" s="0" t="n">
        <v>6.3</v>
      </c>
      <c r="J185" s="0" t="n">
        <v>0.34335</v>
      </c>
      <c r="K185" s="45" t="n">
        <v>45434</v>
      </c>
      <c r="L185" s="0" t="n">
        <v>4.36</v>
      </c>
      <c r="M185" s="0" t="n">
        <v>4.01665</v>
      </c>
      <c r="N185" s="0" t="n">
        <v>0.4142</v>
      </c>
      <c r="O185" s="0" t="n">
        <v>0.07085</v>
      </c>
      <c r="P185" s="0" t="s">
        <v>325</v>
      </c>
      <c r="Q185" s="0" t="s">
        <v>331</v>
      </c>
      <c r="R185" s="0" t="s">
        <v>718</v>
      </c>
      <c r="S185" s="0" t="n">
        <v>7.99199999999998</v>
      </c>
      <c r="T185" s="0" t="n">
        <v>7.64864999999998</v>
      </c>
      <c r="U185" s="0" t="s">
        <v>325</v>
      </c>
      <c r="V185" s="0" t="s">
        <v>428</v>
      </c>
      <c r="W185" s="0" t="n">
        <v>9</v>
      </c>
      <c r="X185" s="0" t="n">
        <v>8.65665</v>
      </c>
      <c r="Y185" s="0" t="n">
        <v>8</v>
      </c>
      <c r="Z185" s="0" t="s">
        <v>423</v>
      </c>
      <c r="AB185" s="58" t="n">
        <f aca="false">M185-AA185</f>
        <v>4.01665</v>
      </c>
      <c r="AC185" s="58" t="n">
        <f aca="false">O185-AA185</f>
        <v>0.07085</v>
      </c>
      <c r="AD185" s="58" t="n">
        <f aca="false">AB185/L185%</f>
        <v>92.125</v>
      </c>
      <c r="AE185" s="58" t="n">
        <f aca="false">AC185/N185%</f>
        <v>17.1052631578947</v>
      </c>
      <c r="AF185" s="58" t="n">
        <f aca="false">T185-AA185</f>
        <v>7.64864999999998</v>
      </c>
      <c r="AG185" s="58" t="n">
        <f aca="false">AF185/S185%</f>
        <v>95.7038288288288</v>
      </c>
      <c r="AH185" s="58" t="n">
        <f aca="false">W185</f>
        <v>9</v>
      </c>
      <c r="AI185" s="58" t="n">
        <f aca="false">J185</f>
        <v>0.34335</v>
      </c>
      <c r="AJ185" s="58" t="n">
        <f aca="false">AH185-AI185</f>
        <v>8.65665</v>
      </c>
      <c r="AK185" s="58" t="n">
        <f aca="false">AA185</f>
        <v>0</v>
      </c>
      <c r="AL185" s="58" t="n">
        <f aca="false">AJ185-AK185</f>
        <v>8.65665</v>
      </c>
      <c r="AM185" s="58" t="n">
        <f aca="false">AL185/AH185%</f>
        <v>96.185</v>
      </c>
      <c r="AN185" s="0" t="str">
        <f aca="false">IF(ISBLANK(Z185),"","Capped")</f>
        <v>Capped</v>
      </c>
      <c r="AO185" s="0" t="s">
        <v>327</v>
      </c>
      <c r="AP185" s="0" t="str">
        <f aca="false">TRIM(BA185)</f>
        <v>2V460</v>
      </c>
      <c r="AQ185" s="59" t="e">
        <f aca="false">_xlfn.xlookup(A185,'SYS Allocations'!A:A,'SYS Allocations'!B:B)</f>
        <v>#NAME?</v>
      </c>
      <c r="AR185" s="59" t="e">
        <f aca="false">_xlfn.xlookup(A185,'SYS Allocations'!A:A,'SYS Allocations'!C:C)</f>
        <v>#NAME?</v>
      </c>
      <c r="AS185" s="59" t="e">
        <f aca="false">_xlfn.xlookup(A185,'SYS Allocations'!A:A,'SYS Allocations'!D:D)</f>
        <v>#NAME?</v>
      </c>
      <c r="AT185" s="59" t="e">
        <f aca="false">_xlfn.xlookup(A185,'SYS Allocations'!A:A,'SYS Allocations'!E:E)</f>
        <v>#NAME?</v>
      </c>
      <c r="AU185" s="59" t="e">
        <f aca="false">_xlfn.xlookup(A185,'SYS Allocations'!A:A,'SYS Allocations'!F:F)</f>
        <v>#NAME?</v>
      </c>
      <c r="BA185" s="0" t="str">
        <f aca="false">IFERROR(LEFT(R185,FIND("(",R185,1)-1),R185)</f>
        <v>2V460</v>
      </c>
    </row>
    <row r="186" customFormat="false" ht="13.15" hidden="false" customHeight="false" outlineLevel="0" collapsed="false">
      <c r="A186" s="20" t="s">
        <v>202</v>
      </c>
      <c r="B186" s="0" t="s">
        <v>371</v>
      </c>
      <c r="C186" s="0" t="s">
        <v>719</v>
      </c>
      <c r="D186" s="0" t="s">
        <v>390</v>
      </c>
      <c r="E186" s="0" t="s">
        <v>720</v>
      </c>
      <c r="F186" s="0" t="s">
        <v>321</v>
      </c>
      <c r="G186" s="0" t="n">
        <v>36.6</v>
      </c>
      <c r="H186" s="0" t="n">
        <v>32</v>
      </c>
      <c r="I186" s="0" t="n">
        <v>272</v>
      </c>
      <c r="J186" s="0" t="n">
        <v>14.824</v>
      </c>
      <c r="K186" s="45" t="n">
        <v>45659</v>
      </c>
      <c r="L186" s="0" t="n">
        <v>49.46856</v>
      </c>
      <c r="M186" s="0" t="n">
        <v>34.64456</v>
      </c>
      <c r="N186" s="0" t="n">
        <v>40.0357</v>
      </c>
      <c r="O186" s="0" t="n">
        <v>25.2117</v>
      </c>
      <c r="P186" s="0" t="s">
        <v>325</v>
      </c>
      <c r="Q186" s="0" t="s">
        <v>331</v>
      </c>
      <c r="R186" s="0" t="s">
        <v>345</v>
      </c>
      <c r="S186" s="0" t="n">
        <v>35.5536</v>
      </c>
      <c r="T186" s="0" t="n">
        <v>20.7296</v>
      </c>
      <c r="U186" s="0" t="s">
        <v>337</v>
      </c>
      <c r="V186" s="0" t="s">
        <v>436</v>
      </c>
      <c r="W186" s="0" t="n">
        <v>67.5</v>
      </c>
      <c r="X186" s="0" t="n">
        <v>52.676</v>
      </c>
      <c r="Y186" s="0" t="n">
        <v>25</v>
      </c>
      <c r="Z186" s="0" t="s">
        <v>275</v>
      </c>
      <c r="AB186" s="58" t="n">
        <f aca="false">M186-AA186</f>
        <v>34.64456</v>
      </c>
      <c r="AC186" s="58" t="n">
        <f aca="false">O186-AA186</f>
        <v>25.2117</v>
      </c>
      <c r="AD186" s="58" t="n">
        <f aca="false">AB186/L186%</f>
        <v>70.0334919795523</v>
      </c>
      <c r="AE186" s="58" t="n">
        <f aca="false">AC186/N186%</f>
        <v>62.9730465559488</v>
      </c>
      <c r="AF186" s="58" t="n">
        <f aca="false">T186-AA186</f>
        <v>20.7296</v>
      </c>
      <c r="AG186" s="58" t="n">
        <f aca="false">AF186/S186%</f>
        <v>58.3052067863733</v>
      </c>
      <c r="AH186" s="61" t="n">
        <f aca="false">AVERAGE(W186:W187)</f>
        <v>67.5</v>
      </c>
      <c r="AI186" s="61" t="n">
        <f aca="false">SUM(J186:J187)</f>
        <v>17.3855</v>
      </c>
      <c r="AJ186" s="61" t="n">
        <f aca="false">AH186-AI186</f>
        <v>50.1145</v>
      </c>
      <c r="AK186" s="61" t="n">
        <f aca="false">SUM(AA186:AA187)</f>
        <v>0</v>
      </c>
      <c r="AL186" s="61" t="n">
        <f aca="false">AJ186-AK186</f>
        <v>50.1145</v>
      </c>
      <c r="AM186" s="61" t="n">
        <f aca="false">AL186/AH186%</f>
        <v>74.2437037037037</v>
      </c>
      <c r="AN186" s="0" t="str">
        <f aca="false">IF(ISBLANK(Z186),"","Capped")</f>
        <v>Capped</v>
      </c>
      <c r="AO186" s="0" t="s">
        <v>393</v>
      </c>
      <c r="AP186" s="0" t="str">
        <f aca="false">TRIM(BA186)</f>
        <v>DDm125-33</v>
      </c>
      <c r="AQ186" s="59" t="e">
        <f aca="false">_xlfn.xlookup(A186,'SYS Allocations'!A:A,'SYS Allocations'!B:B)</f>
        <v>#NAME?</v>
      </c>
      <c r="AR186" s="59" t="e">
        <f aca="false">_xlfn.xlookup(A186,'SYS Allocations'!A:A,'SYS Allocations'!C:C)</f>
        <v>#NAME?</v>
      </c>
      <c r="AS186" s="59" t="e">
        <f aca="false">_xlfn.xlookup(A186,'SYS Allocations'!A:A,'SYS Allocations'!D:D)</f>
        <v>#NAME?</v>
      </c>
      <c r="AT186" s="59" t="e">
        <f aca="false">_xlfn.xlookup(A186,'SYS Allocations'!A:A,'SYS Allocations'!E:E)</f>
        <v>#NAME?</v>
      </c>
      <c r="AU186" s="59" t="e">
        <f aca="false">_xlfn.xlookup(A186,'SYS Allocations'!A:A,'SYS Allocations'!F:F)</f>
        <v>#NAME?</v>
      </c>
      <c r="BA186" s="0" t="str">
        <f aca="false">IFERROR(LEFT(R186,FIND("(",R186,1)-1),R186)</f>
        <v>DDm125-33</v>
      </c>
    </row>
    <row r="187" customFormat="false" ht="13.15" hidden="false" customHeight="false" outlineLevel="0" collapsed="false">
      <c r="A187" s="20" t="s">
        <v>203</v>
      </c>
      <c r="B187" s="0" t="s">
        <v>371</v>
      </c>
      <c r="C187" s="0" t="s">
        <v>719</v>
      </c>
      <c r="D187" s="0" t="s">
        <v>390</v>
      </c>
      <c r="E187" s="0" t="s">
        <v>720</v>
      </c>
      <c r="F187" s="0" t="s">
        <v>321</v>
      </c>
      <c r="G187" s="0" t="n">
        <v>36.6</v>
      </c>
      <c r="H187" s="0" t="n">
        <v>32</v>
      </c>
      <c r="I187" s="0" t="n">
        <v>47</v>
      </c>
      <c r="J187" s="0" t="n">
        <v>2.5615</v>
      </c>
      <c r="K187" s="45" t="n">
        <v>45659</v>
      </c>
      <c r="L187" s="0" t="n">
        <v>49.46856</v>
      </c>
      <c r="M187" s="0" t="n">
        <v>46.90706</v>
      </c>
      <c r="N187" s="0" t="n">
        <v>40.0357</v>
      </c>
      <c r="O187" s="0" t="n">
        <v>37.4742</v>
      </c>
      <c r="P187" s="0" t="s">
        <v>325</v>
      </c>
      <c r="Q187" s="0" t="s">
        <v>331</v>
      </c>
      <c r="R187" s="0" t="s">
        <v>345</v>
      </c>
      <c r="S187" s="0" t="n">
        <v>35.5536</v>
      </c>
      <c r="T187" s="0" t="n">
        <v>32.9921</v>
      </c>
      <c r="U187" s="0" t="s">
        <v>337</v>
      </c>
      <c r="V187" s="0" t="s">
        <v>436</v>
      </c>
      <c r="W187" s="0" t="n">
        <v>67.5</v>
      </c>
      <c r="X187" s="0" t="n">
        <v>64.9385</v>
      </c>
      <c r="Y187" s="0" t="n">
        <v>25</v>
      </c>
      <c r="Z187" s="0" t="s">
        <v>275</v>
      </c>
      <c r="AB187" s="58" t="n">
        <f aca="false">M187-AA187</f>
        <v>46.90706</v>
      </c>
      <c r="AC187" s="58" t="n">
        <f aca="false">O187-AA187</f>
        <v>37.4742</v>
      </c>
      <c r="AD187" s="58" t="n">
        <f aca="false">AB187/L187%</f>
        <v>94.8219636876432</v>
      </c>
      <c r="AE187" s="58" t="n">
        <f aca="false">AC187/N187%</f>
        <v>93.6019602504765</v>
      </c>
      <c r="AF187" s="58" t="n">
        <f aca="false">T187-AA187</f>
        <v>32.9921</v>
      </c>
      <c r="AG187" s="58" t="n">
        <f aca="false">AF187/S187%</f>
        <v>92.7953849961748</v>
      </c>
      <c r="AH187" s="61"/>
      <c r="AI187" s="61"/>
      <c r="AJ187" s="61"/>
      <c r="AK187" s="61"/>
      <c r="AL187" s="61"/>
      <c r="AM187" s="61"/>
      <c r="AN187" s="0" t="str">
        <f aca="false">IF(ISBLANK(Z187),"","Capped")</f>
        <v>Capped</v>
      </c>
      <c r="AO187" s="0" t="s">
        <v>393</v>
      </c>
      <c r="AP187" s="0" t="str">
        <f aca="false">TRIM(BA187)</f>
        <v>DDm125-33</v>
      </c>
      <c r="AQ187" s="59" t="e">
        <f aca="false">_xlfn.xlookup(A187,'SYS Allocations'!A:A,'SYS Allocations'!B:B)</f>
        <v>#NAME?</v>
      </c>
      <c r="AR187" s="59" t="e">
        <f aca="false">_xlfn.xlookup(A187,'SYS Allocations'!A:A,'SYS Allocations'!C:C)</f>
        <v>#NAME?</v>
      </c>
      <c r="AS187" s="59" t="e">
        <f aca="false">_xlfn.xlookup(A187,'SYS Allocations'!A:A,'SYS Allocations'!D:D)</f>
        <v>#NAME?</v>
      </c>
      <c r="AT187" s="59" t="e">
        <f aca="false">_xlfn.xlookup(A187,'SYS Allocations'!A:A,'SYS Allocations'!E:E)</f>
        <v>#NAME?</v>
      </c>
      <c r="AU187" s="59" t="e">
        <f aca="false">_xlfn.xlookup(A187,'SYS Allocations'!A:A,'SYS Allocations'!F:F)</f>
        <v>#NAME?</v>
      </c>
      <c r="BA187" s="0" t="str">
        <f aca="false">IFERROR(LEFT(R187,FIND("(",R187,1)-1),R187)</f>
        <v>DDm125-33</v>
      </c>
    </row>
    <row r="188" customFormat="false" ht="13.15" hidden="false" customHeight="false" outlineLevel="0" collapsed="false">
      <c r="A188" s="20" t="s">
        <v>204</v>
      </c>
      <c r="B188" s="0" t="s">
        <v>328</v>
      </c>
      <c r="C188" s="0" t="s">
        <v>721</v>
      </c>
      <c r="D188" s="0" t="s">
        <v>319</v>
      </c>
      <c r="E188" s="0" t="s">
        <v>722</v>
      </c>
      <c r="F188" s="0" t="s">
        <v>560</v>
      </c>
      <c r="G188" s="0" t="n">
        <v>37.5</v>
      </c>
      <c r="H188" s="0" t="n">
        <v>4</v>
      </c>
      <c r="I188" s="0" t="n">
        <v>20</v>
      </c>
      <c r="J188" s="0" t="n">
        <v>1.09</v>
      </c>
      <c r="K188" s="45" t="n">
        <v>45351</v>
      </c>
      <c r="L188" s="0" t="n">
        <v>4.905</v>
      </c>
      <c r="M188" s="0" t="n">
        <v>3.815</v>
      </c>
      <c r="N188" s="0" t="n">
        <v>3.12285</v>
      </c>
      <c r="O188" s="0" t="n">
        <v>2.03285</v>
      </c>
      <c r="P188" s="0" t="s">
        <v>374</v>
      </c>
      <c r="Q188" s="0" t="s">
        <v>352</v>
      </c>
      <c r="R188" s="0" t="s">
        <v>723</v>
      </c>
      <c r="S188" s="0" t="n">
        <v>5.10624</v>
      </c>
      <c r="T188" s="0" t="n">
        <v>4.01624</v>
      </c>
      <c r="U188" s="0" t="s">
        <v>325</v>
      </c>
      <c r="V188" s="0" t="s">
        <v>354</v>
      </c>
      <c r="W188" s="0" t="n">
        <v>5.025</v>
      </c>
      <c r="X188" s="0" t="n">
        <v>3.935</v>
      </c>
      <c r="Y188" s="0" t="n">
        <v>7</v>
      </c>
      <c r="AB188" s="58" t="n">
        <f aca="false">M188-AA188</f>
        <v>3.815</v>
      </c>
      <c r="AC188" s="58" t="n">
        <f aca="false">O188-AA188</f>
        <v>2.03285</v>
      </c>
      <c r="AD188" s="58" t="n">
        <f aca="false">AB188/L188%</f>
        <v>77.7777777777778</v>
      </c>
      <c r="AE188" s="58" t="n">
        <f aca="false">AC188/N188%</f>
        <v>65.0959860383944</v>
      </c>
      <c r="AF188" s="58" t="n">
        <f aca="false">T188-AA188</f>
        <v>4.01624</v>
      </c>
      <c r="AG188" s="58" t="n">
        <f aca="false">AF188/S188%</f>
        <v>78.6535689665977</v>
      </c>
      <c r="AH188" s="58" t="n">
        <f aca="false">W188</f>
        <v>5.025</v>
      </c>
      <c r="AI188" s="58" t="n">
        <f aca="false">J188</f>
        <v>1.09</v>
      </c>
      <c r="AJ188" s="58" t="n">
        <f aca="false">AH188-AI188</f>
        <v>3.935</v>
      </c>
      <c r="AK188" s="58" t="n">
        <f aca="false">AA188</f>
        <v>0</v>
      </c>
      <c r="AL188" s="58" t="n">
        <f aca="false">AJ188-AK188</f>
        <v>3.935</v>
      </c>
      <c r="AM188" s="58" t="n">
        <f aca="false">AL188/AH188%</f>
        <v>78.3084577114428</v>
      </c>
      <c r="AN188" s="0" t="str">
        <f aca="false">IF(ISBLANK(Z188),"","Capped")</f>
        <v/>
      </c>
      <c r="AO188" s="0" t="s">
        <v>327</v>
      </c>
      <c r="AP188" s="0" t="str">
        <f aca="false">TRIM(BA188)</f>
        <v>12V92F</v>
      </c>
      <c r="AQ188" s="59" t="e">
        <f aca="false">_xlfn.xlookup(A188,'SYS Allocations'!A:A,'SYS Allocations'!B:B)</f>
        <v>#NAME?</v>
      </c>
      <c r="AR188" s="59" t="e">
        <f aca="false">_xlfn.xlookup(A188,'SYS Allocations'!A:A,'SYS Allocations'!C:C)</f>
        <v>#NAME?</v>
      </c>
      <c r="AS188" s="59" t="e">
        <f aca="false">_xlfn.xlookup(A188,'SYS Allocations'!A:A,'SYS Allocations'!D:D)</f>
        <v>#NAME?</v>
      </c>
      <c r="AT188" s="59" t="e">
        <f aca="false">_xlfn.xlookup(A188,'SYS Allocations'!A:A,'SYS Allocations'!E:E)</f>
        <v>#NAME?</v>
      </c>
      <c r="AU188" s="59" t="e">
        <f aca="false">_xlfn.xlookup(A188,'SYS Allocations'!A:A,'SYS Allocations'!F:F)</f>
        <v>#NAME?</v>
      </c>
      <c r="BA188" s="0" t="str">
        <f aca="false">IFERROR(LEFT(R188,FIND("(",R188,1)-1),R188)</f>
        <v>12V92F</v>
      </c>
    </row>
    <row r="189" customFormat="false" ht="13.15" hidden="false" customHeight="false" outlineLevel="0" collapsed="false">
      <c r="A189" s="20" t="s">
        <v>205</v>
      </c>
      <c r="B189" s="0" t="s">
        <v>342</v>
      </c>
      <c r="C189" s="0" t="s">
        <v>342</v>
      </c>
      <c r="D189" s="0" t="s">
        <v>319</v>
      </c>
      <c r="E189" s="0" t="s">
        <v>724</v>
      </c>
      <c r="F189" s="0" t="s">
        <v>321</v>
      </c>
      <c r="G189" s="0" t="n">
        <v>36.6</v>
      </c>
      <c r="H189" s="0" t="n">
        <v>15</v>
      </c>
      <c r="I189" s="0" t="n">
        <v>172</v>
      </c>
      <c r="J189" s="0" t="n">
        <v>9.374</v>
      </c>
      <c r="K189" s="45" t="n">
        <v>45587</v>
      </c>
      <c r="L189" s="0" t="n">
        <v>22.34064</v>
      </c>
      <c r="M189" s="0" t="n">
        <v>12.96664</v>
      </c>
      <c r="N189" s="0" t="n">
        <v>18.9333</v>
      </c>
      <c r="O189" s="0" t="n">
        <v>9.5593</v>
      </c>
      <c r="P189" s="0" t="s">
        <v>346</v>
      </c>
      <c r="Q189" s="0" t="s">
        <v>331</v>
      </c>
      <c r="R189" s="0" t="s">
        <v>533</v>
      </c>
      <c r="S189" s="0" t="n">
        <v>42.86304</v>
      </c>
      <c r="T189" s="0" t="n">
        <v>33.48904</v>
      </c>
      <c r="U189" s="0" t="s">
        <v>325</v>
      </c>
      <c r="V189" s="0" t="s">
        <v>399</v>
      </c>
      <c r="W189" s="0" t="n">
        <v>37.5</v>
      </c>
      <c r="X189" s="0" t="n">
        <v>28.126</v>
      </c>
      <c r="Y189" s="0" t="n">
        <v>5</v>
      </c>
      <c r="AB189" s="58" t="n">
        <f aca="false">M189-AA189</f>
        <v>12.96664</v>
      </c>
      <c r="AC189" s="58" t="n">
        <f aca="false">O189-AA189</f>
        <v>9.5593</v>
      </c>
      <c r="AD189" s="58" t="n">
        <f aca="false">AB189/L189%</f>
        <v>58.0405932864949</v>
      </c>
      <c r="AE189" s="58" t="n">
        <f aca="false">AC189/N189%</f>
        <v>50.48934945308</v>
      </c>
      <c r="AF189" s="58" t="n">
        <f aca="false">T189-AA189</f>
        <v>33.48904</v>
      </c>
      <c r="AG189" s="58" t="n">
        <f aca="false">AF189/S189%</f>
        <v>78.1303425981918</v>
      </c>
      <c r="AH189" s="58" t="n">
        <f aca="false">W189</f>
        <v>37.5</v>
      </c>
      <c r="AI189" s="58" t="n">
        <f aca="false">J189</f>
        <v>9.374</v>
      </c>
      <c r="AJ189" s="58" t="n">
        <f aca="false">AH189-AI189</f>
        <v>28.126</v>
      </c>
      <c r="AK189" s="58" t="n">
        <f aca="false">AA189</f>
        <v>0</v>
      </c>
      <c r="AL189" s="58" t="n">
        <f aca="false">AJ189-AK189</f>
        <v>28.126</v>
      </c>
      <c r="AM189" s="58" t="n">
        <f aca="false">AL189/AH189%</f>
        <v>75.0026666666667</v>
      </c>
      <c r="AN189" s="0" t="str">
        <f aca="false">IF(ISBLANK(Z189),"","Capped")</f>
        <v/>
      </c>
      <c r="AO189" s="0" t="s">
        <v>327</v>
      </c>
      <c r="AP189" s="0" t="str">
        <f aca="false">TRIM(BA189)</f>
        <v>SBS XL 150F-FT</v>
      </c>
      <c r="AQ189" s="59" t="e">
        <f aca="false">_xlfn.xlookup(A189,'SYS Allocations'!A:A,'SYS Allocations'!B:B)</f>
        <v>#NAME?</v>
      </c>
      <c r="AR189" s="59" t="e">
        <f aca="false">_xlfn.xlookup(A189,'SYS Allocations'!A:A,'SYS Allocations'!C:C)</f>
        <v>#NAME?</v>
      </c>
      <c r="AS189" s="59" t="e">
        <f aca="false">_xlfn.xlookup(A189,'SYS Allocations'!A:A,'SYS Allocations'!D:D)</f>
        <v>#NAME?</v>
      </c>
      <c r="AT189" s="59" t="e">
        <f aca="false">_xlfn.xlookup(A189,'SYS Allocations'!A:A,'SYS Allocations'!E:E)</f>
        <v>#NAME?</v>
      </c>
      <c r="AU189" s="59" t="e">
        <f aca="false">_xlfn.xlookup(A189,'SYS Allocations'!A:A,'SYS Allocations'!F:F)</f>
        <v>#NAME?</v>
      </c>
      <c r="BA189" s="0" t="str">
        <f aca="false">IFERROR(LEFT(R189,FIND("(",R189,1)-1),R189)</f>
        <v>SBS XL 150F-FT </v>
      </c>
    </row>
    <row r="190" customFormat="false" ht="13.15" hidden="false" customHeight="false" outlineLevel="0" collapsed="false">
      <c r="A190" s="20" t="s">
        <v>206</v>
      </c>
      <c r="B190" s="0" t="s">
        <v>317</v>
      </c>
      <c r="C190" s="0" t="s">
        <v>725</v>
      </c>
      <c r="D190" s="0" t="s">
        <v>390</v>
      </c>
      <c r="E190" s="0" t="s">
        <v>726</v>
      </c>
      <c r="F190" s="0" t="s">
        <v>321</v>
      </c>
      <c r="G190" s="0" t="n">
        <v>36.6</v>
      </c>
      <c r="H190" s="0" t="n">
        <v>26</v>
      </c>
      <c r="I190" s="0" t="n">
        <v>272</v>
      </c>
      <c r="J190" s="0" t="n">
        <v>14.824</v>
      </c>
      <c r="K190" s="45" t="n">
        <v>45365</v>
      </c>
      <c r="L190" s="0" t="n">
        <v>39.894</v>
      </c>
      <c r="M190" s="0" t="n">
        <v>25.07</v>
      </c>
      <c r="N190" s="0" t="n">
        <v>33.1905</v>
      </c>
      <c r="O190" s="0" t="n">
        <v>18.3665</v>
      </c>
      <c r="P190" s="0" t="s">
        <v>322</v>
      </c>
      <c r="Q190" s="0" t="s">
        <v>331</v>
      </c>
      <c r="R190" s="0" t="s">
        <v>332</v>
      </c>
      <c r="S190" s="0" t="n">
        <v>26.1144</v>
      </c>
      <c r="T190" s="0" t="n">
        <v>11.2904</v>
      </c>
      <c r="U190" s="0" t="s">
        <v>322</v>
      </c>
      <c r="V190" s="0" t="s">
        <v>625</v>
      </c>
      <c r="W190" s="0" t="n">
        <v>60.75</v>
      </c>
      <c r="X190" s="0" t="n">
        <v>45.926</v>
      </c>
      <c r="Y190" s="0" t="n">
        <v>9</v>
      </c>
      <c r="Z190" s="0" t="s">
        <v>727</v>
      </c>
      <c r="AB190" s="58" t="n">
        <f aca="false">M190-AA190</f>
        <v>25.07</v>
      </c>
      <c r="AC190" s="58" t="n">
        <f aca="false">O190-AA190</f>
        <v>18.3665</v>
      </c>
      <c r="AD190" s="58" t="n">
        <f aca="false">AB190/L190%</f>
        <v>62.8415300546448</v>
      </c>
      <c r="AE190" s="58" t="n">
        <f aca="false">AC190/N190%</f>
        <v>55.3366174055829</v>
      </c>
      <c r="AF190" s="58" t="n">
        <f aca="false">T190-AA190</f>
        <v>11.2904</v>
      </c>
      <c r="AG190" s="58" t="n">
        <f aca="false">AF190/S190%</f>
        <v>43.2343840945992</v>
      </c>
      <c r="AH190" s="58" t="n">
        <f aca="false">W190</f>
        <v>60.75</v>
      </c>
      <c r="AI190" s="58" t="n">
        <f aca="false">J190</f>
        <v>14.824</v>
      </c>
      <c r="AJ190" s="58" t="n">
        <f aca="false">AH190-AI190</f>
        <v>45.926</v>
      </c>
      <c r="AK190" s="58" t="n">
        <f aca="false">AA190</f>
        <v>0</v>
      </c>
      <c r="AL190" s="58" t="n">
        <f aca="false">AJ190-AK190</f>
        <v>45.926</v>
      </c>
      <c r="AM190" s="58" t="n">
        <f aca="false">AL190/AH190%</f>
        <v>75.598353909465</v>
      </c>
      <c r="AN190" s="0" t="str">
        <f aca="false">IF(ISBLANK(Z190),"","Capped")</f>
        <v>Capped</v>
      </c>
      <c r="AO190" s="0" t="s">
        <v>327</v>
      </c>
      <c r="AP190" s="0" t="str">
        <f aca="false">TRIM(BA190)</f>
        <v>DDm85-25</v>
      </c>
      <c r="AQ190" s="59" t="e">
        <f aca="false">_xlfn.xlookup(A190,'SYS Allocations'!A:A,'SYS Allocations'!B:B)</f>
        <v>#NAME?</v>
      </c>
      <c r="AR190" s="59" t="e">
        <f aca="false">_xlfn.xlookup(A190,'SYS Allocations'!A:A,'SYS Allocations'!C:C)</f>
        <v>#NAME?</v>
      </c>
      <c r="AS190" s="59" t="e">
        <f aca="false">_xlfn.xlookup(A190,'SYS Allocations'!A:A,'SYS Allocations'!D:D)</f>
        <v>#NAME?</v>
      </c>
      <c r="AT190" s="59" t="e">
        <f aca="false">_xlfn.xlookup(A190,'SYS Allocations'!A:A,'SYS Allocations'!E:E)</f>
        <v>#NAME?</v>
      </c>
      <c r="AU190" s="59" t="e">
        <f aca="false">_xlfn.xlookup(A190,'SYS Allocations'!A:A,'SYS Allocations'!F:F)</f>
        <v>#NAME?</v>
      </c>
      <c r="BA190" s="0" t="str">
        <f aca="false">IFERROR(LEFT(R190,FIND("(",R190,1)-1),R190)</f>
        <v>DDm85-25</v>
      </c>
    </row>
    <row r="191" customFormat="false" ht="13.15" hidden="false" customHeight="false" outlineLevel="0" collapsed="false">
      <c r="A191" s="20" t="s">
        <v>207</v>
      </c>
      <c r="B191" s="0" t="s">
        <v>328</v>
      </c>
      <c r="C191" s="0" t="s">
        <v>728</v>
      </c>
      <c r="D191" s="0" t="s">
        <v>319</v>
      </c>
      <c r="E191" s="0" t="s">
        <v>729</v>
      </c>
      <c r="F191" s="0" t="s">
        <v>335</v>
      </c>
      <c r="G191" s="0" t="n">
        <v>31</v>
      </c>
      <c r="H191" s="0" t="n">
        <v>11</v>
      </c>
      <c r="I191" s="0" t="n">
        <v>75</v>
      </c>
      <c r="J191" s="0" t="n">
        <v>4.0875</v>
      </c>
      <c r="K191" s="45" t="n">
        <v>45659</v>
      </c>
      <c r="L191" s="0" t="n">
        <v>13.516</v>
      </c>
      <c r="M191" s="0" t="n">
        <v>9.4285</v>
      </c>
      <c r="N191" s="0" t="n">
        <v>10.355</v>
      </c>
      <c r="O191" s="0" t="n">
        <v>6.2675</v>
      </c>
      <c r="P191" s="0" t="s">
        <v>428</v>
      </c>
      <c r="Q191" s="0" t="s">
        <v>331</v>
      </c>
      <c r="R191" s="0" t="s">
        <v>445</v>
      </c>
      <c r="S191" s="0" t="n">
        <v>10.7568</v>
      </c>
      <c r="T191" s="0" t="n">
        <v>6.66929999999999</v>
      </c>
      <c r="U191" s="0" t="s">
        <v>325</v>
      </c>
      <c r="V191" s="0" t="s">
        <v>442</v>
      </c>
      <c r="W191" s="0" t="n">
        <v>11.25</v>
      </c>
      <c r="X191" s="0" t="n">
        <v>7.1625</v>
      </c>
      <c r="Y191" s="0" t="n">
        <v>3</v>
      </c>
      <c r="AB191" s="58" t="n">
        <f aca="false">M191-AA191</f>
        <v>9.4285</v>
      </c>
      <c r="AC191" s="58" t="n">
        <f aca="false">O191-AA191</f>
        <v>6.2675</v>
      </c>
      <c r="AD191" s="58" t="n">
        <f aca="false">AB191/L191%</f>
        <v>69.758064516129</v>
      </c>
      <c r="AE191" s="58" t="n">
        <f aca="false">AC191/N191%</f>
        <v>60.5263157894737</v>
      </c>
      <c r="AF191" s="58" t="n">
        <f aca="false">T191-AA191</f>
        <v>6.66929999999999</v>
      </c>
      <c r="AG191" s="58" t="n">
        <f aca="false">AF191/S191%</f>
        <v>62.0007809013832</v>
      </c>
      <c r="AH191" s="58" t="n">
        <f aca="false">W191</f>
        <v>11.25</v>
      </c>
      <c r="AI191" s="58" t="n">
        <f aca="false">J191</f>
        <v>4.0875</v>
      </c>
      <c r="AJ191" s="58" t="n">
        <f aca="false">AH191-AI191</f>
        <v>7.1625</v>
      </c>
      <c r="AK191" s="58" t="n">
        <f aca="false">AA191</f>
        <v>0</v>
      </c>
      <c r="AL191" s="58" t="n">
        <f aca="false">AJ191-AK191</f>
        <v>7.1625</v>
      </c>
      <c r="AM191" s="58" t="n">
        <f aca="false">AL191/AH191%</f>
        <v>63.6666666666667</v>
      </c>
      <c r="AN191" s="0" t="str">
        <f aca="false">IF(ISBLANK(Z191),"","Capped")</f>
        <v/>
      </c>
      <c r="AO191" s="0" t="s">
        <v>327</v>
      </c>
      <c r="AP191" s="0" t="str">
        <f aca="false">TRIM(BA191)</f>
        <v>12V101F</v>
      </c>
      <c r="AQ191" s="59" t="e">
        <f aca="false">_xlfn.xlookup(A191,'SYS Allocations'!A:A,'SYS Allocations'!B:B)</f>
        <v>#NAME?</v>
      </c>
      <c r="AR191" s="59" t="e">
        <f aca="false">_xlfn.xlookup(A191,'SYS Allocations'!A:A,'SYS Allocations'!C:C)</f>
        <v>#NAME?</v>
      </c>
      <c r="AS191" s="59" t="e">
        <f aca="false">_xlfn.xlookup(A191,'SYS Allocations'!A:A,'SYS Allocations'!D:D)</f>
        <v>#NAME?</v>
      </c>
      <c r="AT191" s="59" t="e">
        <f aca="false">_xlfn.xlookup(A191,'SYS Allocations'!A:A,'SYS Allocations'!E:E)</f>
        <v>#NAME?</v>
      </c>
      <c r="AU191" s="59" t="e">
        <f aca="false">_xlfn.xlookup(A191,'SYS Allocations'!A:A,'SYS Allocations'!F:F)</f>
        <v>#NAME?</v>
      </c>
      <c r="BA191" s="0" t="str">
        <f aca="false">IFERROR(LEFT(R191,FIND("(",R191,1)-1),R191)</f>
        <v>12V101F </v>
      </c>
    </row>
    <row r="192" customFormat="false" ht="13.15" hidden="false" customHeight="false" outlineLevel="0" collapsed="false">
      <c r="A192" s="20" t="s">
        <v>208</v>
      </c>
      <c r="B192" s="0" t="s">
        <v>437</v>
      </c>
      <c r="C192" s="0" t="s">
        <v>730</v>
      </c>
      <c r="D192" s="0" t="s">
        <v>319</v>
      </c>
      <c r="E192" s="0" t="s">
        <v>731</v>
      </c>
      <c r="F192" s="0" t="s">
        <v>321</v>
      </c>
      <c r="G192" s="0" t="n">
        <v>36.6</v>
      </c>
      <c r="H192" s="0" t="n">
        <v>12</v>
      </c>
      <c r="I192" s="0" t="n">
        <v>130</v>
      </c>
      <c r="J192" s="0" t="n">
        <v>7.085</v>
      </c>
      <c r="K192" s="45" t="n">
        <v>45341</v>
      </c>
      <c r="L192" s="0" t="n">
        <v>17.55336</v>
      </c>
      <c r="M192" s="0" t="n">
        <v>10.46836</v>
      </c>
      <c r="N192" s="0" t="n">
        <v>11.2814991825</v>
      </c>
      <c r="O192" s="0" t="n">
        <v>4.1964991825</v>
      </c>
      <c r="P192" s="0" t="s">
        <v>322</v>
      </c>
      <c r="Q192" s="0" t="s">
        <v>331</v>
      </c>
      <c r="R192" s="0" t="s">
        <v>732</v>
      </c>
      <c r="S192" s="0" t="n">
        <v>17.7552</v>
      </c>
      <c r="T192" s="0" t="n">
        <v>10.6702</v>
      </c>
      <c r="U192" s="0" t="s">
        <v>322</v>
      </c>
      <c r="V192" s="0" t="s">
        <v>602</v>
      </c>
      <c r="W192" s="0" t="n">
        <v>12</v>
      </c>
      <c r="X192" s="0" t="n">
        <v>4.915</v>
      </c>
      <c r="Y192" s="0" t="n">
        <v>1</v>
      </c>
      <c r="AB192" s="58" t="n">
        <f aca="false">M192-AA192</f>
        <v>10.46836</v>
      </c>
      <c r="AC192" s="58" t="n">
        <f aca="false">O192-AA192</f>
        <v>4.1964991825</v>
      </c>
      <c r="AD192" s="58" t="n">
        <f aca="false">AB192/L192%</f>
        <v>59.6373571783408</v>
      </c>
      <c r="AE192" s="58" t="n">
        <f aca="false">AC192/N192%</f>
        <v>37.1980630819853</v>
      </c>
      <c r="AF192" s="58" t="n">
        <f aca="false">T192-AA192</f>
        <v>10.6702</v>
      </c>
      <c r="AG192" s="58" t="n">
        <f aca="false">AF192/S192%</f>
        <v>60.0961971704064</v>
      </c>
      <c r="AH192" s="58" t="n">
        <f aca="false">W192</f>
        <v>12</v>
      </c>
      <c r="AI192" s="58" t="n">
        <f aca="false">J192</f>
        <v>7.085</v>
      </c>
      <c r="AJ192" s="58" t="n">
        <f aca="false">AH192-AI192</f>
        <v>4.915</v>
      </c>
      <c r="AK192" s="58" t="n">
        <f aca="false">AA192</f>
        <v>0</v>
      </c>
      <c r="AL192" s="58" t="n">
        <f aca="false">AJ192-AK192</f>
        <v>4.915</v>
      </c>
      <c r="AM192" s="58" t="n">
        <f aca="false">AL192/AH192%</f>
        <v>40.9583333333333</v>
      </c>
      <c r="AN192" s="0" t="str">
        <f aca="false">IF(ISBLANK(Z192),"","Capped")</f>
        <v/>
      </c>
      <c r="AO192" s="0" t="s">
        <v>327</v>
      </c>
      <c r="AP192" s="0" t="str">
        <f aca="false">TRIM(BA192)</f>
        <v>2CP650</v>
      </c>
      <c r="AQ192" s="59" t="e">
        <f aca="false">_xlfn.xlookup(A192,'SYS Allocations'!A:A,'SYS Allocations'!B:B)</f>
        <v>#NAME?</v>
      </c>
      <c r="AR192" s="59" t="e">
        <f aca="false">_xlfn.xlookup(A192,'SYS Allocations'!A:A,'SYS Allocations'!C:C)</f>
        <v>#NAME?</v>
      </c>
      <c r="AS192" s="59" t="e">
        <f aca="false">_xlfn.xlookup(A192,'SYS Allocations'!A:A,'SYS Allocations'!D:D)</f>
        <v>#NAME?</v>
      </c>
      <c r="AT192" s="59" t="e">
        <f aca="false">_xlfn.xlookup(A192,'SYS Allocations'!A:A,'SYS Allocations'!E:E)</f>
        <v>#NAME?</v>
      </c>
      <c r="AU192" s="59" t="e">
        <f aca="false">_xlfn.xlookup(A192,'SYS Allocations'!A:A,'SYS Allocations'!F:F)</f>
        <v>#NAME?</v>
      </c>
      <c r="BA192" s="0" t="str">
        <f aca="false">IFERROR(LEFT(R192,FIND("(",R192,1)-1),R192)</f>
        <v>2CP650</v>
      </c>
    </row>
    <row r="193" customFormat="false" ht="13.15" hidden="false" customHeight="false" outlineLevel="0" collapsed="false">
      <c r="A193" s="20" t="s">
        <v>209</v>
      </c>
      <c r="B193" s="0" t="s">
        <v>437</v>
      </c>
      <c r="C193" s="0" t="s">
        <v>730</v>
      </c>
      <c r="D193" s="0" t="s">
        <v>319</v>
      </c>
      <c r="E193" s="0" t="s">
        <v>733</v>
      </c>
      <c r="F193" s="0" t="s">
        <v>321</v>
      </c>
      <c r="G193" s="0" t="n">
        <v>36.6</v>
      </c>
      <c r="H193" s="0" t="n">
        <v>35</v>
      </c>
      <c r="I193" s="0" t="n">
        <v>319</v>
      </c>
      <c r="J193" s="0" t="n">
        <v>17.3855</v>
      </c>
      <c r="K193" s="45" t="n">
        <v>45659</v>
      </c>
      <c r="L193" s="0" t="n">
        <v>54.25584</v>
      </c>
      <c r="M193" s="0" t="n">
        <v>36.87034</v>
      </c>
      <c r="N193" s="0" t="n">
        <v>35.1198</v>
      </c>
      <c r="O193" s="0" t="n">
        <v>17.7343</v>
      </c>
      <c r="P193" s="0" t="s">
        <v>322</v>
      </c>
      <c r="Q193" s="0" t="s">
        <v>331</v>
      </c>
      <c r="R193" s="0" t="s">
        <v>345</v>
      </c>
      <c r="S193" s="0" t="n">
        <v>53.3304</v>
      </c>
      <c r="T193" s="0" t="n">
        <v>35.9449</v>
      </c>
      <c r="U193" s="0" t="s">
        <v>322</v>
      </c>
      <c r="V193" s="0" t="s">
        <v>341</v>
      </c>
      <c r="W193" s="0" t="n">
        <v>45</v>
      </c>
      <c r="X193" s="0" t="n">
        <v>27.6145</v>
      </c>
      <c r="Y193" s="0" t="n">
        <v>278</v>
      </c>
      <c r="AB193" s="58" t="n">
        <f aca="false">M193-AA193</f>
        <v>36.87034</v>
      </c>
      <c r="AC193" s="58" t="n">
        <f aca="false">O193-AA193</f>
        <v>17.7343</v>
      </c>
      <c r="AD193" s="58" t="n">
        <f aca="false">AB193/L193%</f>
        <v>67.9564448730312</v>
      </c>
      <c r="AE193" s="58" t="n">
        <f aca="false">AC193/N193%</f>
        <v>50.4965859714463</v>
      </c>
      <c r="AF193" s="58" t="n">
        <f aca="false">T193-AA193</f>
        <v>35.9449</v>
      </c>
      <c r="AG193" s="58" t="n">
        <f aca="false">AF193/S193%</f>
        <v>67.4003945216987</v>
      </c>
      <c r="AH193" s="58" t="n">
        <f aca="false">W193</f>
        <v>45</v>
      </c>
      <c r="AI193" s="58" t="n">
        <f aca="false">J193</f>
        <v>17.3855</v>
      </c>
      <c r="AJ193" s="58" t="n">
        <f aca="false">AH193-AI193</f>
        <v>27.6145</v>
      </c>
      <c r="AK193" s="58" t="n">
        <f aca="false">AA193</f>
        <v>0</v>
      </c>
      <c r="AL193" s="58" t="n">
        <f aca="false">AJ193-AK193</f>
        <v>27.6145</v>
      </c>
      <c r="AM193" s="58" t="n">
        <f aca="false">AL193/AH193%</f>
        <v>61.3655555555556</v>
      </c>
      <c r="AN193" s="0" t="str">
        <f aca="false">IF(ISBLANK(Z193),"","Capped")</f>
        <v/>
      </c>
      <c r="AO193" s="0" t="s">
        <v>327</v>
      </c>
      <c r="AP193" s="0" t="str">
        <f aca="false">TRIM(BA193)</f>
        <v>DDm125-33</v>
      </c>
      <c r="AQ193" s="59" t="e">
        <f aca="false">_xlfn.xlookup(A193,'SYS Allocations'!A:A,'SYS Allocations'!B:B)</f>
        <v>#NAME?</v>
      </c>
      <c r="AR193" s="59" t="e">
        <f aca="false">_xlfn.xlookup(A193,'SYS Allocations'!A:A,'SYS Allocations'!C:C)</f>
        <v>#NAME?</v>
      </c>
      <c r="AS193" s="59" t="e">
        <f aca="false">_xlfn.xlookup(A193,'SYS Allocations'!A:A,'SYS Allocations'!D:D)</f>
        <v>#NAME?</v>
      </c>
      <c r="AT193" s="59" t="e">
        <f aca="false">_xlfn.xlookup(A193,'SYS Allocations'!A:A,'SYS Allocations'!E:E)</f>
        <v>#NAME?</v>
      </c>
      <c r="AU193" s="59" t="e">
        <f aca="false">_xlfn.xlookup(A193,'SYS Allocations'!A:A,'SYS Allocations'!F:F)</f>
        <v>#NAME?</v>
      </c>
      <c r="BA193" s="0" t="str">
        <f aca="false">IFERROR(LEFT(R193,FIND("(",R193,1)-1),R193)</f>
        <v>DDm125-33</v>
      </c>
    </row>
    <row r="194" customFormat="false" ht="13.15" hidden="false" customHeight="false" outlineLevel="0" collapsed="false">
      <c r="A194" s="20" t="s">
        <v>210</v>
      </c>
      <c r="B194" s="0" t="s">
        <v>376</v>
      </c>
      <c r="C194" s="0" t="s">
        <v>734</v>
      </c>
      <c r="D194" s="0" t="s">
        <v>319</v>
      </c>
      <c r="E194" s="0" t="s">
        <v>735</v>
      </c>
      <c r="F194" s="0" t="s">
        <v>736</v>
      </c>
      <c r="G194" s="0" t="n">
        <v>50</v>
      </c>
      <c r="H194" s="0" t="n">
        <v>4</v>
      </c>
      <c r="I194" s="0" t="n">
        <v>20</v>
      </c>
      <c r="J194" s="0" t="n">
        <v>1.09</v>
      </c>
      <c r="K194" s="45" t="n">
        <v>45429</v>
      </c>
      <c r="L194" s="0" t="n">
        <v>6.54</v>
      </c>
      <c r="M194" s="0" t="n">
        <v>5.45</v>
      </c>
      <c r="N194" s="0" t="n">
        <v>5.995</v>
      </c>
      <c r="O194" s="0" t="n">
        <v>4.905</v>
      </c>
      <c r="P194" s="0" t="s">
        <v>337</v>
      </c>
      <c r="Q194" s="0" t="s">
        <v>331</v>
      </c>
      <c r="R194" s="0" t="s">
        <v>445</v>
      </c>
      <c r="S194" s="0" t="n">
        <v>3.5856</v>
      </c>
      <c r="T194" s="0" t="n">
        <v>2.4956</v>
      </c>
      <c r="U194" s="0" t="s">
        <v>325</v>
      </c>
      <c r="V194" s="0" t="s">
        <v>326</v>
      </c>
      <c r="W194" s="0" t="n">
        <v>7.5</v>
      </c>
      <c r="X194" s="0" t="n">
        <v>6.41</v>
      </c>
      <c r="Y194" s="0" t="n">
        <v>3</v>
      </c>
      <c r="AB194" s="58" t="n">
        <f aca="false">M194-AA194</f>
        <v>5.45</v>
      </c>
      <c r="AC194" s="58" t="n">
        <f aca="false">O194-AA194</f>
        <v>4.905</v>
      </c>
      <c r="AD194" s="58" t="n">
        <f aca="false">AB194/L194%</f>
        <v>83.3333333333333</v>
      </c>
      <c r="AE194" s="58" t="n">
        <f aca="false">AC194/N194%</f>
        <v>81.8181818181818</v>
      </c>
      <c r="AF194" s="58" t="n">
        <f aca="false">T194-AA194</f>
        <v>2.4956</v>
      </c>
      <c r="AG194" s="58" t="n">
        <f aca="false">AF194/S194%</f>
        <v>69.6006247211067</v>
      </c>
      <c r="AH194" s="60" t="n">
        <f aca="false">AVERAGE(W194:W195)</f>
        <v>7.5</v>
      </c>
      <c r="AI194" s="60" t="n">
        <f aca="false">SUM(J194:J195)</f>
        <v>1.962</v>
      </c>
      <c r="AJ194" s="60" t="n">
        <f aca="false">AH194-AI194</f>
        <v>5.538</v>
      </c>
      <c r="AK194" s="60" t="n">
        <f aca="false">SUM(AA194:AA195)</f>
        <v>0</v>
      </c>
      <c r="AL194" s="60" t="n">
        <f aca="false">AJ194-AK194</f>
        <v>5.538</v>
      </c>
      <c r="AM194" s="61" t="n">
        <f aca="false">AL194/AH194%</f>
        <v>73.84</v>
      </c>
      <c r="AN194" s="0" t="str">
        <f aca="false">IF(ISBLANK(Z194),"","Capped")</f>
        <v/>
      </c>
      <c r="AO194" s="0" t="s">
        <v>393</v>
      </c>
      <c r="AP194" s="0" t="str">
        <f aca="false">TRIM(BA194)</f>
        <v>12V101F</v>
      </c>
      <c r="AQ194" s="59" t="e">
        <f aca="false">_xlfn.xlookup(A194,'SYS Allocations'!A:A,'SYS Allocations'!B:B)</f>
        <v>#NAME?</v>
      </c>
      <c r="AR194" s="59" t="e">
        <f aca="false">_xlfn.xlookup(A194,'SYS Allocations'!A:A,'SYS Allocations'!C:C)</f>
        <v>#NAME?</v>
      </c>
      <c r="AS194" s="59" t="e">
        <f aca="false">_xlfn.xlookup(A194,'SYS Allocations'!A:A,'SYS Allocations'!D:D)</f>
        <v>#NAME?</v>
      </c>
      <c r="AT194" s="59" t="e">
        <f aca="false">_xlfn.xlookup(A194,'SYS Allocations'!A:A,'SYS Allocations'!E:E)</f>
        <v>#NAME?</v>
      </c>
      <c r="AU194" s="59" t="e">
        <f aca="false">_xlfn.xlookup(A194,'SYS Allocations'!A:A,'SYS Allocations'!F:F)</f>
        <v>#NAME?</v>
      </c>
      <c r="BA194" s="0" t="str">
        <f aca="false">IFERROR(LEFT(R194,FIND("(",R194,1)-1),R194)</f>
        <v>12V101F </v>
      </c>
    </row>
    <row r="195" customFormat="false" ht="13.15" hidden="false" customHeight="false" outlineLevel="0" collapsed="false">
      <c r="A195" s="20" t="s">
        <v>211</v>
      </c>
      <c r="B195" s="0" t="s">
        <v>376</v>
      </c>
      <c r="C195" s="0" t="s">
        <v>734</v>
      </c>
      <c r="D195" s="0" t="s">
        <v>319</v>
      </c>
      <c r="E195" s="0" t="s">
        <v>735</v>
      </c>
      <c r="F195" s="0" t="s">
        <v>736</v>
      </c>
      <c r="G195" s="0" t="n">
        <v>50</v>
      </c>
      <c r="H195" s="0" t="n">
        <v>4</v>
      </c>
      <c r="I195" s="0" t="n">
        <v>16</v>
      </c>
      <c r="J195" s="0" t="n">
        <v>0.872</v>
      </c>
      <c r="K195" s="45" t="n">
        <v>45429</v>
      </c>
      <c r="L195" s="0" t="n">
        <v>6.54</v>
      </c>
      <c r="M195" s="0" t="n">
        <v>5.668</v>
      </c>
      <c r="N195" s="0" t="n">
        <v>6.431</v>
      </c>
      <c r="O195" s="0" t="n">
        <v>5.559</v>
      </c>
      <c r="P195" s="0" t="s">
        <v>337</v>
      </c>
      <c r="Q195" s="0" t="s">
        <v>352</v>
      </c>
      <c r="R195" s="0" t="s">
        <v>450</v>
      </c>
      <c r="S195" s="0" t="n">
        <v>3.90528</v>
      </c>
      <c r="T195" s="0" t="n">
        <v>3.03328</v>
      </c>
      <c r="U195" s="0" t="s">
        <v>325</v>
      </c>
      <c r="V195" s="0" t="s">
        <v>326</v>
      </c>
      <c r="W195" s="0" t="n">
        <v>7.5</v>
      </c>
      <c r="X195" s="0" t="n">
        <v>6.628</v>
      </c>
      <c r="Y195" s="0" t="n">
        <v>3</v>
      </c>
      <c r="AB195" s="58" t="n">
        <f aca="false">M195-AA195</f>
        <v>5.668</v>
      </c>
      <c r="AC195" s="58" t="n">
        <f aca="false">O195-AA195</f>
        <v>5.559</v>
      </c>
      <c r="AD195" s="58" t="n">
        <f aca="false">AB195/L195%</f>
        <v>86.6666666666667</v>
      </c>
      <c r="AE195" s="58" t="n">
        <f aca="false">AC195/N195%</f>
        <v>86.4406779661017</v>
      </c>
      <c r="AF195" s="58" t="n">
        <f aca="false">T195-AA195</f>
        <v>3.03328</v>
      </c>
      <c r="AG195" s="58" t="n">
        <f aca="false">AF195/S195%</f>
        <v>77.6712553261226</v>
      </c>
      <c r="AH195" s="60"/>
      <c r="AI195" s="60"/>
      <c r="AJ195" s="60"/>
      <c r="AK195" s="60"/>
      <c r="AL195" s="60"/>
      <c r="AM195" s="61"/>
      <c r="AN195" s="0" t="str">
        <f aca="false">IF(ISBLANK(Z195),"","Capped")</f>
        <v/>
      </c>
      <c r="AO195" s="0" t="s">
        <v>393</v>
      </c>
      <c r="AP195" s="0" t="str">
        <f aca="false">TRIM(BA195)</f>
        <v>12V100F</v>
      </c>
      <c r="AQ195" s="59" t="e">
        <f aca="false">_xlfn.xlookup(A195,'SYS Allocations'!A:A,'SYS Allocations'!B:B)</f>
        <v>#NAME?</v>
      </c>
      <c r="AR195" s="59" t="e">
        <f aca="false">_xlfn.xlookup(A195,'SYS Allocations'!A:A,'SYS Allocations'!C:C)</f>
        <v>#NAME?</v>
      </c>
      <c r="AS195" s="59" t="e">
        <f aca="false">_xlfn.xlookup(A195,'SYS Allocations'!A:A,'SYS Allocations'!D:D)</f>
        <v>#NAME?</v>
      </c>
      <c r="AT195" s="59" t="e">
        <f aca="false">_xlfn.xlookup(A195,'SYS Allocations'!A:A,'SYS Allocations'!E:E)</f>
        <v>#NAME?</v>
      </c>
      <c r="AU195" s="59" t="e">
        <f aca="false">_xlfn.xlookup(A195,'SYS Allocations'!A:A,'SYS Allocations'!F:F)</f>
        <v>#NAME?</v>
      </c>
      <c r="BA195" s="0" t="str">
        <f aca="false">IFERROR(LEFT(R195,FIND("(",R195,1)-1),R195)</f>
        <v>12V100F</v>
      </c>
    </row>
    <row r="196" customFormat="false" ht="13.15" hidden="false" customHeight="false" outlineLevel="0" collapsed="false">
      <c r="A196" s="20" t="s">
        <v>212</v>
      </c>
      <c r="B196" s="0" t="s">
        <v>355</v>
      </c>
      <c r="C196" s="0" t="s">
        <v>737</v>
      </c>
      <c r="D196" s="0" t="s">
        <v>319</v>
      </c>
      <c r="E196" s="0" t="s">
        <v>738</v>
      </c>
      <c r="F196" s="0" t="s">
        <v>321</v>
      </c>
      <c r="G196" s="0" t="n">
        <v>36.6</v>
      </c>
      <c r="H196" s="0" t="n">
        <v>23</v>
      </c>
      <c r="I196" s="0" t="n">
        <v>235</v>
      </c>
      <c r="J196" s="0" t="n">
        <v>12.8075</v>
      </c>
      <c r="K196" s="45" t="n">
        <v>45518</v>
      </c>
      <c r="L196" s="0" t="n">
        <v>35.10672</v>
      </c>
      <c r="M196" s="0" t="n">
        <v>22.29922</v>
      </c>
      <c r="N196" s="0" t="n">
        <v>22.0834</v>
      </c>
      <c r="O196" s="0" t="n">
        <v>9.2759</v>
      </c>
      <c r="P196" s="0" t="s">
        <v>325</v>
      </c>
      <c r="Q196" s="0" t="s">
        <v>331</v>
      </c>
      <c r="R196" s="0" t="s">
        <v>345</v>
      </c>
      <c r="S196" s="0" t="n">
        <v>35.5536</v>
      </c>
      <c r="T196" s="0" t="n">
        <v>22.7461</v>
      </c>
      <c r="U196" s="0" t="s">
        <v>379</v>
      </c>
      <c r="V196" s="0" t="s">
        <v>338</v>
      </c>
      <c r="W196" s="0" t="n">
        <v>33.75</v>
      </c>
      <c r="X196" s="0" t="n">
        <v>20.9425</v>
      </c>
      <c r="Y196" s="0" t="n">
        <v>17</v>
      </c>
      <c r="AB196" s="58" t="n">
        <f aca="false">M196-AA196</f>
        <v>22.29922</v>
      </c>
      <c r="AC196" s="58" t="n">
        <f aca="false">O196-AA196</f>
        <v>9.2759</v>
      </c>
      <c r="AD196" s="58" t="n">
        <f aca="false">AB196/L196%</f>
        <v>63.5183805265772</v>
      </c>
      <c r="AE196" s="58" t="n">
        <f aca="false">AC196/N196%</f>
        <v>42.0039486673248</v>
      </c>
      <c r="AF196" s="58" t="n">
        <f aca="false">T196-AA196</f>
        <v>22.7461</v>
      </c>
      <c r="AG196" s="58" t="n">
        <f aca="false">AF196/S196%</f>
        <v>63.9769249808739</v>
      </c>
      <c r="AH196" s="58" t="n">
        <f aca="false">W196</f>
        <v>33.75</v>
      </c>
      <c r="AI196" s="58" t="n">
        <f aca="false">J196</f>
        <v>12.8075</v>
      </c>
      <c r="AJ196" s="58" t="n">
        <f aca="false">AH196-AI196</f>
        <v>20.9425</v>
      </c>
      <c r="AK196" s="58" t="n">
        <f aca="false">AA196</f>
        <v>0</v>
      </c>
      <c r="AL196" s="58" t="n">
        <f aca="false">AJ196-AK196</f>
        <v>20.9425</v>
      </c>
      <c r="AM196" s="58" t="n">
        <f aca="false">AL196/AH196%</f>
        <v>62.0518518518519</v>
      </c>
      <c r="AN196" s="0" t="str">
        <f aca="false">IF(ISBLANK(Z196),"","Capped")</f>
        <v/>
      </c>
      <c r="AO196" s="0" t="s">
        <v>327</v>
      </c>
      <c r="AP196" s="0" t="str">
        <f aca="false">TRIM(BA196)</f>
        <v>DDm125-33</v>
      </c>
      <c r="AQ196" s="59" t="e">
        <f aca="false">_xlfn.xlookup(A196,'SYS Allocations'!A:A,'SYS Allocations'!B:B)</f>
        <v>#NAME?</v>
      </c>
      <c r="AR196" s="59" t="e">
        <f aca="false">_xlfn.xlookup(A196,'SYS Allocations'!A:A,'SYS Allocations'!C:C)</f>
        <v>#NAME?</v>
      </c>
      <c r="AS196" s="59" t="e">
        <f aca="false">_xlfn.xlookup(A196,'SYS Allocations'!A:A,'SYS Allocations'!D:D)</f>
        <v>#NAME?</v>
      </c>
      <c r="AT196" s="59" t="e">
        <f aca="false">_xlfn.xlookup(A196,'SYS Allocations'!A:A,'SYS Allocations'!E:E)</f>
        <v>#NAME?</v>
      </c>
      <c r="AU196" s="59" t="e">
        <f aca="false">_xlfn.xlookup(A196,'SYS Allocations'!A:A,'SYS Allocations'!F:F)</f>
        <v>#NAME?</v>
      </c>
      <c r="BA196" s="0" t="str">
        <f aca="false">IFERROR(LEFT(R196,FIND("(",R196,1)-1),R196)</f>
        <v>DDm125-33</v>
      </c>
    </row>
    <row r="197" customFormat="false" ht="13.15" hidden="false" customHeight="false" outlineLevel="0" collapsed="false">
      <c r="A197" s="20" t="s">
        <v>213</v>
      </c>
      <c r="B197" s="0" t="s">
        <v>361</v>
      </c>
      <c r="C197" s="0" t="s">
        <v>739</v>
      </c>
      <c r="D197" s="0" t="s">
        <v>319</v>
      </c>
      <c r="E197" s="0" t="s">
        <v>740</v>
      </c>
      <c r="F197" s="0" t="s">
        <v>383</v>
      </c>
      <c r="G197" s="0" t="n">
        <v>55</v>
      </c>
      <c r="H197" s="0" t="n">
        <v>25</v>
      </c>
      <c r="I197" s="0" t="n">
        <v>269</v>
      </c>
      <c r="J197" s="0" t="n">
        <v>14.6605</v>
      </c>
      <c r="K197" s="45" t="n">
        <v>45555</v>
      </c>
      <c r="L197" s="0" t="n">
        <v>57.552</v>
      </c>
      <c r="M197" s="0" t="n">
        <v>42.8915</v>
      </c>
      <c r="N197" s="0" t="n">
        <v>39.24</v>
      </c>
      <c r="O197" s="0" t="n">
        <v>24.5795</v>
      </c>
      <c r="P197" s="0" t="s">
        <v>322</v>
      </c>
      <c r="Q197" s="0" t="s">
        <v>331</v>
      </c>
      <c r="R197" s="0" t="s">
        <v>345</v>
      </c>
      <c r="S197" s="0" t="n">
        <v>53.3304</v>
      </c>
      <c r="T197" s="0" t="n">
        <v>38.6699</v>
      </c>
      <c r="U197" s="0" t="s">
        <v>322</v>
      </c>
      <c r="V197" s="0" t="s">
        <v>741</v>
      </c>
      <c r="W197" s="0" t="n">
        <v>31.5</v>
      </c>
      <c r="X197" s="0" t="n">
        <v>16.8395</v>
      </c>
      <c r="Y197" s="0" t="n">
        <v>34</v>
      </c>
      <c r="AB197" s="58" t="n">
        <f aca="false">M197-AA197</f>
        <v>42.8915</v>
      </c>
      <c r="AC197" s="58" t="n">
        <f aca="false">O197-AA197</f>
        <v>24.5795</v>
      </c>
      <c r="AD197" s="58" t="n">
        <f aca="false">AB197/L197%</f>
        <v>74.5265151515151</v>
      </c>
      <c r="AE197" s="58" t="n">
        <f aca="false">AC197/N197%</f>
        <v>62.6388888888889</v>
      </c>
      <c r="AF197" s="58" t="n">
        <f aca="false">T197-AA197</f>
        <v>38.6699</v>
      </c>
      <c r="AG197" s="58" t="n">
        <f aca="false">AF197/S197%</f>
        <v>72.5100505527804</v>
      </c>
      <c r="AH197" s="58" t="n">
        <f aca="false">W197</f>
        <v>31.5</v>
      </c>
      <c r="AI197" s="58" t="n">
        <f aca="false">J197</f>
        <v>14.6605</v>
      </c>
      <c r="AJ197" s="58" t="n">
        <f aca="false">AH197-AI197</f>
        <v>16.8395</v>
      </c>
      <c r="AK197" s="58" t="n">
        <f aca="false">AA197</f>
        <v>0</v>
      </c>
      <c r="AL197" s="58" t="n">
        <f aca="false">AJ197-AK197</f>
        <v>16.8395</v>
      </c>
      <c r="AM197" s="58" t="n">
        <f aca="false">AL197/AH197%</f>
        <v>53.4587301587302</v>
      </c>
      <c r="AN197" s="0" t="str">
        <f aca="false">IF(ISBLANK(Z197),"","Capped")</f>
        <v/>
      </c>
      <c r="AO197" s="0" t="s">
        <v>327</v>
      </c>
      <c r="AP197" s="0" t="str">
        <f aca="false">TRIM(BA197)</f>
        <v>DDm125-33</v>
      </c>
      <c r="AQ197" s="59" t="e">
        <f aca="false">_xlfn.xlookup(A197,'SYS Allocations'!A:A,'SYS Allocations'!B:B)</f>
        <v>#NAME?</v>
      </c>
      <c r="AR197" s="59" t="e">
        <f aca="false">_xlfn.xlookup(A197,'SYS Allocations'!A:A,'SYS Allocations'!C:C)</f>
        <v>#NAME?</v>
      </c>
      <c r="AS197" s="59" t="e">
        <f aca="false">_xlfn.xlookup(A197,'SYS Allocations'!A:A,'SYS Allocations'!D:D)</f>
        <v>#NAME?</v>
      </c>
      <c r="AT197" s="59" t="e">
        <f aca="false">_xlfn.xlookup(A197,'SYS Allocations'!A:A,'SYS Allocations'!E:E)</f>
        <v>#NAME?</v>
      </c>
      <c r="AU197" s="59" t="e">
        <f aca="false">_xlfn.xlookup(A197,'SYS Allocations'!A:A,'SYS Allocations'!F:F)</f>
        <v>#NAME?</v>
      </c>
      <c r="BA197" s="0" t="str">
        <f aca="false">IFERROR(LEFT(R197,FIND("(",R197,1)-1),R197)</f>
        <v>DDm125-33</v>
      </c>
    </row>
    <row r="198" customFormat="false" ht="13.15" hidden="false" customHeight="false" outlineLevel="0" collapsed="false">
      <c r="A198" s="20" t="s">
        <v>214</v>
      </c>
      <c r="B198" s="0" t="s">
        <v>361</v>
      </c>
      <c r="C198" s="0" t="s">
        <v>739</v>
      </c>
      <c r="D198" s="0" t="s">
        <v>319</v>
      </c>
      <c r="E198" s="0" t="s">
        <v>742</v>
      </c>
      <c r="F198" s="0" t="s">
        <v>364</v>
      </c>
      <c r="G198" s="0" t="n">
        <v>75</v>
      </c>
      <c r="H198" s="0" t="n">
        <v>12</v>
      </c>
      <c r="I198" s="0" t="n">
        <v>220</v>
      </c>
      <c r="J198" s="0" t="n">
        <v>11.99</v>
      </c>
      <c r="K198" s="45" t="n">
        <v>45525</v>
      </c>
      <c r="L198" s="0" t="n">
        <v>35.97</v>
      </c>
      <c r="M198" s="0" t="n">
        <v>23.98</v>
      </c>
      <c r="N198" s="0" t="n">
        <v>32.918</v>
      </c>
      <c r="O198" s="0" t="n">
        <v>20.928</v>
      </c>
      <c r="P198" s="0" t="s">
        <v>325</v>
      </c>
      <c r="Q198" s="0" t="s">
        <v>331</v>
      </c>
      <c r="R198" s="0" t="s">
        <v>605</v>
      </c>
      <c r="S198" s="0" t="n">
        <v>18.792</v>
      </c>
      <c r="T198" s="0" t="n">
        <v>6.80199999999998</v>
      </c>
      <c r="U198" s="0" t="s">
        <v>446</v>
      </c>
      <c r="V198" s="0" t="s">
        <v>743</v>
      </c>
      <c r="W198" s="0" t="n">
        <v>36</v>
      </c>
      <c r="X198" s="0" t="n">
        <v>24.01</v>
      </c>
      <c r="Y198" s="0" t="n">
        <v>27</v>
      </c>
      <c r="AB198" s="58" t="n">
        <f aca="false">M198-AA198</f>
        <v>23.98</v>
      </c>
      <c r="AC198" s="58" t="n">
        <f aca="false">O198-AA198</f>
        <v>20.928</v>
      </c>
      <c r="AD198" s="58" t="n">
        <f aca="false">AB198/L198%</f>
        <v>66.6666666666667</v>
      </c>
      <c r="AE198" s="58" t="n">
        <f aca="false">AC198/N198%</f>
        <v>63.5761589403974</v>
      </c>
      <c r="AF198" s="58" t="n">
        <f aca="false">T198-AA198</f>
        <v>6.80199999999998</v>
      </c>
      <c r="AG198" s="58" t="n">
        <f aca="false">AF198/S198%</f>
        <v>36.1962537249892</v>
      </c>
      <c r="AH198" s="58" t="n">
        <f aca="false">W198</f>
        <v>36</v>
      </c>
      <c r="AI198" s="58" t="n">
        <f aca="false">J198</f>
        <v>11.99</v>
      </c>
      <c r="AJ198" s="58" t="n">
        <f aca="false">AH198-AI198</f>
        <v>24.01</v>
      </c>
      <c r="AK198" s="58" t="n">
        <f aca="false">AA198</f>
        <v>0</v>
      </c>
      <c r="AL198" s="58" t="n">
        <f aca="false">AJ198-AK198</f>
        <v>24.01</v>
      </c>
      <c r="AM198" s="58" t="n">
        <f aca="false">AL198/AH198%</f>
        <v>66.6944444444444</v>
      </c>
      <c r="AN198" s="0" t="str">
        <f aca="false">IF(ISBLANK(Z198),"","Capped")</f>
        <v/>
      </c>
      <c r="AO198" s="0" t="s">
        <v>327</v>
      </c>
      <c r="AP198" s="0" t="str">
        <f aca="false">TRIM(BA198)</f>
        <v>DDm85-27</v>
      </c>
      <c r="AQ198" s="59" t="e">
        <f aca="false">_xlfn.xlookup(A198,'SYS Allocations'!A:A,'SYS Allocations'!B:B)</f>
        <v>#NAME?</v>
      </c>
      <c r="AR198" s="59" t="e">
        <f aca="false">_xlfn.xlookup(A198,'SYS Allocations'!A:A,'SYS Allocations'!C:C)</f>
        <v>#NAME?</v>
      </c>
      <c r="AS198" s="59" t="e">
        <f aca="false">_xlfn.xlookup(A198,'SYS Allocations'!A:A,'SYS Allocations'!D:D)</f>
        <v>#NAME?</v>
      </c>
      <c r="AT198" s="59" t="e">
        <f aca="false">_xlfn.xlookup(A198,'SYS Allocations'!A:A,'SYS Allocations'!E:E)</f>
        <v>#NAME?</v>
      </c>
      <c r="AU198" s="59" t="e">
        <f aca="false">_xlfn.xlookup(A198,'SYS Allocations'!A:A,'SYS Allocations'!F:F)</f>
        <v>#NAME?</v>
      </c>
      <c r="BA198" s="0" t="str">
        <f aca="false">IFERROR(LEFT(R198,FIND("(",R198,1)-1),R198)</f>
        <v>DDm85-27</v>
      </c>
    </row>
    <row r="199" customFormat="false" ht="13.15" hidden="false" customHeight="false" outlineLevel="0" collapsed="false">
      <c r="A199" s="20" t="s">
        <v>215</v>
      </c>
      <c r="B199" s="0" t="s">
        <v>342</v>
      </c>
      <c r="C199" s="0" t="s">
        <v>744</v>
      </c>
      <c r="D199" s="0" t="s">
        <v>319</v>
      </c>
      <c r="E199" s="0" t="s">
        <v>745</v>
      </c>
      <c r="F199" s="0" t="s">
        <v>321</v>
      </c>
      <c r="G199" s="0" t="n">
        <v>36.6</v>
      </c>
      <c r="H199" s="0" t="n">
        <v>9</v>
      </c>
      <c r="I199" s="0" t="n">
        <v>39</v>
      </c>
      <c r="J199" s="0" t="n">
        <v>2.1255</v>
      </c>
      <c r="K199" s="45" t="n">
        <v>45659</v>
      </c>
      <c r="L199" s="0" t="n">
        <v>12.76608</v>
      </c>
      <c r="M199" s="0" t="n">
        <v>10.64058</v>
      </c>
      <c r="N199" s="0" t="n">
        <v>9.4721</v>
      </c>
      <c r="O199" s="0" t="n">
        <v>7.3466</v>
      </c>
      <c r="P199" s="0" t="s">
        <v>325</v>
      </c>
      <c r="Q199" s="0" t="s">
        <v>331</v>
      </c>
      <c r="R199" s="0" t="s">
        <v>365</v>
      </c>
      <c r="S199" s="0" t="n">
        <v>10.1088</v>
      </c>
      <c r="T199" s="0" t="n">
        <v>7.98329999999998</v>
      </c>
      <c r="U199" s="0" t="s">
        <v>325</v>
      </c>
      <c r="V199" s="0" t="s">
        <v>442</v>
      </c>
      <c r="W199" s="0" t="n">
        <v>11.25</v>
      </c>
      <c r="X199" s="0" t="n">
        <v>9.1245</v>
      </c>
      <c r="Y199" s="0" t="n">
        <v>35</v>
      </c>
      <c r="AB199" s="58" t="n">
        <f aca="false">M199-AA199</f>
        <v>10.64058</v>
      </c>
      <c r="AC199" s="58" t="n">
        <f aca="false">O199-AA199</f>
        <v>7.3466</v>
      </c>
      <c r="AD199" s="58" t="n">
        <f aca="false">AB199/L199%</f>
        <v>83.3504098360656</v>
      </c>
      <c r="AE199" s="58" t="n">
        <f aca="false">AC199/N199%</f>
        <v>77.560414269275</v>
      </c>
      <c r="AF199" s="58" t="n">
        <f aca="false">T199-AA199</f>
        <v>7.98329999999998</v>
      </c>
      <c r="AG199" s="58" t="n">
        <f aca="false">AF199/S199%</f>
        <v>78.9737654320986</v>
      </c>
      <c r="AH199" s="58" t="n">
        <f aca="false">W199</f>
        <v>11.25</v>
      </c>
      <c r="AI199" s="58" t="n">
        <f aca="false">J199</f>
        <v>2.1255</v>
      </c>
      <c r="AJ199" s="58" t="n">
        <f aca="false">AH199-AI199</f>
        <v>9.1245</v>
      </c>
      <c r="AK199" s="58" t="n">
        <f aca="false">AA199</f>
        <v>0</v>
      </c>
      <c r="AL199" s="58" t="n">
        <f aca="false">AJ199-AK199</f>
        <v>9.1245</v>
      </c>
      <c r="AM199" s="58" t="n">
        <f aca="false">AL199/AH199%</f>
        <v>81.1066666666667</v>
      </c>
      <c r="AN199" s="0" t="str">
        <f aca="false">IF(ISBLANK(Z199),"","Capped")</f>
        <v/>
      </c>
      <c r="AO199" s="0" t="s">
        <v>327</v>
      </c>
      <c r="AP199" s="0" t="str">
        <f aca="false">TRIM(BA199)</f>
        <v>2DDm85-15</v>
      </c>
      <c r="AQ199" s="59" t="e">
        <f aca="false">_xlfn.xlookup(A199,'SYS Allocations'!A:A,'SYS Allocations'!B:B)</f>
        <v>#NAME?</v>
      </c>
      <c r="AR199" s="59" t="e">
        <f aca="false">_xlfn.xlookup(A199,'SYS Allocations'!A:A,'SYS Allocations'!C:C)</f>
        <v>#NAME?</v>
      </c>
      <c r="AS199" s="59" t="e">
        <f aca="false">_xlfn.xlookup(A199,'SYS Allocations'!A:A,'SYS Allocations'!D:D)</f>
        <v>#NAME?</v>
      </c>
      <c r="AT199" s="59" t="e">
        <f aca="false">_xlfn.xlookup(A199,'SYS Allocations'!A:A,'SYS Allocations'!E:E)</f>
        <v>#NAME?</v>
      </c>
      <c r="AU199" s="59" t="e">
        <f aca="false">_xlfn.xlookup(A199,'SYS Allocations'!A:A,'SYS Allocations'!F:F)</f>
        <v>#NAME?</v>
      </c>
      <c r="BA199" s="0" t="str">
        <f aca="false">IFERROR(LEFT(R199,FIND("(",R199,1)-1),R199)</f>
        <v>2DDm85-15</v>
      </c>
    </row>
    <row r="200" customFormat="false" ht="13.15" hidden="false" customHeight="false" outlineLevel="0" collapsed="false">
      <c r="A200" s="20" t="s">
        <v>216</v>
      </c>
      <c r="B200" s="0" t="s">
        <v>394</v>
      </c>
      <c r="C200" s="0" t="s">
        <v>746</v>
      </c>
      <c r="D200" s="0" t="s">
        <v>319</v>
      </c>
      <c r="E200" s="0" t="s">
        <v>747</v>
      </c>
      <c r="F200" s="0" t="s">
        <v>364</v>
      </c>
      <c r="G200" s="0" t="n">
        <v>75</v>
      </c>
      <c r="H200" s="0" t="n">
        <v>8</v>
      </c>
      <c r="I200" s="0" t="n">
        <v>150</v>
      </c>
      <c r="J200" s="0" t="n">
        <v>8.175</v>
      </c>
      <c r="K200" s="45" t="n">
        <v>45505</v>
      </c>
      <c r="L200" s="0" t="n">
        <v>22.89</v>
      </c>
      <c r="M200" s="0" t="n">
        <v>14.715</v>
      </c>
      <c r="N200" s="0" t="n">
        <v>22.127</v>
      </c>
      <c r="O200" s="0" t="n">
        <v>13.952</v>
      </c>
      <c r="P200" s="0" t="s">
        <v>325</v>
      </c>
      <c r="Q200" s="0" t="s">
        <v>331</v>
      </c>
      <c r="R200" s="0" t="s">
        <v>365</v>
      </c>
      <c r="S200" s="0" t="n">
        <v>10.1088</v>
      </c>
      <c r="T200" s="0" t="n">
        <v>1.93379999999998</v>
      </c>
      <c r="U200" s="0" t="s">
        <v>337</v>
      </c>
      <c r="V200" s="0" t="s">
        <v>436</v>
      </c>
      <c r="W200" s="0" t="n">
        <v>67.5</v>
      </c>
      <c r="X200" s="0" t="n">
        <v>59.325</v>
      </c>
      <c r="Y200" s="0" t="n">
        <v>84</v>
      </c>
      <c r="AB200" s="58" t="n">
        <f aca="false">M200-AA200</f>
        <v>14.715</v>
      </c>
      <c r="AC200" s="58" t="n">
        <f aca="false">O200-AA200</f>
        <v>13.952</v>
      </c>
      <c r="AD200" s="58" t="n">
        <f aca="false">AB200/L200%</f>
        <v>64.2857142857143</v>
      </c>
      <c r="AE200" s="58" t="n">
        <f aca="false">AC200/N200%</f>
        <v>63.0541871921182</v>
      </c>
      <c r="AF200" s="58" t="n">
        <f aca="false">T200-AA200</f>
        <v>1.93379999999998</v>
      </c>
      <c r="AG200" s="58" t="n">
        <f aca="false">AF200/S200%</f>
        <v>19.1298670465335</v>
      </c>
      <c r="AH200" s="58" t="n">
        <f aca="false">W200</f>
        <v>67.5</v>
      </c>
      <c r="AI200" s="58" t="n">
        <f aca="false">J200</f>
        <v>8.175</v>
      </c>
      <c r="AJ200" s="58" t="n">
        <f aca="false">AH200-AI200</f>
        <v>59.325</v>
      </c>
      <c r="AK200" s="58" t="n">
        <f aca="false">AA200</f>
        <v>0</v>
      </c>
      <c r="AL200" s="58" t="n">
        <f aca="false">AJ200-AK200</f>
        <v>59.325</v>
      </c>
      <c r="AM200" s="58" t="n">
        <f aca="false">AL200/AH200%</f>
        <v>87.8888888888889</v>
      </c>
      <c r="AN200" s="0" t="str">
        <f aca="false">IF(ISBLANK(Z200),"","Capped")</f>
        <v/>
      </c>
      <c r="AO200" s="0" t="s">
        <v>327</v>
      </c>
      <c r="AP200" s="0" t="str">
        <f aca="false">TRIM(BA200)</f>
        <v>2DDm85-15</v>
      </c>
      <c r="AQ200" s="59" t="e">
        <f aca="false">_xlfn.xlookup(A200,'SYS Allocations'!A:A,'SYS Allocations'!B:B)</f>
        <v>#NAME?</v>
      </c>
      <c r="AR200" s="59" t="e">
        <f aca="false">_xlfn.xlookup(A200,'SYS Allocations'!A:A,'SYS Allocations'!C:C)</f>
        <v>#NAME?</v>
      </c>
      <c r="AS200" s="59" t="e">
        <f aca="false">_xlfn.xlookup(A200,'SYS Allocations'!A:A,'SYS Allocations'!D:D)</f>
        <v>#NAME?</v>
      </c>
      <c r="AT200" s="59" t="e">
        <f aca="false">_xlfn.xlookup(A200,'SYS Allocations'!A:A,'SYS Allocations'!E:E)</f>
        <v>#NAME?</v>
      </c>
      <c r="AU200" s="59" t="e">
        <f aca="false">_xlfn.xlookup(A200,'SYS Allocations'!A:A,'SYS Allocations'!F:F)</f>
        <v>#NAME?</v>
      </c>
      <c r="BA200" s="0" t="str">
        <f aca="false">IFERROR(LEFT(R200,FIND("(",R200,1)-1),R200)</f>
        <v>2DDm85-15</v>
      </c>
    </row>
    <row r="201" customFormat="false" ht="13.15" hidden="false" customHeight="false" outlineLevel="0" collapsed="false">
      <c r="A201" s="20" t="s">
        <v>217</v>
      </c>
      <c r="B201" s="0" t="s">
        <v>371</v>
      </c>
      <c r="C201" s="0" t="s">
        <v>748</v>
      </c>
      <c r="D201" s="0" t="s">
        <v>319</v>
      </c>
      <c r="E201" s="0" t="s">
        <v>749</v>
      </c>
      <c r="F201" s="0" t="s">
        <v>364</v>
      </c>
      <c r="G201" s="0" t="n">
        <v>75</v>
      </c>
      <c r="H201" s="0" t="n">
        <v>15</v>
      </c>
      <c r="I201" s="0" t="n">
        <v>290</v>
      </c>
      <c r="J201" s="0" t="n">
        <v>15.805</v>
      </c>
      <c r="K201" s="45" t="n">
        <v>45617</v>
      </c>
      <c r="L201" s="0" t="n">
        <v>45.78</v>
      </c>
      <c r="M201" s="0" t="n">
        <v>29.975</v>
      </c>
      <c r="N201" s="0" t="n">
        <v>22.345</v>
      </c>
      <c r="O201" s="0" t="n">
        <v>6.54</v>
      </c>
      <c r="P201" s="0" t="s">
        <v>337</v>
      </c>
      <c r="Q201" s="0" t="s">
        <v>331</v>
      </c>
      <c r="R201" s="0" t="s">
        <v>403</v>
      </c>
      <c r="S201" s="0" t="n">
        <v>56.2464000000001</v>
      </c>
      <c r="T201" s="0" t="n">
        <v>40.4414000000001</v>
      </c>
      <c r="U201" s="0" t="s">
        <v>326</v>
      </c>
      <c r="V201" s="0" t="s">
        <v>750</v>
      </c>
      <c r="W201" s="0" t="n">
        <v>62.25</v>
      </c>
      <c r="X201" s="0" t="n">
        <v>46.445</v>
      </c>
      <c r="Y201" s="0" t="n">
        <v>6</v>
      </c>
      <c r="AB201" s="58" t="n">
        <f aca="false">M201-AA201</f>
        <v>29.975</v>
      </c>
      <c r="AC201" s="58" t="n">
        <f aca="false">O201-AA201</f>
        <v>6.54</v>
      </c>
      <c r="AD201" s="58" t="n">
        <f aca="false">AB201/L201%</f>
        <v>65.4761904761905</v>
      </c>
      <c r="AE201" s="58" t="n">
        <f aca="false">AC201/N201%</f>
        <v>29.2682926829268</v>
      </c>
      <c r="AF201" s="58" t="n">
        <f aca="false">T201-AA201</f>
        <v>40.4414000000001</v>
      </c>
      <c r="AG201" s="58" t="n">
        <f aca="false">AF201/S201%</f>
        <v>71.9004238493486</v>
      </c>
      <c r="AH201" s="58" t="n">
        <f aca="false">W201</f>
        <v>62.25</v>
      </c>
      <c r="AI201" s="58" t="n">
        <f aca="false">J201</f>
        <v>15.805</v>
      </c>
      <c r="AJ201" s="58" t="n">
        <f aca="false">AH201-AI201</f>
        <v>46.445</v>
      </c>
      <c r="AK201" s="58" t="n">
        <f aca="false">AA201</f>
        <v>0</v>
      </c>
      <c r="AL201" s="58" t="n">
        <f aca="false">AJ201-AK201</f>
        <v>46.445</v>
      </c>
      <c r="AM201" s="58" t="n">
        <f aca="false">AL201/AH201%</f>
        <v>74.6104417670683</v>
      </c>
      <c r="AN201" s="0" t="str">
        <f aca="false">IF(ISBLANK(Z201),"","Capped")</f>
        <v/>
      </c>
      <c r="AO201" s="0" t="s">
        <v>327</v>
      </c>
      <c r="AP201" s="0" t="str">
        <f aca="false">TRIM(BA201)</f>
        <v>DDm100-33</v>
      </c>
      <c r="AQ201" s="59" t="e">
        <f aca="false">_xlfn.xlookup(A201,'SYS Allocations'!A:A,'SYS Allocations'!B:B)</f>
        <v>#NAME?</v>
      </c>
      <c r="AR201" s="59" t="e">
        <f aca="false">_xlfn.xlookup(A201,'SYS Allocations'!A:A,'SYS Allocations'!C:C)</f>
        <v>#NAME?</v>
      </c>
      <c r="AS201" s="59" t="e">
        <f aca="false">_xlfn.xlookup(A201,'SYS Allocations'!A:A,'SYS Allocations'!D:D)</f>
        <v>#NAME?</v>
      </c>
      <c r="AT201" s="59" t="e">
        <f aca="false">_xlfn.xlookup(A201,'SYS Allocations'!A:A,'SYS Allocations'!E:E)</f>
        <v>#NAME?</v>
      </c>
      <c r="AU201" s="59" t="e">
        <f aca="false">_xlfn.xlookup(A201,'SYS Allocations'!A:A,'SYS Allocations'!F:F)</f>
        <v>#NAME?</v>
      </c>
      <c r="BA201" s="0" t="str">
        <f aca="false">IFERROR(LEFT(R201,FIND("(",R201,1)-1),R201)</f>
        <v>DDm100-33</v>
      </c>
    </row>
    <row r="202" customFormat="false" ht="13.15" hidden="false" customHeight="false" outlineLevel="0" collapsed="false">
      <c r="A202" s="20" t="s">
        <v>218</v>
      </c>
      <c r="B202" s="0" t="s">
        <v>371</v>
      </c>
      <c r="C202" s="0" t="s">
        <v>748</v>
      </c>
      <c r="D202" s="0" t="s">
        <v>319</v>
      </c>
      <c r="E202" s="0" t="s">
        <v>751</v>
      </c>
      <c r="F202" s="0" t="s">
        <v>321</v>
      </c>
      <c r="G202" s="0" t="n">
        <v>36.6</v>
      </c>
      <c r="H202" s="0" t="n">
        <v>90</v>
      </c>
      <c r="I202" s="0" t="n">
        <v>1435</v>
      </c>
      <c r="J202" s="0" t="n">
        <v>78.2075</v>
      </c>
      <c r="K202" s="45" t="n">
        <v>45405</v>
      </c>
      <c r="L202" s="0" t="n">
        <v>142.02264</v>
      </c>
      <c r="M202" s="0" t="n">
        <v>63.81514</v>
      </c>
      <c r="N202" s="0" t="n">
        <v>116.4883</v>
      </c>
      <c r="O202" s="0" t="n">
        <v>38.2808</v>
      </c>
      <c r="P202" s="0" t="s">
        <v>379</v>
      </c>
      <c r="Q202" s="0" t="s">
        <v>331</v>
      </c>
      <c r="R202" s="0" t="s">
        <v>752</v>
      </c>
      <c r="S202" s="0" t="n">
        <v>155.5848</v>
      </c>
      <c r="T202" s="0" t="n">
        <v>77.3772999999998</v>
      </c>
      <c r="U202" s="0" t="s">
        <v>346</v>
      </c>
      <c r="V202" s="0" t="s">
        <v>753</v>
      </c>
      <c r="W202" s="0" t="n">
        <v>411</v>
      </c>
      <c r="X202" s="0" t="n">
        <v>332.7925</v>
      </c>
      <c r="Y202" s="0" t="n">
        <v>61</v>
      </c>
      <c r="AB202" s="58" t="n">
        <f aca="false">M202-AA202</f>
        <v>63.81514</v>
      </c>
      <c r="AC202" s="58" t="n">
        <f aca="false">O202-AA202</f>
        <v>38.2808</v>
      </c>
      <c r="AD202" s="58" t="n">
        <f aca="false">AB202/L202%</f>
        <v>44.933075458955</v>
      </c>
      <c r="AE202" s="58" t="n">
        <f aca="false">AC202/N202%</f>
        <v>32.8623561336203</v>
      </c>
      <c r="AF202" s="58" t="n">
        <f aca="false">T202-AA202</f>
        <v>77.3772999999998</v>
      </c>
      <c r="AG202" s="58" t="n">
        <f aca="false">AF202/S202%</f>
        <v>49.7332001583701</v>
      </c>
      <c r="AH202" s="60" t="n">
        <f aca="false">AVERAGE(W202:W203)</f>
        <v>411</v>
      </c>
      <c r="AI202" s="60" t="n">
        <f aca="false">SUM(J202:J203)</f>
        <v>118.374</v>
      </c>
      <c r="AJ202" s="60" t="n">
        <f aca="false">AH202-AI202</f>
        <v>292.626</v>
      </c>
      <c r="AK202" s="60" t="n">
        <f aca="false">SUM(AA202:AA203)</f>
        <v>0</v>
      </c>
      <c r="AL202" s="60" t="n">
        <f aca="false">AJ202-AK202</f>
        <v>292.626</v>
      </c>
      <c r="AM202" s="61" t="n">
        <f aca="false">AL202/AH202%</f>
        <v>71.1985401459854</v>
      </c>
      <c r="AN202" s="0" t="str">
        <f aca="false">IF(ISBLANK(Z202),"","Capped")</f>
        <v/>
      </c>
      <c r="AO202" s="0" t="s">
        <v>327</v>
      </c>
      <c r="AP202" s="0" t="str">
        <f aca="false">TRIM(BA202)</f>
        <v>DDm100-33</v>
      </c>
      <c r="AQ202" s="59" t="e">
        <f aca="false">_xlfn.xlookup(A202,'SYS Allocations'!A:A,'SYS Allocations'!B:B)</f>
        <v>#NAME?</v>
      </c>
      <c r="AR202" s="59" t="e">
        <f aca="false">_xlfn.xlookup(A202,'SYS Allocations'!A:A,'SYS Allocations'!C:C)</f>
        <v>#NAME?</v>
      </c>
      <c r="AS202" s="59" t="e">
        <f aca="false">_xlfn.xlookup(A202,'SYS Allocations'!A:A,'SYS Allocations'!D:D)</f>
        <v>#NAME?</v>
      </c>
      <c r="AT202" s="59" t="e">
        <f aca="false">_xlfn.xlookup(A202,'SYS Allocations'!A:A,'SYS Allocations'!E:E)</f>
        <v>#NAME?</v>
      </c>
      <c r="AU202" s="59" t="e">
        <f aca="false">_xlfn.xlookup(A202,'SYS Allocations'!A:A,'SYS Allocations'!F:F)</f>
        <v>#NAME?</v>
      </c>
      <c r="BA202" s="0" t="str">
        <f aca="false">IFERROR(LEFT(R202,FIND("(",R202,1)-1),R202)</f>
        <v>DDm100-33 </v>
      </c>
    </row>
    <row r="203" customFormat="false" ht="13.15" hidden="false" customHeight="false" outlineLevel="0" collapsed="false">
      <c r="A203" s="20" t="s">
        <v>219</v>
      </c>
      <c r="B203" s="0" t="s">
        <v>371</v>
      </c>
      <c r="C203" s="0" t="s">
        <v>748</v>
      </c>
      <c r="D203" s="0" t="s">
        <v>319</v>
      </c>
      <c r="E203" s="0" t="s">
        <v>751</v>
      </c>
      <c r="F203" s="0" t="s">
        <v>383</v>
      </c>
      <c r="G203" s="0" t="n">
        <v>55</v>
      </c>
      <c r="H203" s="0" t="n">
        <v>42</v>
      </c>
      <c r="I203" s="0" t="n">
        <v>737</v>
      </c>
      <c r="J203" s="0" t="n">
        <v>40.1665</v>
      </c>
      <c r="K203" s="45" t="n">
        <v>45435</v>
      </c>
      <c r="L203" s="0" t="n">
        <v>98.318</v>
      </c>
      <c r="M203" s="0" t="n">
        <v>58.1515</v>
      </c>
      <c r="N203" s="0" t="n">
        <v>90.1975</v>
      </c>
      <c r="O203" s="0" t="n">
        <v>50.031</v>
      </c>
      <c r="P203" s="0" t="s">
        <v>322</v>
      </c>
      <c r="Q203" s="0" t="s">
        <v>331</v>
      </c>
      <c r="R203" s="0" t="s">
        <v>660</v>
      </c>
      <c r="S203" s="0" t="n">
        <v>85.2120000000002</v>
      </c>
      <c r="T203" s="0" t="n">
        <v>45.0455000000002</v>
      </c>
      <c r="U203" s="0" t="s">
        <v>346</v>
      </c>
      <c r="V203" s="0" t="s">
        <v>753</v>
      </c>
      <c r="W203" s="0" t="n">
        <v>411</v>
      </c>
      <c r="X203" s="0" t="n">
        <v>370.8335</v>
      </c>
      <c r="Y203" s="0" t="n">
        <v>61</v>
      </c>
      <c r="AB203" s="58" t="n">
        <f aca="false">M203-AA203</f>
        <v>58.1515</v>
      </c>
      <c r="AC203" s="58" t="n">
        <f aca="false">O203-AA203</f>
        <v>50.031</v>
      </c>
      <c r="AD203" s="58" t="n">
        <f aca="false">AB203/L203%</f>
        <v>59.1463414634146</v>
      </c>
      <c r="AE203" s="58" t="n">
        <f aca="false">AC203/N203%</f>
        <v>55.4682779456193</v>
      </c>
      <c r="AF203" s="58" t="n">
        <f aca="false">T203-AA203</f>
        <v>45.0455000000002</v>
      </c>
      <c r="AG203" s="58" t="n">
        <f aca="false">AF203/S203%</f>
        <v>52.8628596911234</v>
      </c>
      <c r="AH203" s="60"/>
      <c r="AI203" s="60"/>
      <c r="AJ203" s="60"/>
      <c r="AK203" s="60"/>
      <c r="AL203" s="60"/>
      <c r="AM203" s="61"/>
      <c r="AN203" s="0" t="str">
        <f aca="false">IF(ISBLANK(Z203),"","Capped")</f>
        <v/>
      </c>
      <c r="AO203" s="0" t="s">
        <v>327</v>
      </c>
      <c r="AP203" s="0" t="str">
        <f aca="false">TRIM(BA203)</f>
        <v>DDm125-33</v>
      </c>
      <c r="AQ203" s="59" t="e">
        <f aca="false">_xlfn.xlookup(A203,'SYS Allocations'!A:A,'SYS Allocations'!B:B)</f>
        <v>#NAME?</v>
      </c>
      <c r="AR203" s="59" t="e">
        <f aca="false">_xlfn.xlookup(A203,'SYS Allocations'!A:A,'SYS Allocations'!C:C)</f>
        <v>#NAME?</v>
      </c>
      <c r="AS203" s="59" t="e">
        <f aca="false">_xlfn.xlookup(A203,'SYS Allocations'!A:A,'SYS Allocations'!D:D)</f>
        <v>#NAME?</v>
      </c>
      <c r="AT203" s="59" t="e">
        <f aca="false">_xlfn.xlookup(A203,'SYS Allocations'!A:A,'SYS Allocations'!E:E)</f>
        <v>#NAME?</v>
      </c>
      <c r="AU203" s="59" t="e">
        <f aca="false">_xlfn.xlookup(A203,'SYS Allocations'!A:A,'SYS Allocations'!F:F)</f>
        <v>#NAME?</v>
      </c>
      <c r="BA203" s="0" t="str">
        <f aca="false">IFERROR(LEFT(R203,FIND("(",R203,1)-1),R203)</f>
        <v>DDm125-33 </v>
      </c>
    </row>
    <row r="204" customFormat="false" ht="13.15" hidden="false" customHeight="false" outlineLevel="0" collapsed="false">
      <c r="A204" s="20" t="s">
        <v>220</v>
      </c>
      <c r="B204" s="0" t="s">
        <v>371</v>
      </c>
      <c r="C204" s="0" t="s">
        <v>748</v>
      </c>
      <c r="D204" s="0" t="s">
        <v>319</v>
      </c>
      <c r="E204" s="0" t="s">
        <v>751</v>
      </c>
      <c r="F204" s="0" t="s">
        <v>335</v>
      </c>
      <c r="G204" s="0" t="n">
        <v>31</v>
      </c>
      <c r="H204" s="0" t="n">
        <v>5</v>
      </c>
      <c r="I204" s="0" t="n">
        <v>50</v>
      </c>
      <c r="J204" s="0" t="n">
        <v>2.725</v>
      </c>
      <c r="K204" s="45" t="n">
        <v>45405</v>
      </c>
      <c r="L204" s="0" t="n">
        <v>5.4064</v>
      </c>
      <c r="M204" s="0" t="n">
        <v>2.6814</v>
      </c>
      <c r="N204" s="0" t="n">
        <v>4.578</v>
      </c>
      <c r="O204" s="0" t="n">
        <v>1.853</v>
      </c>
      <c r="P204" s="0" t="s">
        <v>337</v>
      </c>
      <c r="Q204" s="0" t="s">
        <v>331</v>
      </c>
      <c r="R204" s="0" t="s">
        <v>630</v>
      </c>
      <c r="S204" s="0" t="n">
        <v>6.14303999999998</v>
      </c>
      <c r="T204" s="0" t="n">
        <v>3.41803999999998</v>
      </c>
      <c r="U204" s="0" t="s">
        <v>346</v>
      </c>
      <c r="V204" s="0" t="s">
        <v>753</v>
      </c>
      <c r="W204" s="0" t="n">
        <v>411</v>
      </c>
      <c r="X204" s="0" t="n">
        <v>408.275</v>
      </c>
      <c r="Y204" s="0" t="n">
        <v>61</v>
      </c>
      <c r="AB204" s="58" t="n">
        <f aca="false">M204-AA204</f>
        <v>2.6814</v>
      </c>
      <c r="AC204" s="58" t="n">
        <f aca="false">O204-AA204</f>
        <v>1.853</v>
      </c>
      <c r="AD204" s="58" t="n">
        <f aca="false">AB204/L204%</f>
        <v>49.5967741935484</v>
      </c>
      <c r="AE204" s="58" t="n">
        <f aca="false">AC204/N204%</f>
        <v>40.4761904761905</v>
      </c>
      <c r="AF204" s="58" t="n">
        <f aca="false">T204-AA204</f>
        <v>3.41803999999998</v>
      </c>
      <c r="AG204" s="58" t="n">
        <f aca="false">AF204/S204%</f>
        <v>55.6408553419804</v>
      </c>
      <c r="AH204" s="58" t="n">
        <f aca="false">W204</f>
        <v>411</v>
      </c>
      <c r="AI204" s="58" t="n">
        <f aca="false">J204</f>
        <v>2.725</v>
      </c>
      <c r="AJ204" s="58" t="n">
        <f aca="false">AH204-AI204</f>
        <v>408.275</v>
      </c>
      <c r="AK204" s="58" t="n">
        <f aca="false">AA204</f>
        <v>0</v>
      </c>
      <c r="AL204" s="58" t="n">
        <f aca="false">AJ204-AK204</f>
        <v>408.275</v>
      </c>
      <c r="AM204" s="58" t="n">
        <f aca="false">AL204/AH204%</f>
        <v>99.3369829683698</v>
      </c>
      <c r="AN204" s="0" t="str">
        <f aca="false">IF(ISBLANK(Z204),"","Capped")</f>
        <v/>
      </c>
      <c r="AO204" s="0" t="s">
        <v>327</v>
      </c>
      <c r="AP204" s="0" t="str">
        <f aca="false">TRIM(BA204)</f>
        <v>12V101F</v>
      </c>
      <c r="AQ204" s="59" t="e">
        <f aca="false">_xlfn.xlookup(A204,'SYS Allocations'!A:A,'SYS Allocations'!B:B)</f>
        <v>#NAME?</v>
      </c>
      <c r="AR204" s="59" t="e">
        <f aca="false">_xlfn.xlookup(A204,'SYS Allocations'!A:A,'SYS Allocations'!C:C)</f>
        <v>#NAME?</v>
      </c>
      <c r="AS204" s="59" t="e">
        <f aca="false">_xlfn.xlookup(A204,'SYS Allocations'!A:A,'SYS Allocations'!D:D)</f>
        <v>#NAME?</v>
      </c>
      <c r="AT204" s="59" t="e">
        <f aca="false">_xlfn.xlookup(A204,'SYS Allocations'!A:A,'SYS Allocations'!E:E)</f>
        <v>#NAME?</v>
      </c>
      <c r="AU204" s="59" t="e">
        <f aca="false">_xlfn.xlookup(A204,'SYS Allocations'!A:A,'SYS Allocations'!F:F)</f>
        <v>#NAME?</v>
      </c>
      <c r="BA204" s="0" t="str">
        <f aca="false">IFERROR(LEFT(R204,FIND("(",R204,1)-1),R204)</f>
        <v>12V101F </v>
      </c>
    </row>
    <row r="205" customFormat="false" ht="13.15" hidden="false" customHeight="false" outlineLevel="0" collapsed="false">
      <c r="A205" s="20" t="s">
        <v>221</v>
      </c>
      <c r="B205" s="0" t="s">
        <v>371</v>
      </c>
      <c r="C205" s="0" t="s">
        <v>748</v>
      </c>
      <c r="D205" s="0" t="s">
        <v>319</v>
      </c>
      <c r="E205" s="0" t="s">
        <v>754</v>
      </c>
      <c r="F205" s="0" t="s">
        <v>321</v>
      </c>
      <c r="G205" s="0" t="n">
        <v>36.6</v>
      </c>
      <c r="H205" s="0" t="n">
        <v>18</v>
      </c>
      <c r="I205" s="0" t="n">
        <v>147</v>
      </c>
      <c r="J205" s="0" t="n">
        <v>8.0115</v>
      </c>
      <c r="K205" s="45" t="n">
        <v>45329</v>
      </c>
      <c r="L205" s="0" t="n">
        <v>27.12792</v>
      </c>
      <c r="M205" s="0" t="n">
        <v>19.11642</v>
      </c>
      <c r="N205" s="0" t="n">
        <v>24.6449</v>
      </c>
      <c r="O205" s="0" t="n">
        <v>16.6334</v>
      </c>
      <c r="P205" s="0" t="s">
        <v>325</v>
      </c>
      <c r="Q205" s="0" t="s">
        <v>331</v>
      </c>
      <c r="R205" s="0" t="s">
        <v>755</v>
      </c>
      <c r="S205" s="0" t="n">
        <v>23.0256</v>
      </c>
      <c r="T205" s="0" t="n">
        <v>15.0141</v>
      </c>
      <c r="U205" s="0" t="s">
        <v>325</v>
      </c>
      <c r="V205" s="0" t="s">
        <v>399</v>
      </c>
      <c r="W205" s="0" t="n">
        <v>37.5</v>
      </c>
      <c r="X205" s="0" t="n">
        <v>29.4885</v>
      </c>
      <c r="Y205" s="0" t="n">
        <v>4</v>
      </c>
      <c r="AB205" s="58" t="n">
        <f aca="false">M205-AA205</f>
        <v>19.11642</v>
      </c>
      <c r="AC205" s="58" t="n">
        <f aca="false">O205-AA205</f>
        <v>16.6334</v>
      </c>
      <c r="AD205" s="58" t="n">
        <f aca="false">AB205/L205%</f>
        <v>70.4676952748312</v>
      </c>
      <c r="AE205" s="58" t="n">
        <f aca="false">AC205/N205%</f>
        <v>67.4922600619195</v>
      </c>
      <c r="AF205" s="58" t="n">
        <f aca="false">T205-AA205</f>
        <v>15.0141</v>
      </c>
      <c r="AG205" s="58" t="n">
        <f aca="false">AF205/S205%</f>
        <v>65.2061184073379</v>
      </c>
      <c r="AH205" s="58" t="n">
        <f aca="false">W205</f>
        <v>37.5</v>
      </c>
      <c r="AI205" s="58" t="n">
        <f aca="false">J205</f>
        <v>8.0115</v>
      </c>
      <c r="AJ205" s="58" t="n">
        <f aca="false">AH205-AI205</f>
        <v>29.4885</v>
      </c>
      <c r="AK205" s="58" t="n">
        <f aca="false">AA205</f>
        <v>0</v>
      </c>
      <c r="AL205" s="58" t="n">
        <f aca="false">AJ205-AK205</f>
        <v>29.4885</v>
      </c>
      <c r="AM205" s="58" t="n">
        <f aca="false">AL205/AH205%</f>
        <v>78.636</v>
      </c>
      <c r="AN205" s="0" t="str">
        <f aca="false">IF(ISBLANK(Z205),"","Capped")</f>
        <v/>
      </c>
      <c r="AO205" s="0" t="s">
        <v>327</v>
      </c>
      <c r="AP205" s="0" t="str">
        <f aca="false">TRIM(BA205)</f>
        <v>DDm85-21</v>
      </c>
      <c r="AQ205" s="59" t="e">
        <f aca="false">_xlfn.xlookup(A205,'SYS Allocations'!A:A,'SYS Allocations'!B:B)</f>
        <v>#NAME?</v>
      </c>
      <c r="AR205" s="59" t="e">
        <f aca="false">_xlfn.xlookup(A205,'SYS Allocations'!A:A,'SYS Allocations'!C:C)</f>
        <v>#NAME?</v>
      </c>
      <c r="AS205" s="59" t="e">
        <f aca="false">_xlfn.xlookup(A205,'SYS Allocations'!A:A,'SYS Allocations'!D:D)</f>
        <v>#NAME?</v>
      </c>
      <c r="AT205" s="59" t="e">
        <f aca="false">_xlfn.xlookup(A205,'SYS Allocations'!A:A,'SYS Allocations'!E:E)</f>
        <v>#NAME?</v>
      </c>
      <c r="AU205" s="59" t="e">
        <f aca="false">_xlfn.xlookup(A205,'SYS Allocations'!A:A,'SYS Allocations'!F:F)</f>
        <v>#NAME?</v>
      </c>
      <c r="BA205" s="0" t="str">
        <f aca="false">IFERROR(LEFT(R205,FIND("(",R205,1)-1),R205)</f>
        <v>DDm85-21</v>
      </c>
    </row>
    <row r="206" customFormat="false" ht="13.15" hidden="false" customHeight="false" outlineLevel="0" collapsed="false">
      <c r="A206" s="20" t="s">
        <v>222</v>
      </c>
      <c r="B206" s="0" t="s">
        <v>394</v>
      </c>
      <c r="C206" s="0" t="s">
        <v>756</v>
      </c>
      <c r="D206" s="0" t="s">
        <v>319</v>
      </c>
      <c r="E206" s="0" t="s">
        <v>757</v>
      </c>
      <c r="F206" s="0" t="s">
        <v>321</v>
      </c>
      <c r="G206" s="0" t="n">
        <v>36.6</v>
      </c>
      <c r="H206" s="0" t="n">
        <v>30</v>
      </c>
      <c r="I206" s="0" t="n">
        <v>356</v>
      </c>
      <c r="J206" s="0" t="n">
        <v>19.402</v>
      </c>
      <c r="K206" s="45" t="n">
        <v>45659</v>
      </c>
      <c r="L206" s="0" t="n">
        <v>46.27704</v>
      </c>
      <c r="M206" s="0" t="n">
        <v>26.87504</v>
      </c>
      <c r="N206" s="0" t="n">
        <v>36.0463</v>
      </c>
      <c r="O206" s="0" t="n">
        <v>16.6443</v>
      </c>
      <c r="P206" s="0" t="s">
        <v>325</v>
      </c>
      <c r="Q206" s="0" t="s">
        <v>331</v>
      </c>
      <c r="R206" s="0" t="s">
        <v>345</v>
      </c>
      <c r="S206" s="0" t="n">
        <v>35.5536</v>
      </c>
      <c r="T206" s="0" t="n">
        <v>16.1516</v>
      </c>
      <c r="U206" s="0" t="s">
        <v>446</v>
      </c>
      <c r="V206" s="0" t="s">
        <v>596</v>
      </c>
      <c r="W206" s="0" t="n">
        <v>63</v>
      </c>
      <c r="X206" s="0" t="n">
        <v>43.598</v>
      </c>
      <c r="Y206" s="0" t="n">
        <v>6</v>
      </c>
      <c r="AB206" s="58" t="n">
        <f aca="false">M206-AA206</f>
        <v>26.87504</v>
      </c>
      <c r="AC206" s="58" t="n">
        <f aca="false">O206-AA206</f>
        <v>16.6443</v>
      </c>
      <c r="AD206" s="58" t="n">
        <f aca="false">AB206/L206%</f>
        <v>58.0742415677407</v>
      </c>
      <c r="AE206" s="58" t="n">
        <f aca="false">AC206/N206%</f>
        <v>46.1747807680677</v>
      </c>
      <c r="AF206" s="58" t="n">
        <f aca="false">T206-AA206</f>
        <v>16.1516</v>
      </c>
      <c r="AG206" s="58" t="n">
        <f aca="false">AF206/S206%</f>
        <v>45.4288735880473</v>
      </c>
      <c r="AH206" s="58" t="n">
        <f aca="false">W206</f>
        <v>63</v>
      </c>
      <c r="AI206" s="58" t="n">
        <f aca="false">J206</f>
        <v>19.402</v>
      </c>
      <c r="AJ206" s="58" t="n">
        <f aca="false">AH206-AI206</f>
        <v>43.598</v>
      </c>
      <c r="AK206" s="58" t="n">
        <f aca="false">AA206</f>
        <v>0</v>
      </c>
      <c r="AL206" s="58" t="n">
        <f aca="false">AJ206-AK206</f>
        <v>43.598</v>
      </c>
      <c r="AM206" s="58" t="n">
        <f aca="false">AL206/AH206%</f>
        <v>69.2031746031746</v>
      </c>
      <c r="AN206" s="0" t="str">
        <f aca="false">IF(ISBLANK(Z206),"","Capped")</f>
        <v/>
      </c>
      <c r="AO206" s="0" t="s">
        <v>327</v>
      </c>
      <c r="AP206" s="0" t="str">
        <f aca="false">TRIM(BA206)</f>
        <v>DDm125-33</v>
      </c>
      <c r="AQ206" s="59" t="e">
        <f aca="false">_xlfn.xlookup(A206,'SYS Allocations'!A:A,'SYS Allocations'!B:B)</f>
        <v>#NAME?</v>
      </c>
      <c r="AR206" s="59" t="e">
        <f aca="false">_xlfn.xlookup(A206,'SYS Allocations'!A:A,'SYS Allocations'!C:C)</f>
        <v>#NAME?</v>
      </c>
      <c r="AS206" s="59" t="e">
        <f aca="false">_xlfn.xlookup(A206,'SYS Allocations'!A:A,'SYS Allocations'!D:D)</f>
        <v>#NAME?</v>
      </c>
      <c r="AT206" s="59" t="e">
        <f aca="false">_xlfn.xlookup(A206,'SYS Allocations'!A:A,'SYS Allocations'!E:E)</f>
        <v>#NAME?</v>
      </c>
      <c r="AU206" s="59" t="e">
        <f aca="false">_xlfn.xlookup(A206,'SYS Allocations'!A:A,'SYS Allocations'!F:F)</f>
        <v>#NAME?</v>
      </c>
      <c r="BA206" s="0" t="str">
        <f aca="false">IFERROR(LEFT(R206,FIND("(",R206,1)-1),R206)</f>
        <v>DDm125-33</v>
      </c>
    </row>
    <row r="207" customFormat="false" ht="13.15" hidden="false" customHeight="false" outlineLevel="0" collapsed="false">
      <c r="A207" s="20" t="s">
        <v>223</v>
      </c>
      <c r="B207" s="0" t="s">
        <v>394</v>
      </c>
      <c r="C207" s="0" t="s">
        <v>756</v>
      </c>
      <c r="D207" s="0" t="s">
        <v>319</v>
      </c>
      <c r="E207" s="0" t="s">
        <v>758</v>
      </c>
      <c r="F207" s="0" t="s">
        <v>321</v>
      </c>
      <c r="G207" s="0" t="n">
        <v>36.6</v>
      </c>
      <c r="H207" s="0" t="n">
        <v>26</v>
      </c>
      <c r="I207" s="0" t="n">
        <v>251</v>
      </c>
      <c r="J207" s="0" t="n">
        <v>13.6795</v>
      </c>
      <c r="K207" s="45" t="n">
        <v>45659</v>
      </c>
      <c r="L207" s="0" t="n">
        <v>39.894</v>
      </c>
      <c r="M207" s="0" t="n">
        <v>26.2145</v>
      </c>
      <c r="N207" s="0" t="n">
        <v>28.0675</v>
      </c>
      <c r="O207" s="0" t="n">
        <v>14.388</v>
      </c>
      <c r="P207" s="0" t="s">
        <v>325</v>
      </c>
      <c r="Q207" s="0" t="s">
        <v>331</v>
      </c>
      <c r="R207" s="0" t="s">
        <v>345</v>
      </c>
      <c r="S207" s="0" t="n">
        <v>35.5536</v>
      </c>
      <c r="T207" s="0" t="n">
        <v>21.8741</v>
      </c>
      <c r="U207" s="0" t="s">
        <v>374</v>
      </c>
      <c r="V207" s="0" t="s">
        <v>366</v>
      </c>
      <c r="W207" s="0" t="n">
        <v>112.5</v>
      </c>
      <c r="X207" s="0" t="n">
        <v>98.8205</v>
      </c>
      <c r="Y207" s="0" t="n">
        <v>21</v>
      </c>
      <c r="AB207" s="58" t="n">
        <f aca="false">M207-AA207</f>
        <v>26.2145</v>
      </c>
      <c r="AC207" s="58" t="n">
        <f aca="false">O207-AA207</f>
        <v>14.388</v>
      </c>
      <c r="AD207" s="58" t="n">
        <f aca="false">AB207/L207%</f>
        <v>65.7103825136612</v>
      </c>
      <c r="AE207" s="58" t="n">
        <f aca="false">AC207/N207%</f>
        <v>51.2621359223301</v>
      </c>
      <c r="AF207" s="58" t="n">
        <f aca="false">T207-AA207</f>
        <v>21.8741</v>
      </c>
      <c r="AG207" s="58" t="n">
        <f aca="false">AF207/S207%</f>
        <v>61.5242900859547</v>
      </c>
      <c r="AH207" s="58" t="n">
        <f aca="false">W207</f>
        <v>112.5</v>
      </c>
      <c r="AI207" s="58" t="n">
        <f aca="false">J207</f>
        <v>13.6795</v>
      </c>
      <c r="AJ207" s="58" t="n">
        <f aca="false">AH207-AI207</f>
        <v>98.8205</v>
      </c>
      <c r="AK207" s="58" t="n">
        <f aca="false">AA207</f>
        <v>0</v>
      </c>
      <c r="AL207" s="58" t="n">
        <f aca="false">AJ207-AK207</f>
        <v>98.8205</v>
      </c>
      <c r="AM207" s="58" t="n">
        <f aca="false">AL207/AH207%</f>
        <v>87.8404444444444</v>
      </c>
      <c r="AN207" s="0" t="str">
        <f aca="false">IF(ISBLANK(Z207),"","Capped")</f>
        <v/>
      </c>
      <c r="AO207" s="0" t="s">
        <v>327</v>
      </c>
      <c r="AP207" s="0" t="str">
        <f aca="false">TRIM(BA207)</f>
        <v>DDm125-33</v>
      </c>
      <c r="AQ207" s="59" t="e">
        <f aca="false">_xlfn.xlookup(A207,'SYS Allocations'!A:A,'SYS Allocations'!B:B)</f>
        <v>#NAME?</v>
      </c>
      <c r="AR207" s="59" t="e">
        <f aca="false">_xlfn.xlookup(A207,'SYS Allocations'!A:A,'SYS Allocations'!C:C)</f>
        <v>#NAME?</v>
      </c>
      <c r="AS207" s="59" t="e">
        <f aca="false">_xlfn.xlookup(A207,'SYS Allocations'!A:A,'SYS Allocations'!D:D)</f>
        <v>#NAME?</v>
      </c>
      <c r="AT207" s="59" t="e">
        <f aca="false">_xlfn.xlookup(A207,'SYS Allocations'!A:A,'SYS Allocations'!E:E)</f>
        <v>#NAME?</v>
      </c>
      <c r="AU207" s="59" t="e">
        <f aca="false">_xlfn.xlookup(A207,'SYS Allocations'!A:A,'SYS Allocations'!F:F)</f>
        <v>#NAME?</v>
      </c>
      <c r="BA207" s="0" t="str">
        <f aca="false">IFERROR(LEFT(R207,FIND("(",R207,1)-1),R207)</f>
        <v>DDm125-33</v>
      </c>
    </row>
    <row r="208" customFormat="false" ht="13.15" hidden="false" customHeight="false" outlineLevel="0" collapsed="false">
      <c r="A208" s="20" t="s">
        <v>224</v>
      </c>
      <c r="B208" s="0" t="s">
        <v>437</v>
      </c>
      <c r="C208" s="0" t="s">
        <v>759</v>
      </c>
      <c r="D208" s="0" t="s">
        <v>319</v>
      </c>
      <c r="E208" s="0" t="s">
        <v>760</v>
      </c>
      <c r="F208" s="0" t="s">
        <v>321</v>
      </c>
      <c r="G208" s="0" t="n">
        <v>36.6</v>
      </c>
      <c r="H208" s="0" t="n">
        <v>37</v>
      </c>
      <c r="I208" s="0" t="n">
        <v>449</v>
      </c>
      <c r="J208" s="0" t="n">
        <v>24.4705</v>
      </c>
      <c r="K208" s="45" t="n">
        <v>45659</v>
      </c>
      <c r="L208" s="0" t="n">
        <v>57.44736</v>
      </c>
      <c r="M208" s="0" t="n">
        <v>32.97686</v>
      </c>
      <c r="N208" s="0" t="n">
        <v>39.1092</v>
      </c>
      <c r="O208" s="0" t="n">
        <v>14.6387</v>
      </c>
      <c r="P208" s="0" t="s">
        <v>322</v>
      </c>
      <c r="Q208" s="0" t="s">
        <v>331</v>
      </c>
      <c r="R208" s="0" t="s">
        <v>345</v>
      </c>
      <c r="S208" s="0" t="n">
        <v>53.3304</v>
      </c>
      <c r="T208" s="0" t="n">
        <v>28.8599</v>
      </c>
      <c r="U208" s="0" t="s">
        <v>428</v>
      </c>
      <c r="V208" s="0" t="s">
        <v>761</v>
      </c>
      <c r="W208" s="0" t="n">
        <v>84.375</v>
      </c>
      <c r="X208" s="0" t="n">
        <v>59.9045</v>
      </c>
      <c r="Y208" s="0" t="n">
        <v>69</v>
      </c>
      <c r="AB208" s="58" t="n">
        <f aca="false">M208-AA208</f>
        <v>32.97686</v>
      </c>
      <c r="AC208" s="58" t="n">
        <f aca="false">O208-AA208</f>
        <v>14.6387</v>
      </c>
      <c r="AD208" s="58" t="n">
        <f aca="false">AB208/L208%</f>
        <v>57.4036126290225</v>
      </c>
      <c r="AE208" s="58" t="n">
        <f aca="false">AC208/N208%</f>
        <v>37.4303232998885</v>
      </c>
      <c r="AF208" s="58" t="n">
        <f aca="false">T208-AA208</f>
        <v>28.8599</v>
      </c>
      <c r="AG208" s="58" t="n">
        <f aca="false">AF208/S208%</f>
        <v>54.1152888408863</v>
      </c>
      <c r="AH208" s="58" t="n">
        <f aca="false">W208</f>
        <v>84.375</v>
      </c>
      <c r="AI208" s="58" t="n">
        <f aca="false">J208</f>
        <v>24.4705</v>
      </c>
      <c r="AJ208" s="58" t="n">
        <f aca="false">AH208-AI208</f>
        <v>59.9045</v>
      </c>
      <c r="AK208" s="58" t="n">
        <f aca="false">AA208</f>
        <v>0</v>
      </c>
      <c r="AL208" s="58" t="n">
        <f aca="false">AJ208-AK208</f>
        <v>59.9045</v>
      </c>
      <c r="AM208" s="58" t="n">
        <f aca="false">AL208/AH208%</f>
        <v>70.9979259259259</v>
      </c>
      <c r="AN208" s="0" t="str">
        <f aca="false">IF(ISBLANK(Z208),"","Capped")</f>
        <v/>
      </c>
      <c r="AO208" s="0" t="s">
        <v>327</v>
      </c>
      <c r="AP208" s="0" t="str">
        <f aca="false">TRIM(BA208)</f>
        <v>DDm125-33</v>
      </c>
      <c r="AQ208" s="59" t="e">
        <f aca="false">_xlfn.xlookup(A208,'SYS Allocations'!A:A,'SYS Allocations'!B:B)</f>
        <v>#NAME?</v>
      </c>
      <c r="AR208" s="59" t="e">
        <f aca="false">_xlfn.xlookup(A208,'SYS Allocations'!A:A,'SYS Allocations'!C:C)</f>
        <v>#NAME?</v>
      </c>
      <c r="AS208" s="59" t="e">
        <f aca="false">_xlfn.xlookup(A208,'SYS Allocations'!A:A,'SYS Allocations'!D:D)</f>
        <v>#NAME?</v>
      </c>
      <c r="AT208" s="59" t="e">
        <f aca="false">_xlfn.xlookup(A208,'SYS Allocations'!A:A,'SYS Allocations'!E:E)</f>
        <v>#NAME?</v>
      </c>
      <c r="AU208" s="59" t="e">
        <f aca="false">_xlfn.xlookup(A208,'SYS Allocations'!A:A,'SYS Allocations'!F:F)</f>
        <v>#NAME?</v>
      </c>
      <c r="BA208" s="0" t="str">
        <f aca="false">IFERROR(LEFT(R208,FIND("(",R208,1)-1),R208)</f>
        <v>DDm125-33</v>
      </c>
    </row>
    <row r="209" customFormat="false" ht="13.15" hidden="false" customHeight="false" outlineLevel="0" collapsed="false">
      <c r="A209" s="20" t="s">
        <v>225</v>
      </c>
      <c r="B209" s="0" t="s">
        <v>361</v>
      </c>
      <c r="C209" s="0" t="s">
        <v>762</v>
      </c>
      <c r="D209" s="0" t="s">
        <v>319</v>
      </c>
      <c r="E209" s="0" t="s">
        <v>763</v>
      </c>
      <c r="F209" s="0" t="s">
        <v>321</v>
      </c>
      <c r="G209" s="0" t="n">
        <v>36.6</v>
      </c>
      <c r="H209" s="0" t="n">
        <v>42</v>
      </c>
      <c r="I209" s="0" t="n">
        <v>499</v>
      </c>
      <c r="J209" s="0" t="n">
        <v>27.1955</v>
      </c>
      <c r="K209" s="45" t="n">
        <v>45659</v>
      </c>
      <c r="L209" s="0" t="n">
        <v>65.42616</v>
      </c>
      <c r="M209" s="0" t="n">
        <v>38.23066</v>
      </c>
      <c r="N209" s="0" t="n">
        <v>49.0827</v>
      </c>
      <c r="O209" s="0" t="n">
        <v>21.8872</v>
      </c>
      <c r="P209" s="0" t="s">
        <v>322</v>
      </c>
      <c r="Q209" s="0" t="s">
        <v>331</v>
      </c>
      <c r="R209" s="0" t="s">
        <v>345</v>
      </c>
      <c r="S209" s="0" t="n">
        <v>53.3304</v>
      </c>
      <c r="T209" s="0" t="n">
        <v>26.1349</v>
      </c>
      <c r="U209" s="0" t="s">
        <v>446</v>
      </c>
      <c r="V209" s="0" t="s">
        <v>596</v>
      </c>
      <c r="W209" s="0" t="n">
        <v>63</v>
      </c>
      <c r="X209" s="0" t="n">
        <v>35.8045</v>
      </c>
      <c r="Y209" s="0" t="n">
        <v>13</v>
      </c>
      <c r="AB209" s="58" t="n">
        <f aca="false">M209-AA209</f>
        <v>38.23066</v>
      </c>
      <c r="AC209" s="58" t="n">
        <f aca="false">O209-AA209</f>
        <v>21.8872</v>
      </c>
      <c r="AD209" s="58" t="n">
        <f aca="false">AB209/L209%</f>
        <v>58.4332933493269</v>
      </c>
      <c r="AE209" s="58" t="n">
        <f aca="false">AC209/N209%</f>
        <v>44.5924938929602</v>
      </c>
      <c r="AF209" s="58" t="n">
        <f aca="false">T209-AA209</f>
        <v>26.1349</v>
      </c>
      <c r="AG209" s="58" t="n">
        <f aca="false">AF209/S209%</f>
        <v>49.0056328098045</v>
      </c>
      <c r="AH209" s="58" t="n">
        <f aca="false">W209</f>
        <v>63</v>
      </c>
      <c r="AI209" s="58" t="n">
        <f aca="false">J209</f>
        <v>27.1955</v>
      </c>
      <c r="AJ209" s="58" t="n">
        <f aca="false">AH209-AI209</f>
        <v>35.8045</v>
      </c>
      <c r="AK209" s="58" t="n">
        <f aca="false">AA209</f>
        <v>0</v>
      </c>
      <c r="AL209" s="58" t="n">
        <f aca="false">AJ209-AK209</f>
        <v>35.8045</v>
      </c>
      <c r="AM209" s="58" t="n">
        <f aca="false">AL209/AH209%</f>
        <v>56.8325396825397</v>
      </c>
      <c r="AN209" s="0" t="str">
        <f aca="false">IF(ISBLANK(Z209),"","Capped")</f>
        <v/>
      </c>
      <c r="AO209" s="0" t="s">
        <v>327</v>
      </c>
      <c r="AP209" s="0" t="str">
        <f aca="false">TRIM(BA209)</f>
        <v>DDm125-33</v>
      </c>
      <c r="AQ209" s="59" t="e">
        <f aca="false">_xlfn.xlookup(A209,'SYS Allocations'!A:A,'SYS Allocations'!B:B)</f>
        <v>#NAME?</v>
      </c>
      <c r="AR209" s="59" t="e">
        <f aca="false">_xlfn.xlookup(A209,'SYS Allocations'!A:A,'SYS Allocations'!C:C)</f>
        <v>#NAME?</v>
      </c>
      <c r="AS209" s="59" t="e">
        <f aca="false">_xlfn.xlookup(A209,'SYS Allocations'!A:A,'SYS Allocations'!D:D)</f>
        <v>#NAME?</v>
      </c>
      <c r="AT209" s="59" t="e">
        <f aca="false">_xlfn.xlookup(A209,'SYS Allocations'!A:A,'SYS Allocations'!E:E)</f>
        <v>#NAME?</v>
      </c>
      <c r="AU209" s="59" t="e">
        <f aca="false">_xlfn.xlookup(A209,'SYS Allocations'!A:A,'SYS Allocations'!F:F)</f>
        <v>#NAME?</v>
      </c>
      <c r="BA209" s="0" t="str">
        <f aca="false">IFERROR(LEFT(R209,FIND("(",R209,1)-1),R209)</f>
        <v>DDm125-33</v>
      </c>
    </row>
    <row r="210" customFormat="false" ht="13.15" hidden="false" customHeight="false" outlineLevel="0" collapsed="false">
      <c r="A210" s="20" t="s">
        <v>226</v>
      </c>
      <c r="B210" s="0" t="s">
        <v>342</v>
      </c>
      <c r="C210" s="0" t="s">
        <v>342</v>
      </c>
      <c r="D210" s="0" t="s">
        <v>390</v>
      </c>
      <c r="E210" s="0" t="s">
        <v>764</v>
      </c>
      <c r="F210" s="0" t="s">
        <v>364</v>
      </c>
      <c r="G210" s="0" t="n">
        <v>75</v>
      </c>
      <c r="H210" s="0" t="n">
        <v>18</v>
      </c>
      <c r="I210" s="0" t="n">
        <v>421</v>
      </c>
      <c r="J210" s="0" t="n">
        <v>22.9445</v>
      </c>
      <c r="K210" s="45" t="n">
        <v>45659</v>
      </c>
      <c r="L210" s="0" t="n">
        <v>55.59</v>
      </c>
      <c r="M210" s="0" t="n">
        <v>32.6455</v>
      </c>
      <c r="N210" s="0" t="n">
        <v>48.2325</v>
      </c>
      <c r="O210" s="0" t="n">
        <v>25.288</v>
      </c>
      <c r="P210" s="0" t="s">
        <v>322</v>
      </c>
      <c r="Q210" s="0" t="s">
        <v>331</v>
      </c>
      <c r="R210" s="0" t="s">
        <v>340</v>
      </c>
      <c r="S210" s="0" t="n">
        <v>34.2792</v>
      </c>
      <c r="T210" s="0" t="n">
        <v>11.3347</v>
      </c>
      <c r="U210" s="0" t="s">
        <v>322</v>
      </c>
      <c r="V210" s="0" t="s">
        <v>570</v>
      </c>
      <c r="W210" s="0" t="n">
        <v>105</v>
      </c>
      <c r="X210" s="0" t="n">
        <v>82.0555</v>
      </c>
      <c r="Y210" s="0" t="n">
        <v>3</v>
      </c>
      <c r="Z210" s="0" t="s">
        <v>8</v>
      </c>
      <c r="AB210" s="58" t="n">
        <f aca="false">M210-AA210</f>
        <v>32.6455</v>
      </c>
      <c r="AC210" s="58" t="n">
        <f aca="false">O210-AA210</f>
        <v>25.288</v>
      </c>
      <c r="AD210" s="58" t="n">
        <f aca="false">AB210/L210%</f>
        <v>58.7254901960784</v>
      </c>
      <c r="AE210" s="58" t="n">
        <f aca="false">AC210/N210%</f>
        <v>52.4293785310734</v>
      </c>
      <c r="AF210" s="58" t="n">
        <f aca="false">T210-AA210</f>
        <v>11.3347</v>
      </c>
      <c r="AG210" s="58" t="n">
        <f aca="false">AF210/S210%</f>
        <v>33.0658241732596</v>
      </c>
      <c r="AH210" s="58" t="n">
        <f aca="false">W210</f>
        <v>105</v>
      </c>
      <c r="AI210" s="58" t="n">
        <f aca="false">J210</f>
        <v>22.9445</v>
      </c>
      <c r="AJ210" s="58" t="n">
        <f aca="false">AH210-AI210</f>
        <v>82.0555</v>
      </c>
      <c r="AK210" s="58" t="n">
        <f aca="false">AA210</f>
        <v>0</v>
      </c>
      <c r="AL210" s="58" t="n">
        <f aca="false">AJ210-AK210</f>
        <v>82.0555</v>
      </c>
      <c r="AM210" s="58" t="n">
        <f aca="false">AL210/AH210%</f>
        <v>78.1480952380952</v>
      </c>
      <c r="AN210" s="0" t="str">
        <f aca="false">IF(ISBLANK(Z210),"","Capped")</f>
        <v>Capped</v>
      </c>
      <c r="AO210" s="0" t="s">
        <v>327</v>
      </c>
      <c r="AP210" s="0" t="str">
        <f aca="false">TRIM(BA210)</f>
        <v>DDm100-27</v>
      </c>
      <c r="AQ210" s="59" t="e">
        <f aca="false">_xlfn.xlookup(A210,'SYS Allocations'!A:A,'SYS Allocations'!B:B)</f>
        <v>#NAME?</v>
      </c>
      <c r="AR210" s="59" t="e">
        <f aca="false">_xlfn.xlookup(A210,'SYS Allocations'!A:A,'SYS Allocations'!C:C)</f>
        <v>#NAME?</v>
      </c>
      <c r="AS210" s="59" t="e">
        <f aca="false">_xlfn.xlookup(A210,'SYS Allocations'!A:A,'SYS Allocations'!D:D)</f>
        <v>#NAME?</v>
      </c>
      <c r="AT210" s="59" t="e">
        <f aca="false">_xlfn.xlookup(A210,'SYS Allocations'!A:A,'SYS Allocations'!E:E)</f>
        <v>#NAME?</v>
      </c>
      <c r="AU210" s="59" t="e">
        <f aca="false">_xlfn.xlookup(A210,'SYS Allocations'!A:A,'SYS Allocations'!F:F)</f>
        <v>#NAME?</v>
      </c>
      <c r="BA210" s="0" t="str">
        <f aca="false">IFERROR(LEFT(R210,FIND("(",R210,1)-1),R210)</f>
        <v>DDm100-27</v>
      </c>
    </row>
    <row r="211" customFormat="false" ht="13.15" hidden="false" customHeight="false" outlineLevel="0" collapsed="false">
      <c r="A211" s="20" t="s">
        <v>227</v>
      </c>
      <c r="B211" s="0" t="s">
        <v>394</v>
      </c>
      <c r="C211" s="0" t="s">
        <v>765</v>
      </c>
      <c r="D211" s="0" t="s">
        <v>319</v>
      </c>
      <c r="E211" s="0" t="s">
        <v>766</v>
      </c>
      <c r="F211" s="0" t="s">
        <v>701</v>
      </c>
      <c r="G211" s="0" t="n">
        <v>60.4</v>
      </c>
      <c r="H211" s="0" t="n">
        <v>6</v>
      </c>
      <c r="I211" s="0" t="n">
        <v>89</v>
      </c>
      <c r="J211" s="0" t="n">
        <v>4.8505</v>
      </c>
      <c r="K211" s="45" t="n">
        <v>45659</v>
      </c>
      <c r="L211" s="0" t="n">
        <v>13.1672</v>
      </c>
      <c r="M211" s="0" t="n">
        <v>8.3167</v>
      </c>
      <c r="N211" s="0" t="n">
        <v>13.189</v>
      </c>
      <c r="O211" s="0" t="n">
        <v>8.3385</v>
      </c>
      <c r="P211" s="0" t="s">
        <v>325</v>
      </c>
      <c r="Q211" s="0" t="s">
        <v>331</v>
      </c>
      <c r="R211" s="0" t="s">
        <v>398</v>
      </c>
      <c r="S211" s="0" t="n">
        <v>5.2272</v>
      </c>
      <c r="T211" s="0" t="n">
        <v>0.3767</v>
      </c>
      <c r="U211" s="0" t="s">
        <v>322</v>
      </c>
      <c r="V211" s="0" t="s">
        <v>341</v>
      </c>
      <c r="W211" s="0" t="n">
        <v>45</v>
      </c>
      <c r="X211" s="0" t="n">
        <v>40.1495</v>
      </c>
      <c r="Y211" s="0" t="n">
        <v>9</v>
      </c>
      <c r="AB211" s="58" t="n">
        <f aca="false">M211-AA211</f>
        <v>8.3167</v>
      </c>
      <c r="AC211" s="58" t="n">
        <f aca="false">O211-AA211</f>
        <v>8.3385</v>
      </c>
      <c r="AD211" s="58" t="n">
        <f aca="false">AB211/L211%</f>
        <v>63.1622516556292</v>
      </c>
      <c r="AE211" s="58" t="n">
        <f aca="false">AC211/N211%</f>
        <v>63.2231404958678</v>
      </c>
      <c r="AF211" s="58" t="n">
        <f aca="false">T211-AA211</f>
        <v>0.3767</v>
      </c>
      <c r="AG211" s="58" t="n">
        <f aca="false">AF211/S211%</f>
        <v>7.20653504744414</v>
      </c>
      <c r="AH211" s="58" t="n">
        <f aca="false">W211</f>
        <v>45</v>
      </c>
      <c r="AI211" s="58" t="n">
        <f aca="false">J211</f>
        <v>4.8505</v>
      </c>
      <c r="AJ211" s="58" t="n">
        <f aca="false">AH211-AI211</f>
        <v>40.1495</v>
      </c>
      <c r="AK211" s="58" t="n">
        <f aca="false">AA211</f>
        <v>0</v>
      </c>
      <c r="AL211" s="58" t="n">
        <f aca="false">AJ211-AK211</f>
        <v>40.1495</v>
      </c>
      <c r="AM211" s="58" t="n">
        <f aca="false">AL211/AH211%</f>
        <v>89.2211111111111</v>
      </c>
      <c r="AN211" s="0" t="str">
        <f aca="false">IF(ISBLANK(Z211),"","Capped")</f>
        <v/>
      </c>
      <c r="AO211" s="0" t="s">
        <v>327</v>
      </c>
      <c r="AP211" s="0" t="str">
        <f aca="false">TRIM(BA211)</f>
        <v>2DDm50-13</v>
      </c>
      <c r="AQ211" s="59" t="e">
        <f aca="false">_xlfn.xlookup(A211,'SYS Allocations'!A:A,'SYS Allocations'!B:B)</f>
        <v>#NAME?</v>
      </c>
      <c r="AR211" s="59" t="e">
        <f aca="false">_xlfn.xlookup(A211,'SYS Allocations'!A:A,'SYS Allocations'!C:C)</f>
        <v>#NAME?</v>
      </c>
      <c r="AS211" s="59" t="e">
        <f aca="false">_xlfn.xlookup(A211,'SYS Allocations'!A:A,'SYS Allocations'!D:D)</f>
        <v>#NAME?</v>
      </c>
      <c r="AT211" s="59" t="e">
        <f aca="false">_xlfn.xlookup(A211,'SYS Allocations'!A:A,'SYS Allocations'!E:E)</f>
        <v>#NAME?</v>
      </c>
      <c r="AU211" s="59" t="e">
        <f aca="false">_xlfn.xlookup(A211,'SYS Allocations'!A:A,'SYS Allocations'!F:F)</f>
        <v>#NAME?</v>
      </c>
      <c r="BA211" s="0" t="str">
        <f aca="false">IFERROR(LEFT(R211,FIND("(",R211,1)-1),R211)</f>
        <v>2DDm50-13</v>
      </c>
    </row>
    <row r="212" customFormat="false" ht="13.15" hidden="false" customHeight="false" outlineLevel="0" collapsed="false">
      <c r="A212" s="20" t="s">
        <v>228</v>
      </c>
      <c r="B212" s="0" t="s">
        <v>376</v>
      </c>
      <c r="C212" s="0" t="s">
        <v>767</v>
      </c>
      <c r="D212" s="0" t="s">
        <v>319</v>
      </c>
      <c r="E212" s="0" t="s">
        <v>768</v>
      </c>
      <c r="F212" s="0" t="s">
        <v>432</v>
      </c>
      <c r="G212" s="0" t="n">
        <v>55</v>
      </c>
      <c r="H212" s="0" t="n">
        <v>15</v>
      </c>
      <c r="I212" s="0" t="n">
        <v>200</v>
      </c>
      <c r="J212" s="0" t="n">
        <v>10.9</v>
      </c>
      <c r="K212" s="45" t="n">
        <v>45630</v>
      </c>
      <c r="L212" s="0" t="n">
        <v>33.572</v>
      </c>
      <c r="M212" s="0" t="n">
        <v>22.672</v>
      </c>
      <c r="N212" s="0" t="n">
        <v>20.165</v>
      </c>
      <c r="O212" s="0" t="n">
        <v>9.265</v>
      </c>
      <c r="P212" s="0" t="s">
        <v>325</v>
      </c>
      <c r="Q212" s="0" t="s">
        <v>331</v>
      </c>
      <c r="R212" s="0" t="s">
        <v>345</v>
      </c>
      <c r="S212" s="0" t="n">
        <v>35.5536</v>
      </c>
      <c r="T212" s="0" t="n">
        <v>24.6536</v>
      </c>
      <c r="U212" s="0" t="s">
        <v>322</v>
      </c>
      <c r="V212" s="0" t="s">
        <v>341</v>
      </c>
      <c r="W212" s="0" t="n">
        <v>45</v>
      </c>
      <c r="X212" s="0" t="n">
        <v>34.1</v>
      </c>
      <c r="Y212" s="0" t="n">
        <v>38</v>
      </c>
      <c r="AB212" s="58" t="n">
        <f aca="false">M212-AA212</f>
        <v>22.672</v>
      </c>
      <c r="AC212" s="58" t="n">
        <f aca="false">O212-AA212</f>
        <v>9.265</v>
      </c>
      <c r="AD212" s="58" t="n">
        <f aca="false">AB212/L212%</f>
        <v>67.5324675324675</v>
      </c>
      <c r="AE212" s="58" t="n">
        <f aca="false">AC212/N212%</f>
        <v>45.945945945946</v>
      </c>
      <c r="AF212" s="58" t="n">
        <f aca="false">T212-AA212</f>
        <v>24.6536</v>
      </c>
      <c r="AG212" s="58" t="n">
        <f aca="false">AF212/S212%</f>
        <v>69.3420638135097</v>
      </c>
      <c r="AH212" s="58" t="n">
        <f aca="false">W212</f>
        <v>45</v>
      </c>
      <c r="AI212" s="58" t="n">
        <f aca="false">J212</f>
        <v>10.9</v>
      </c>
      <c r="AJ212" s="58" t="n">
        <f aca="false">AH212-AI212</f>
        <v>34.1</v>
      </c>
      <c r="AK212" s="58" t="n">
        <f aca="false">AA212</f>
        <v>0</v>
      </c>
      <c r="AL212" s="58" t="n">
        <f aca="false">AJ212-AK212</f>
        <v>34.1</v>
      </c>
      <c r="AM212" s="58" t="n">
        <f aca="false">AL212/AH212%</f>
        <v>75.7777777777778</v>
      </c>
      <c r="AN212" s="0" t="str">
        <f aca="false">IF(ISBLANK(Z212),"","Capped")</f>
        <v/>
      </c>
      <c r="AO212" s="0" t="s">
        <v>327</v>
      </c>
      <c r="AP212" s="0" t="str">
        <f aca="false">TRIM(BA212)</f>
        <v>DDm125-33</v>
      </c>
      <c r="AQ212" s="59" t="e">
        <f aca="false">_xlfn.xlookup(A212,'SYS Allocations'!A:A,'SYS Allocations'!B:B)</f>
        <v>#NAME?</v>
      </c>
      <c r="AR212" s="59" t="e">
        <f aca="false">_xlfn.xlookup(A212,'SYS Allocations'!A:A,'SYS Allocations'!C:C)</f>
        <v>#NAME?</v>
      </c>
      <c r="AS212" s="59" t="e">
        <f aca="false">_xlfn.xlookup(A212,'SYS Allocations'!A:A,'SYS Allocations'!D:D)</f>
        <v>#NAME?</v>
      </c>
      <c r="AT212" s="59" t="e">
        <f aca="false">_xlfn.xlookup(A212,'SYS Allocations'!A:A,'SYS Allocations'!E:E)</f>
        <v>#NAME?</v>
      </c>
      <c r="AU212" s="59" t="e">
        <f aca="false">_xlfn.xlookup(A212,'SYS Allocations'!A:A,'SYS Allocations'!F:F)</f>
        <v>#NAME?</v>
      </c>
      <c r="BA212" s="0" t="str">
        <f aca="false">IFERROR(LEFT(R212,FIND("(",R212,1)-1),R212)</f>
        <v>DDm125-33</v>
      </c>
    </row>
    <row r="213" customFormat="false" ht="13.15" hidden="false" customHeight="false" outlineLevel="0" collapsed="false">
      <c r="A213" s="20" t="s">
        <v>229</v>
      </c>
      <c r="B213" s="0" t="s">
        <v>317</v>
      </c>
      <c r="C213" s="0" t="s">
        <v>769</v>
      </c>
      <c r="D213" s="0" t="s">
        <v>319</v>
      </c>
      <c r="E213" s="0" t="s">
        <v>770</v>
      </c>
      <c r="F213" s="0" t="s">
        <v>321</v>
      </c>
      <c r="G213" s="0" t="n">
        <v>36.6</v>
      </c>
      <c r="H213" s="0" t="n">
        <v>10</v>
      </c>
      <c r="I213" s="0" t="n">
        <v>106</v>
      </c>
      <c r="J213" s="0" t="n">
        <v>5.777</v>
      </c>
      <c r="K213" s="45" t="n">
        <v>45267</v>
      </c>
      <c r="L213" s="0" t="n">
        <v>14.36184</v>
      </c>
      <c r="M213" s="0" t="n">
        <v>8.58484</v>
      </c>
      <c r="N213" s="0" t="n">
        <v>8.6873</v>
      </c>
      <c r="O213" s="0" t="n">
        <v>2.9103</v>
      </c>
      <c r="P213" s="0" t="s">
        <v>325</v>
      </c>
      <c r="Q213" s="0" t="s">
        <v>331</v>
      </c>
      <c r="R213" s="0" t="s">
        <v>568</v>
      </c>
      <c r="S213" s="0" t="n">
        <v>14.4288</v>
      </c>
      <c r="T213" s="0" t="n">
        <v>8.6518</v>
      </c>
      <c r="U213" s="0" t="s">
        <v>322</v>
      </c>
      <c r="V213" s="0" t="s">
        <v>554</v>
      </c>
      <c r="W213" s="0" t="n">
        <v>19.5</v>
      </c>
      <c r="X213" s="0" t="n">
        <v>13.723</v>
      </c>
      <c r="Y213" s="0" t="n">
        <v>30</v>
      </c>
      <c r="AB213" s="58" t="n">
        <f aca="false">M213-AA213</f>
        <v>8.58484</v>
      </c>
      <c r="AC213" s="58" t="n">
        <f aca="false">O213-AA213</f>
        <v>2.9103</v>
      </c>
      <c r="AD213" s="58" t="n">
        <f aca="false">AB213/L213%</f>
        <v>59.7753491196114</v>
      </c>
      <c r="AE213" s="58" t="n">
        <f aca="false">AC213/N213%</f>
        <v>33.5006273525721</v>
      </c>
      <c r="AF213" s="58" t="n">
        <f aca="false">T213-AA213</f>
        <v>8.6518</v>
      </c>
      <c r="AG213" s="58" t="n">
        <f aca="false">AF213/S213%</f>
        <v>59.9620204036372</v>
      </c>
      <c r="AH213" s="58" t="n">
        <f aca="false">W213</f>
        <v>19.5</v>
      </c>
      <c r="AI213" s="58" t="n">
        <f aca="false">J213</f>
        <v>5.777</v>
      </c>
      <c r="AJ213" s="58" t="n">
        <f aca="false">AH213-AI213</f>
        <v>13.723</v>
      </c>
      <c r="AK213" s="58" t="n">
        <f aca="false">AA213</f>
        <v>0</v>
      </c>
      <c r="AL213" s="58" t="n">
        <f aca="false">AJ213-AK213</f>
        <v>13.723</v>
      </c>
      <c r="AM213" s="58" t="n">
        <f aca="false">AL213/AH213%</f>
        <v>70.374358974359</v>
      </c>
      <c r="AN213" s="0" t="str">
        <f aca="false">IF(ISBLANK(Z213),"","Capped")</f>
        <v/>
      </c>
      <c r="AO213" s="0" t="s">
        <v>327</v>
      </c>
      <c r="AP213" s="0" t="str">
        <f aca="false">TRIM(BA213)</f>
        <v>DDm85-21</v>
      </c>
      <c r="AQ213" s="59" t="e">
        <f aca="false">_xlfn.xlookup(A213,'SYS Allocations'!A:A,'SYS Allocations'!B:B)</f>
        <v>#NAME?</v>
      </c>
      <c r="AR213" s="59" t="e">
        <f aca="false">_xlfn.xlookup(A213,'SYS Allocations'!A:A,'SYS Allocations'!C:C)</f>
        <v>#NAME?</v>
      </c>
      <c r="AS213" s="59" t="e">
        <f aca="false">_xlfn.xlookup(A213,'SYS Allocations'!A:A,'SYS Allocations'!D:D)</f>
        <v>#NAME?</v>
      </c>
      <c r="AT213" s="59" t="e">
        <f aca="false">_xlfn.xlookup(A213,'SYS Allocations'!A:A,'SYS Allocations'!E:E)</f>
        <v>#NAME?</v>
      </c>
      <c r="AU213" s="59" t="e">
        <f aca="false">_xlfn.xlookup(A213,'SYS Allocations'!A:A,'SYS Allocations'!F:F)</f>
        <v>#NAME?</v>
      </c>
      <c r="BA213" s="0" t="str">
        <f aca="false">IFERROR(LEFT(R213,FIND("(",R213,1)-1),R213)</f>
        <v>DDm85-21</v>
      </c>
    </row>
    <row r="214" customFormat="false" ht="13.15" hidden="false" customHeight="false" outlineLevel="0" collapsed="false">
      <c r="A214" s="20" t="s">
        <v>230</v>
      </c>
      <c r="B214" s="0" t="s">
        <v>376</v>
      </c>
      <c r="C214" s="0" t="s">
        <v>771</v>
      </c>
      <c r="D214" s="0" t="s">
        <v>319</v>
      </c>
      <c r="E214" s="0" t="s">
        <v>772</v>
      </c>
      <c r="F214" s="0" t="s">
        <v>321</v>
      </c>
      <c r="G214" s="0" t="n">
        <v>36.6</v>
      </c>
      <c r="H214" s="0" t="n">
        <v>15</v>
      </c>
      <c r="I214" s="0" t="n">
        <v>181</v>
      </c>
      <c r="J214" s="0" t="n">
        <v>9.8645</v>
      </c>
      <c r="K214" s="45" t="n">
        <v>45659</v>
      </c>
      <c r="L214" s="0" t="n">
        <v>22.34064</v>
      </c>
      <c r="M214" s="0" t="n">
        <v>12.47614</v>
      </c>
      <c r="N214" s="0" t="n">
        <v>14.8458</v>
      </c>
      <c r="O214" s="0" t="n">
        <v>4.9813</v>
      </c>
      <c r="P214" s="0" t="s">
        <v>325</v>
      </c>
      <c r="Q214" s="0" t="s">
        <v>331</v>
      </c>
      <c r="R214" s="0" t="s">
        <v>336</v>
      </c>
      <c r="S214" s="0" t="n">
        <v>21.1248</v>
      </c>
      <c r="T214" s="0" t="n">
        <v>11.2603</v>
      </c>
      <c r="U214" s="0" t="s">
        <v>344</v>
      </c>
      <c r="V214" s="0" t="s">
        <v>773</v>
      </c>
      <c r="W214" s="0" t="n">
        <v>18</v>
      </c>
      <c r="X214" s="0" t="n">
        <v>8.1355</v>
      </c>
      <c r="Y214" s="0" t="n">
        <v>22</v>
      </c>
      <c r="AB214" s="58" t="n">
        <f aca="false">M214-AA214</f>
        <v>12.47614</v>
      </c>
      <c r="AC214" s="58" t="n">
        <f aca="false">O214-AA214</f>
        <v>4.9813</v>
      </c>
      <c r="AD214" s="58" t="n">
        <f aca="false">AB214/L214%</f>
        <v>55.8450429352069</v>
      </c>
      <c r="AE214" s="58" t="n">
        <f aca="false">AC214/N214%</f>
        <v>33.5535976505139</v>
      </c>
      <c r="AF214" s="58" t="n">
        <f aca="false">T214-AA214</f>
        <v>11.2603</v>
      </c>
      <c r="AG214" s="58" t="n">
        <f aca="false">AF214/S214%</f>
        <v>53.3036999166856</v>
      </c>
      <c r="AH214" s="58" t="n">
        <f aca="false">W214</f>
        <v>18</v>
      </c>
      <c r="AI214" s="58" t="n">
        <f aca="false">J214</f>
        <v>9.8645</v>
      </c>
      <c r="AJ214" s="58" t="n">
        <f aca="false">AH214-AI214</f>
        <v>8.1355</v>
      </c>
      <c r="AK214" s="58" t="n">
        <f aca="false">AA214</f>
        <v>0</v>
      </c>
      <c r="AL214" s="58" t="n">
        <f aca="false">AJ214-AK214</f>
        <v>8.1355</v>
      </c>
      <c r="AM214" s="58" t="n">
        <f aca="false">AL214/AH214%</f>
        <v>45.1972222222222</v>
      </c>
      <c r="AN214" s="0" t="str">
        <f aca="false">IF(ISBLANK(Z214),"","Capped")</f>
        <v/>
      </c>
      <c r="AO214" s="0" t="s">
        <v>327</v>
      </c>
      <c r="AP214" s="0" t="str">
        <f aca="false">TRIM(BA214)</f>
        <v>DDm100-25</v>
      </c>
      <c r="AQ214" s="59" t="e">
        <f aca="false">_xlfn.xlookup(A214,'SYS Allocations'!A:A,'SYS Allocations'!B:B)</f>
        <v>#NAME?</v>
      </c>
      <c r="AR214" s="59" t="e">
        <f aca="false">_xlfn.xlookup(A214,'SYS Allocations'!A:A,'SYS Allocations'!C:C)</f>
        <v>#NAME?</v>
      </c>
      <c r="AS214" s="59" t="e">
        <f aca="false">_xlfn.xlookup(A214,'SYS Allocations'!A:A,'SYS Allocations'!D:D)</f>
        <v>#NAME?</v>
      </c>
      <c r="AT214" s="59" t="e">
        <f aca="false">_xlfn.xlookup(A214,'SYS Allocations'!A:A,'SYS Allocations'!E:E)</f>
        <v>#NAME?</v>
      </c>
      <c r="AU214" s="59" t="e">
        <f aca="false">_xlfn.xlookup(A214,'SYS Allocations'!A:A,'SYS Allocations'!F:F)</f>
        <v>#NAME?</v>
      </c>
      <c r="BA214" s="0" t="str">
        <f aca="false">IFERROR(LEFT(R214,FIND("(",R214,1)-1),R214)</f>
        <v>DDm100-25</v>
      </c>
    </row>
    <row r="215" customFormat="false" ht="13.15" hidden="false" customHeight="false" outlineLevel="0" collapsed="false">
      <c r="A215" s="20" t="s">
        <v>231</v>
      </c>
      <c r="B215" s="0" t="s">
        <v>342</v>
      </c>
      <c r="C215" s="0" t="s">
        <v>342</v>
      </c>
      <c r="D215" s="0" t="s">
        <v>319</v>
      </c>
      <c r="E215" s="0" t="s">
        <v>774</v>
      </c>
      <c r="F215" s="0" t="s">
        <v>321</v>
      </c>
      <c r="G215" s="0" t="n">
        <v>36.6</v>
      </c>
      <c r="H215" s="0" t="n">
        <v>29</v>
      </c>
      <c r="I215" s="0" t="n">
        <v>139</v>
      </c>
      <c r="J215" s="0" t="n">
        <v>7.5755</v>
      </c>
      <c r="K215" s="45" t="n">
        <v>45659</v>
      </c>
      <c r="L215" s="0" t="n">
        <v>44.68128</v>
      </c>
      <c r="M215" s="0" t="n">
        <v>37.10578</v>
      </c>
      <c r="N215" s="0" t="n">
        <v>31.3266</v>
      </c>
      <c r="O215" s="0" t="n">
        <v>23.7511</v>
      </c>
      <c r="P215" s="0" t="s">
        <v>322</v>
      </c>
      <c r="Q215" s="0" t="s">
        <v>331</v>
      </c>
      <c r="R215" s="0" t="s">
        <v>582</v>
      </c>
      <c r="S215" s="0" t="n">
        <v>39.9816</v>
      </c>
      <c r="T215" s="0" t="n">
        <v>32.4061</v>
      </c>
      <c r="U215" s="0" t="s">
        <v>374</v>
      </c>
      <c r="V215" s="0" t="s">
        <v>775</v>
      </c>
      <c r="W215" s="0" t="n">
        <v>187.5</v>
      </c>
      <c r="X215" s="0" t="n">
        <v>179.9245</v>
      </c>
      <c r="Y215" s="0" t="n">
        <v>104</v>
      </c>
      <c r="AB215" s="58" t="n">
        <f aca="false">M215-AA215</f>
        <v>37.10578</v>
      </c>
      <c r="AC215" s="58" t="n">
        <f aca="false">O215-AA215</f>
        <v>23.7511</v>
      </c>
      <c r="AD215" s="58" t="n">
        <f aca="false">AB215/L215%</f>
        <v>83.0454722872756</v>
      </c>
      <c r="AE215" s="58" t="n">
        <f aca="false">AC215/N215%</f>
        <v>75.8176757132916</v>
      </c>
      <c r="AF215" s="58" t="n">
        <f aca="false">T215-AA215</f>
        <v>32.4061</v>
      </c>
      <c r="AG215" s="58" t="n">
        <f aca="false">AF215/S215%</f>
        <v>81.0525341657162</v>
      </c>
      <c r="AH215" s="60" t="n">
        <f aca="false">AVERAGE(W215:W217)</f>
        <v>187.5</v>
      </c>
      <c r="AI215" s="60" t="n">
        <f aca="false">SUM(J215:J217)</f>
        <v>87.9085</v>
      </c>
      <c r="AJ215" s="60" t="n">
        <f aca="false">AH215-AI215</f>
        <v>99.5915</v>
      </c>
      <c r="AK215" s="60" t="n">
        <f aca="false">AA215</f>
        <v>0</v>
      </c>
      <c r="AL215" s="60" t="n">
        <f aca="false">AJ215-AK215</f>
        <v>99.5915</v>
      </c>
      <c r="AM215" s="61" t="n">
        <f aca="false">AL215/AH215%</f>
        <v>53.1154666666667</v>
      </c>
      <c r="AN215" s="0" t="str">
        <f aca="false">IF(ISBLANK(Z215),"","Capped")</f>
        <v/>
      </c>
      <c r="AO215" s="0" t="s">
        <v>327</v>
      </c>
      <c r="AP215" s="0" t="str">
        <f aca="false">TRIM(BA215)</f>
        <v>DDm125-25</v>
      </c>
      <c r="AQ215" s="59" t="e">
        <f aca="false">_xlfn.xlookup(A215,'SYS Allocations'!A:A,'SYS Allocations'!B:B)</f>
        <v>#NAME?</v>
      </c>
      <c r="AR215" s="59" t="e">
        <f aca="false">_xlfn.xlookup(A215,'SYS Allocations'!A:A,'SYS Allocations'!C:C)</f>
        <v>#NAME?</v>
      </c>
      <c r="AS215" s="59" t="e">
        <f aca="false">_xlfn.xlookup(A215,'SYS Allocations'!A:A,'SYS Allocations'!D:D)</f>
        <v>#NAME?</v>
      </c>
      <c r="AT215" s="59" t="e">
        <f aca="false">_xlfn.xlookup(A215,'SYS Allocations'!A:A,'SYS Allocations'!E:E)</f>
        <v>#NAME?</v>
      </c>
      <c r="AU215" s="59" t="e">
        <f aca="false">_xlfn.xlookup(A215,'SYS Allocations'!A:A,'SYS Allocations'!F:F)</f>
        <v>#NAME?</v>
      </c>
      <c r="BA215" s="0" t="str">
        <f aca="false">IFERROR(LEFT(R215,FIND("(",R215,1)-1),R215)</f>
        <v>DDm125-25</v>
      </c>
    </row>
    <row r="216" customFormat="false" ht="13.15" hidden="false" customHeight="false" outlineLevel="0" collapsed="false">
      <c r="A216" s="20" t="s">
        <v>232</v>
      </c>
      <c r="B216" s="0" t="s">
        <v>342</v>
      </c>
      <c r="C216" s="0" t="s">
        <v>342</v>
      </c>
      <c r="D216" s="0" t="s">
        <v>319</v>
      </c>
      <c r="E216" s="0" t="s">
        <v>774</v>
      </c>
      <c r="F216" s="0" t="s">
        <v>321</v>
      </c>
      <c r="G216" s="0" t="n">
        <v>36.6</v>
      </c>
      <c r="H216" s="0" t="n">
        <v>45</v>
      </c>
      <c r="I216" s="0" t="n">
        <v>735</v>
      </c>
      <c r="J216" s="0" t="n">
        <v>40.0575</v>
      </c>
      <c r="K216" s="45" t="n">
        <v>45659</v>
      </c>
      <c r="L216" s="0" t="n">
        <v>70.21344</v>
      </c>
      <c r="M216" s="0" t="n">
        <v>30.15594</v>
      </c>
      <c r="N216" s="0" t="n">
        <v>52.8868</v>
      </c>
      <c r="O216" s="0" t="n">
        <v>12.8293</v>
      </c>
      <c r="P216" s="0" t="s">
        <v>337</v>
      </c>
      <c r="Q216" s="0" t="s">
        <v>331</v>
      </c>
      <c r="R216" s="0" t="s">
        <v>403</v>
      </c>
      <c r="S216" s="0" t="n">
        <v>56.2464000000001</v>
      </c>
      <c r="T216" s="0" t="n">
        <v>16.1889000000001</v>
      </c>
      <c r="U216" s="0" t="s">
        <v>374</v>
      </c>
      <c r="V216" s="0" t="s">
        <v>775</v>
      </c>
      <c r="W216" s="0" t="n">
        <v>187.5</v>
      </c>
      <c r="X216" s="0" t="n">
        <v>147.4425</v>
      </c>
      <c r="Y216" s="0" t="n">
        <v>104</v>
      </c>
      <c r="AB216" s="58" t="n">
        <f aca="false">M216-AA216</f>
        <v>30.15594</v>
      </c>
      <c r="AC216" s="58" t="n">
        <f aca="false">O216-AA216</f>
        <v>12.8293</v>
      </c>
      <c r="AD216" s="58" t="n">
        <f aca="false">AB216/L216%</f>
        <v>42.948956780924</v>
      </c>
      <c r="AE216" s="58" t="n">
        <f aca="false">AC216/N216%</f>
        <v>24.2580379225062</v>
      </c>
      <c r="AF216" s="58" t="n">
        <f aca="false">T216-AA216</f>
        <v>16.1889000000001</v>
      </c>
      <c r="AG216" s="58" t="n">
        <f aca="false">AF216/S216%</f>
        <v>28.782108721625</v>
      </c>
      <c r="AH216" s="60"/>
      <c r="AI216" s="60"/>
      <c r="AJ216" s="60"/>
      <c r="AK216" s="60"/>
      <c r="AL216" s="60"/>
      <c r="AM216" s="61"/>
      <c r="AN216" s="0" t="str">
        <f aca="false">IF(ISBLANK(Z216),"","Capped")</f>
        <v/>
      </c>
      <c r="AO216" s="0" t="s">
        <v>327</v>
      </c>
      <c r="AP216" s="0" t="str">
        <f aca="false">TRIM(BA216)</f>
        <v>DDm100-33</v>
      </c>
      <c r="AQ216" s="59" t="e">
        <f aca="false">_xlfn.xlookup(A216,'SYS Allocations'!A:A,'SYS Allocations'!B:B)</f>
        <v>#NAME?</v>
      </c>
      <c r="AR216" s="59" t="e">
        <f aca="false">_xlfn.xlookup(A216,'SYS Allocations'!A:A,'SYS Allocations'!C:C)</f>
        <v>#NAME?</v>
      </c>
      <c r="AS216" s="59" t="e">
        <f aca="false">_xlfn.xlookup(A216,'SYS Allocations'!A:A,'SYS Allocations'!D:D)</f>
        <v>#NAME?</v>
      </c>
      <c r="AT216" s="59" t="e">
        <f aca="false">_xlfn.xlookup(A216,'SYS Allocations'!A:A,'SYS Allocations'!E:E)</f>
        <v>#NAME?</v>
      </c>
      <c r="AU216" s="59" t="e">
        <f aca="false">_xlfn.xlookup(A216,'SYS Allocations'!A:A,'SYS Allocations'!F:F)</f>
        <v>#NAME?</v>
      </c>
      <c r="BA216" s="0" t="str">
        <f aca="false">IFERROR(LEFT(R216,FIND("(",R216,1)-1),R216)</f>
        <v>DDm100-33</v>
      </c>
    </row>
    <row r="217" customFormat="false" ht="13.15" hidden="false" customHeight="false" outlineLevel="0" collapsed="false">
      <c r="A217" s="20" t="s">
        <v>233</v>
      </c>
      <c r="B217" s="0" t="s">
        <v>342</v>
      </c>
      <c r="C217" s="0" t="s">
        <v>342</v>
      </c>
      <c r="D217" s="0" t="s">
        <v>319</v>
      </c>
      <c r="E217" s="0" t="s">
        <v>774</v>
      </c>
      <c r="F217" s="0" t="s">
        <v>321</v>
      </c>
      <c r="G217" s="0" t="n">
        <v>36.6</v>
      </c>
      <c r="H217" s="0" t="n">
        <v>63</v>
      </c>
      <c r="I217" s="0" t="n">
        <v>739</v>
      </c>
      <c r="J217" s="0" t="n">
        <v>40.2755</v>
      </c>
      <c r="K217" s="45" t="n">
        <v>45659</v>
      </c>
      <c r="L217" s="0" t="n">
        <v>98.93712</v>
      </c>
      <c r="M217" s="0" t="n">
        <v>58.66162</v>
      </c>
      <c r="N217" s="0" t="n">
        <v>90.9714</v>
      </c>
      <c r="O217" s="0" t="n">
        <v>50.6959</v>
      </c>
      <c r="P217" s="0" t="s">
        <v>322</v>
      </c>
      <c r="Q217" s="0" t="s">
        <v>331</v>
      </c>
      <c r="R217" s="0" t="s">
        <v>345</v>
      </c>
      <c r="S217" s="0" t="n">
        <v>53.3304</v>
      </c>
      <c r="T217" s="0" t="n">
        <v>13.0549</v>
      </c>
      <c r="U217" s="0" t="s">
        <v>374</v>
      </c>
      <c r="V217" s="0" t="s">
        <v>775</v>
      </c>
      <c r="W217" s="0" t="n">
        <v>187.5</v>
      </c>
      <c r="X217" s="0" t="n">
        <v>147.2245</v>
      </c>
      <c r="Y217" s="0" t="n">
        <v>104</v>
      </c>
      <c r="AB217" s="58" t="n">
        <f aca="false">M217-AA217</f>
        <v>58.66162</v>
      </c>
      <c r="AC217" s="58" t="n">
        <f aca="false">O217-AA217</f>
        <v>50.6959</v>
      </c>
      <c r="AD217" s="58" t="n">
        <f aca="false">AB217/L217%</f>
        <v>59.2918209060462</v>
      </c>
      <c r="AE217" s="58" t="n">
        <f aca="false">AC217/N217%</f>
        <v>55.7272945123412</v>
      </c>
      <c r="AF217" s="58" t="n">
        <f aca="false">T217-AA217</f>
        <v>13.0549</v>
      </c>
      <c r="AG217" s="58" t="n">
        <f aca="false">AF217/S217%</f>
        <v>24.4792838606123</v>
      </c>
      <c r="AH217" s="60"/>
      <c r="AI217" s="60"/>
      <c r="AJ217" s="60"/>
      <c r="AK217" s="60"/>
      <c r="AL217" s="60"/>
      <c r="AM217" s="61"/>
      <c r="AN217" s="0" t="str">
        <f aca="false">IF(ISBLANK(Z217),"","Capped")</f>
        <v/>
      </c>
      <c r="AO217" s="0" t="s">
        <v>327</v>
      </c>
      <c r="AP217" s="0" t="str">
        <f aca="false">TRIM(BA217)</f>
        <v>DDm125-33</v>
      </c>
      <c r="AQ217" s="59" t="e">
        <f aca="false">_xlfn.xlookup(A217,'SYS Allocations'!A:A,'SYS Allocations'!B:B)</f>
        <v>#NAME?</v>
      </c>
      <c r="AR217" s="59" t="e">
        <f aca="false">_xlfn.xlookup(A217,'SYS Allocations'!A:A,'SYS Allocations'!C:C)</f>
        <v>#NAME?</v>
      </c>
      <c r="AS217" s="59" t="e">
        <f aca="false">_xlfn.xlookup(A217,'SYS Allocations'!A:A,'SYS Allocations'!D:D)</f>
        <v>#NAME?</v>
      </c>
      <c r="AT217" s="59" t="e">
        <f aca="false">_xlfn.xlookup(A217,'SYS Allocations'!A:A,'SYS Allocations'!E:E)</f>
        <v>#NAME?</v>
      </c>
      <c r="AU217" s="59" t="e">
        <f aca="false">_xlfn.xlookup(A217,'SYS Allocations'!A:A,'SYS Allocations'!F:F)</f>
        <v>#NAME?</v>
      </c>
      <c r="BA217" s="0" t="str">
        <f aca="false">IFERROR(LEFT(R217,FIND("(",R217,1)-1),R217)</f>
        <v>DDm125-33</v>
      </c>
    </row>
    <row r="218" customFormat="false" ht="13.15" hidden="false" customHeight="false" outlineLevel="0" collapsed="false">
      <c r="A218" s="20" t="s">
        <v>234</v>
      </c>
      <c r="B218" s="0" t="s">
        <v>342</v>
      </c>
      <c r="C218" s="0" t="s">
        <v>342</v>
      </c>
      <c r="D218" s="0" t="s">
        <v>319</v>
      </c>
      <c r="E218" s="0" t="s">
        <v>776</v>
      </c>
      <c r="F218" s="0" t="s">
        <v>321</v>
      </c>
      <c r="G218" s="0" t="n">
        <v>36.6</v>
      </c>
      <c r="H218" s="0" t="n">
        <v>63</v>
      </c>
      <c r="I218" s="0" t="n">
        <v>842</v>
      </c>
      <c r="J218" s="0" t="n">
        <v>45.889</v>
      </c>
      <c r="K218" s="45" t="n">
        <v>45659</v>
      </c>
      <c r="L218" s="0" t="n">
        <v>98.93712</v>
      </c>
      <c r="M218" s="0" t="n">
        <v>53.04812</v>
      </c>
      <c r="N218" s="0" t="n">
        <v>79.39015</v>
      </c>
      <c r="O218" s="0" t="n">
        <v>33.50115</v>
      </c>
      <c r="P218" s="0" t="s">
        <v>344</v>
      </c>
      <c r="Q218" s="0" t="s">
        <v>331</v>
      </c>
      <c r="R218" s="0" t="s">
        <v>572</v>
      </c>
      <c r="S218" s="0" t="n">
        <v>72.144</v>
      </c>
      <c r="T218" s="0" t="n">
        <v>26.255</v>
      </c>
      <c r="U218" s="0" t="s">
        <v>379</v>
      </c>
      <c r="V218" s="0" t="s">
        <v>777</v>
      </c>
      <c r="W218" s="0" t="n">
        <v>373.5</v>
      </c>
      <c r="X218" s="0" t="n">
        <v>327.611</v>
      </c>
      <c r="Y218" s="0" t="n">
        <v>94</v>
      </c>
      <c r="AB218" s="58" t="n">
        <f aca="false">M218-AA218</f>
        <v>53.04812</v>
      </c>
      <c r="AC218" s="58" t="n">
        <f aca="false">O218-AA218</f>
        <v>33.50115</v>
      </c>
      <c r="AD218" s="58" t="n">
        <f aca="false">AB218/L218%</f>
        <v>53.6180151595276</v>
      </c>
      <c r="AE218" s="58" t="n">
        <f aca="false">AC218/N218%</f>
        <v>42.1981190361777</v>
      </c>
      <c r="AF218" s="58" t="n">
        <f aca="false">T218-AA218</f>
        <v>26.255</v>
      </c>
      <c r="AG218" s="58" t="n">
        <f aca="false">AF218/S218%</f>
        <v>36.3924927921934</v>
      </c>
      <c r="AH218" s="60" t="n">
        <f aca="false">AVERAGE(W218:W221)</f>
        <v>373.5</v>
      </c>
      <c r="AI218" s="60" t="n">
        <f aca="false">SUM(J218:J221)</f>
        <v>181.1035</v>
      </c>
      <c r="AJ218" s="60" t="n">
        <f aca="false">AH218-AI218</f>
        <v>192.3965</v>
      </c>
      <c r="AK218" s="60" t="n">
        <f aca="false">SUM(AA218:AA221)</f>
        <v>0</v>
      </c>
      <c r="AL218" s="60" t="n">
        <f aca="false">AJ218-AK218</f>
        <v>192.3965</v>
      </c>
      <c r="AM218" s="61" t="n">
        <f aca="false">AL218/AH218%</f>
        <v>51.511780455154</v>
      </c>
      <c r="AN218" s="0" t="str">
        <f aca="false">IF(ISBLANK(Z218),"","Capped")</f>
        <v/>
      </c>
      <c r="AO218" s="44" t="s">
        <v>393</v>
      </c>
      <c r="AP218" s="0" t="str">
        <f aca="false">TRIM(BA218)</f>
        <v>DDm125-27</v>
      </c>
      <c r="AQ218" s="59" t="e">
        <f aca="false">_xlfn.xlookup(A218,'SYS Allocations'!A:A,'SYS Allocations'!B:B)</f>
        <v>#NAME?</v>
      </c>
      <c r="AR218" s="59" t="e">
        <f aca="false">_xlfn.xlookup(A218,'SYS Allocations'!A:A,'SYS Allocations'!C:C)</f>
        <v>#NAME?</v>
      </c>
      <c r="AS218" s="59" t="e">
        <f aca="false">_xlfn.xlookup(A218,'SYS Allocations'!A:A,'SYS Allocations'!D:D)</f>
        <v>#NAME?</v>
      </c>
      <c r="AT218" s="59" t="e">
        <f aca="false">_xlfn.xlookup(A218,'SYS Allocations'!A:A,'SYS Allocations'!E:E)</f>
        <v>#NAME?</v>
      </c>
      <c r="AU218" s="59" t="e">
        <f aca="false">_xlfn.xlookup(A218,'SYS Allocations'!A:A,'SYS Allocations'!F:F)</f>
        <v>#NAME?</v>
      </c>
      <c r="BA218" s="0" t="str">
        <f aca="false">IFERROR(LEFT(R218,FIND("(",R218,1)-1),R218)</f>
        <v>DDm125-27</v>
      </c>
    </row>
    <row r="219" customFormat="false" ht="13.15" hidden="false" customHeight="false" outlineLevel="0" collapsed="false">
      <c r="A219" s="20" t="s">
        <v>235</v>
      </c>
      <c r="B219" s="0" t="s">
        <v>342</v>
      </c>
      <c r="C219" s="0" t="s">
        <v>342</v>
      </c>
      <c r="D219" s="0" t="s">
        <v>319</v>
      </c>
      <c r="E219" s="0" t="s">
        <v>776</v>
      </c>
      <c r="F219" s="0" t="s">
        <v>321</v>
      </c>
      <c r="G219" s="0" t="n">
        <v>36.6</v>
      </c>
      <c r="H219" s="0" t="n">
        <v>64</v>
      </c>
      <c r="I219" s="0" t="n">
        <v>732</v>
      </c>
      <c r="J219" s="0" t="n">
        <v>39.894</v>
      </c>
      <c r="K219" s="45" t="n">
        <v>45659</v>
      </c>
      <c r="L219" s="0" t="n">
        <v>100.53288</v>
      </c>
      <c r="M219" s="0" t="n">
        <v>60.63888</v>
      </c>
      <c r="N219" s="0" t="n">
        <v>71.1661</v>
      </c>
      <c r="O219" s="0" t="n">
        <v>31.2721</v>
      </c>
      <c r="P219" s="0" t="s">
        <v>344</v>
      </c>
      <c r="Q219" s="0" t="s">
        <v>331</v>
      </c>
      <c r="R219" s="0" t="s">
        <v>345</v>
      </c>
      <c r="S219" s="0" t="n">
        <v>88.8840000000002</v>
      </c>
      <c r="T219" s="0" t="n">
        <v>48.9900000000002</v>
      </c>
      <c r="U219" s="0" t="s">
        <v>379</v>
      </c>
      <c r="V219" s="0" t="s">
        <v>777</v>
      </c>
      <c r="W219" s="0" t="n">
        <v>373.5</v>
      </c>
      <c r="X219" s="0" t="n">
        <v>333.606</v>
      </c>
      <c r="Y219" s="0" t="n">
        <v>94</v>
      </c>
      <c r="AB219" s="58" t="n">
        <f aca="false">M219-AA219</f>
        <v>60.63888</v>
      </c>
      <c r="AC219" s="58" t="n">
        <f aca="false">O219-AA219</f>
        <v>31.2721</v>
      </c>
      <c r="AD219" s="58" t="n">
        <f aca="false">AB219/L219%</f>
        <v>60.3174603174603</v>
      </c>
      <c r="AE219" s="58" t="n">
        <f aca="false">AC219/N219%</f>
        <v>43.942410782662</v>
      </c>
      <c r="AF219" s="58" t="n">
        <f aca="false">T219-AA219</f>
        <v>48.9900000000002</v>
      </c>
      <c r="AG219" s="58" t="n">
        <f aca="false">AF219/S219%</f>
        <v>55.1167814229784</v>
      </c>
      <c r="AH219" s="60"/>
      <c r="AI219" s="60"/>
      <c r="AJ219" s="60"/>
      <c r="AK219" s="60"/>
      <c r="AL219" s="60"/>
      <c r="AM219" s="61"/>
      <c r="AN219" s="0" t="str">
        <f aca="false">IF(ISBLANK(Z219),"","Capped")</f>
        <v/>
      </c>
      <c r="AO219" s="44" t="s">
        <v>393</v>
      </c>
      <c r="AP219" s="0" t="str">
        <f aca="false">TRIM(BA219)</f>
        <v>DDm125-33</v>
      </c>
      <c r="AQ219" s="59" t="e">
        <f aca="false">_xlfn.xlookup(A219,'SYS Allocations'!A:A,'SYS Allocations'!B:B)</f>
        <v>#NAME?</v>
      </c>
      <c r="AR219" s="59" t="e">
        <f aca="false">_xlfn.xlookup(A219,'SYS Allocations'!A:A,'SYS Allocations'!C:C)</f>
        <v>#NAME?</v>
      </c>
      <c r="AS219" s="59" t="e">
        <f aca="false">_xlfn.xlookup(A219,'SYS Allocations'!A:A,'SYS Allocations'!D:D)</f>
        <v>#NAME?</v>
      </c>
      <c r="AT219" s="59" t="e">
        <f aca="false">_xlfn.xlookup(A219,'SYS Allocations'!A:A,'SYS Allocations'!E:E)</f>
        <v>#NAME?</v>
      </c>
      <c r="AU219" s="59" t="e">
        <f aca="false">_xlfn.xlookup(A219,'SYS Allocations'!A:A,'SYS Allocations'!F:F)</f>
        <v>#NAME?</v>
      </c>
      <c r="BA219" s="0" t="str">
        <f aca="false">IFERROR(LEFT(R219,FIND("(",R219,1)-1),R219)</f>
        <v>DDm125-33</v>
      </c>
    </row>
    <row r="220" customFormat="false" ht="13.15" hidden="false" customHeight="false" outlineLevel="0" collapsed="false">
      <c r="A220" s="20" t="s">
        <v>236</v>
      </c>
      <c r="B220" s="0" t="s">
        <v>342</v>
      </c>
      <c r="C220" s="0" t="s">
        <v>342</v>
      </c>
      <c r="D220" s="0" t="s">
        <v>319</v>
      </c>
      <c r="E220" s="0" t="s">
        <v>776</v>
      </c>
      <c r="F220" s="0" t="s">
        <v>321</v>
      </c>
      <c r="G220" s="0" t="n">
        <v>36.6</v>
      </c>
      <c r="H220" s="0" t="n">
        <v>72</v>
      </c>
      <c r="I220" s="0" t="n">
        <v>873</v>
      </c>
      <c r="J220" s="0" t="n">
        <v>47.5785</v>
      </c>
      <c r="K220" s="45" t="n">
        <v>45659</v>
      </c>
      <c r="L220" s="0" t="n">
        <v>113.29896</v>
      </c>
      <c r="M220" s="0" t="n">
        <v>65.72046</v>
      </c>
      <c r="N220" s="0" t="n">
        <v>76.2237</v>
      </c>
      <c r="O220" s="0" t="n">
        <v>28.6452</v>
      </c>
      <c r="P220" s="0" t="s">
        <v>374</v>
      </c>
      <c r="Q220" s="0" t="s">
        <v>331</v>
      </c>
      <c r="R220" s="0" t="s">
        <v>345</v>
      </c>
      <c r="S220" s="0" t="n">
        <v>106.6608</v>
      </c>
      <c r="T220" s="0" t="n">
        <v>59.0823000000001</v>
      </c>
      <c r="U220" s="0" t="s">
        <v>379</v>
      </c>
      <c r="V220" s="0" t="s">
        <v>777</v>
      </c>
      <c r="W220" s="0" t="n">
        <v>373.5</v>
      </c>
      <c r="X220" s="0" t="n">
        <v>325.9215</v>
      </c>
      <c r="Y220" s="0" t="n">
        <v>94</v>
      </c>
      <c r="AB220" s="58" t="n">
        <f aca="false">M220-AA220</f>
        <v>65.72046</v>
      </c>
      <c r="AC220" s="58" t="n">
        <f aca="false">O220-AA220</f>
        <v>28.6452</v>
      </c>
      <c r="AD220" s="58" t="n">
        <f aca="false">AB220/L220%</f>
        <v>58.0062341260679</v>
      </c>
      <c r="AE220" s="58" t="n">
        <f aca="false">AC220/N220%</f>
        <v>37.5804375804376</v>
      </c>
      <c r="AF220" s="58" t="n">
        <f aca="false">T220-AA220</f>
        <v>59.0823000000001</v>
      </c>
      <c r="AG220" s="58" t="n">
        <f aca="false">AF220/S220%</f>
        <v>55.3927028486568</v>
      </c>
      <c r="AH220" s="60" t="n">
        <f aca="false">AVERAGE(W220:W221)</f>
        <v>373.5</v>
      </c>
      <c r="AI220" s="60" t="n">
        <f aca="false">SUM(J220:J221)</f>
        <v>95.3205</v>
      </c>
      <c r="AJ220" s="60" t="n">
        <f aca="false">AH220-AI220</f>
        <v>278.1795</v>
      </c>
      <c r="AK220" s="60" t="n">
        <f aca="false">SUM(AA220:AA221)</f>
        <v>0</v>
      </c>
      <c r="AL220" s="60" t="n">
        <f aca="false">AJ220-AK220</f>
        <v>278.1795</v>
      </c>
      <c r="AM220" s="61" t="n">
        <f aca="false">AL220/AH220%</f>
        <v>74.4791164658635</v>
      </c>
      <c r="AN220" s="0" t="str">
        <f aca="false">IF(ISBLANK(Z220),"","Capped")</f>
        <v/>
      </c>
      <c r="AO220" s="0" t="s">
        <v>327</v>
      </c>
      <c r="AP220" s="0" t="str">
        <f aca="false">TRIM(BA220)</f>
        <v>DDm125-33</v>
      </c>
      <c r="AQ220" s="59" t="e">
        <f aca="false">_xlfn.xlookup(A220,'SYS Allocations'!A:A,'SYS Allocations'!B:B)</f>
        <v>#NAME?</v>
      </c>
      <c r="AR220" s="59" t="e">
        <f aca="false">_xlfn.xlookup(A220,'SYS Allocations'!A:A,'SYS Allocations'!C:C)</f>
        <v>#NAME?</v>
      </c>
      <c r="AS220" s="59" t="e">
        <f aca="false">_xlfn.xlookup(A220,'SYS Allocations'!A:A,'SYS Allocations'!D:D)</f>
        <v>#NAME?</v>
      </c>
      <c r="AT220" s="59" t="e">
        <f aca="false">_xlfn.xlookup(A220,'SYS Allocations'!A:A,'SYS Allocations'!E:E)</f>
        <v>#NAME?</v>
      </c>
      <c r="AU220" s="59" t="e">
        <f aca="false">_xlfn.xlookup(A220,'SYS Allocations'!A:A,'SYS Allocations'!F:F)</f>
        <v>#NAME?</v>
      </c>
      <c r="BA220" s="0" t="str">
        <f aca="false">IFERROR(LEFT(R220,FIND("(",R220,1)-1),R220)</f>
        <v>DDm125-33</v>
      </c>
    </row>
    <row r="221" customFormat="false" ht="13.15" hidden="false" customHeight="false" outlineLevel="0" collapsed="false">
      <c r="A221" s="20" t="s">
        <v>237</v>
      </c>
      <c r="B221" s="0" t="s">
        <v>342</v>
      </c>
      <c r="C221" s="0" t="s">
        <v>342</v>
      </c>
      <c r="D221" s="0" t="s">
        <v>319</v>
      </c>
      <c r="E221" s="0" t="s">
        <v>776</v>
      </c>
      <c r="F221" s="0" t="s">
        <v>321</v>
      </c>
      <c r="G221" s="0" t="n">
        <v>36.6</v>
      </c>
      <c r="H221" s="0" t="n">
        <v>72</v>
      </c>
      <c r="I221" s="0" t="n">
        <v>876</v>
      </c>
      <c r="J221" s="0" t="n">
        <v>47.742</v>
      </c>
      <c r="K221" s="45" t="n">
        <v>45659</v>
      </c>
      <c r="L221" s="0" t="n">
        <v>113.29896</v>
      </c>
      <c r="M221" s="0" t="n">
        <v>65.55696</v>
      </c>
      <c r="N221" s="0" t="n">
        <v>76.2237</v>
      </c>
      <c r="O221" s="0" t="n">
        <v>28.4817</v>
      </c>
      <c r="P221" s="0" t="s">
        <v>374</v>
      </c>
      <c r="Q221" s="0" t="s">
        <v>331</v>
      </c>
      <c r="R221" s="0" t="s">
        <v>345</v>
      </c>
      <c r="S221" s="0" t="n">
        <v>106.6608</v>
      </c>
      <c r="T221" s="0" t="n">
        <v>58.9188000000001</v>
      </c>
      <c r="U221" s="0" t="s">
        <v>379</v>
      </c>
      <c r="V221" s="0" t="s">
        <v>777</v>
      </c>
      <c r="W221" s="0" t="n">
        <v>373.5</v>
      </c>
      <c r="X221" s="0" t="n">
        <v>325.758</v>
      </c>
      <c r="Y221" s="0" t="n">
        <v>94</v>
      </c>
      <c r="AB221" s="58" t="n">
        <f aca="false">M221-AA221</f>
        <v>65.55696</v>
      </c>
      <c r="AC221" s="58" t="n">
        <f aca="false">O221-AA221</f>
        <v>28.4817</v>
      </c>
      <c r="AD221" s="58" t="n">
        <f aca="false">AB221/L221%</f>
        <v>57.8619256522743</v>
      </c>
      <c r="AE221" s="58" t="n">
        <f aca="false">AC221/N221%</f>
        <v>37.3659373659374</v>
      </c>
      <c r="AF221" s="58" t="n">
        <f aca="false">T221-AA221</f>
        <v>58.9188000000001</v>
      </c>
      <c r="AG221" s="58" t="n">
        <f aca="false">AF221/S221%</f>
        <v>55.2394131677243</v>
      </c>
      <c r="AH221" s="60"/>
      <c r="AI221" s="60"/>
      <c r="AJ221" s="60"/>
      <c r="AK221" s="60"/>
      <c r="AL221" s="60"/>
      <c r="AM221" s="61"/>
      <c r="AN221" s="0" t="str">
        <f aca="false">IF(ISBLANK(Z221),"","Capped")</f>
        <v/>
      </c>
      <c r="AO221" s="0" t="s">
        <v>327</v>
      </c>
      <c r="AP221" s="0" t="str">
        <f aca="false">TRIM(BA221)</f>
        <v>DDm125-33</v>
      </c>
      <c r="AQ221" s="59" t="e">
        <f aca="false">_xlfn.xlookup(A221,'SYS Allocations'!A:A,'SYS Allocations'!B:B)</f>
        <v>#NAME?</v>
      </c>
      <c r="AR221" s="59" t="e">
        <f aca="false">_xlfn.xlookup(A221,'SYS Allocations'!A:A,'SYS Allocations'!C:C)</f>
        <v>#NAME?</v>
      </c>
      <c r="AS221" s="59" t="e">
        <f aca="false">_xlfn.xlookup(A221,'SYS Allocations'!A:A,'SYS Allocations'!D:D)</f>
        <v>#NAME?</v>
      </c>
      <c r="AT221" s="59" t="e">
        <f aca="false">_xlfn.xlookup(A221,'SYS Allocations'!A:A,'SYS Allocations'!E:E)</f>
        <v>#NAME?</v>
      </c>
      <c r="AU221" s="59" t="e">
        <f aca="false">_xlfn.xlookup(A221,'SYS Allocations'!A:A,'SYS Allocations'!F:F)</f>
        <v>#NAME?</v>
      </c>
      <c r="BA221" s="0" t="str">
        <f aca="false">IFERROR(LEFT(R221,FIND("(",R221,1)-1),R221)</f>
        <v>DDm125-33</v>
      </c>
    </row>
    <row r="222" customFormat="false" ht="13.15" hidden="false" customHeight="false" outlineLevel="0" collapsed="false">
      <c r="A222" s="20" t="s">
        <v>238</v>
      </c>
      <c r="B222" s="0" t="s">
        <v>388</v>
      </c>
      <c r="C222" s="0" t="s">
        <v>778</v>
      </c>
      <c r="D222" s="0" t="s">
        <v>390</v>
      </c>
      <c r="E222" s="0" t="s">
        <v>779</v>
      </c>
      <c r="F222" s="0" t="s">
        <v>321</v>
      </c>
      <c r="G222" s="0" t="n">
        <v>36.6</v>
      </c>
      <c r="H222" s="0" t="n">
        <v>12</v>
      </c>
      <c r="I222" s="0" t="n">
        <v>99</v>
      </c>
      <c r="J222" s="0" t="n">
        <v>5.3955</v>
      </c>
      <c r="K222" s="45" t="n">
        <v>45659</v>
      </c>
      <c r="L222" s="0" t="n">
        <v>17.55336</v>
      </c>
      <c r="M222" s="0" t="n">
        <v>12.15786</v>
      </c>
      <c r="N222" s="0" t="n">
        <v>21.1569</v>
      </c>
      <c r="O222" s="0" t="n">
        <v>15.7614</v>
      </c>
      <c r="P222" s="0" t="s">
        <v>322</v>
      </c>
      <c r="Q222" s="0" t="s">
        <v>352</v>
      </c>
      <c r="R222" s="0" t="s">
        <v>780</v>
      </c>
      <c r="S222" s="0" t="n">
        <v>12.9276</v>
      </c>
      <c r="T222" s="0" t="n">
        <v>7.53210000000002</v>
      </c>
      <c r="U222" s="0" t="s">
        <v>325</v>
      </c>
      <c r="V222" s="0" t="s">
        <v>442</v>
      </c>
      <c r="W222" s="0" t="n">
        <v>11.25</v>
      </c>
      <c r="X222" s="0" t="n">
        <v>5.8545</v>
      </c>
      <c r="Y222" s="0" t="n">
        <v>1</v>
      </c>
      <c r="Z222" s="0" t="s">
        <v>8</v>
      </c>
      <c r="AB222" s="58" t="n">
        <f aca="false">M222-AA222</f>
        <v>12.15786</v>
      </c>
      <c r="AC222" s="58" t="n">
        <f aca="false">O222-AA222</f>
        <v>15.7614</v>
      </c>
      <c r="AD222" s="58" t="n">
        <f aca="false">AB222/L222%</f>
        <v>69.2622950819672</v>
      </c>
      <c r="AE222" s="58" t="n">
        <f aca="false">AC222/N222%</f>
        <v>74.4976816074189</v>
      </c>
      <c r="AF222" s="58" t="n">
        <f aca="false">T222-AA222</f>
        <v>7.53210000000002</v>
      </c>
      <c r="AG222" s="58" t="n">
        <f aca="false">AF222/S222%</f>
        <v>58.2637148426624</v>
      </c>
      <c r="AH222" s="58" t="n">
        <f aca="false">W222</f>
        <v>11.25</v>
      </c>
      <c r="AI222" s="58" t="n">
        <f aca="false">J222</f>
        <v>5.3955</v>
      </c>
      <c r="AJ222" s="58" t="n">
        <f aca="false">AH222-AI222</f>
        <v>5.8545</v>
      </c>
      <c r="AK222" s="58" t="n">
        <f aca="false">AA222</f>
        <v>0</v>
      </c>
      <c r="AL222" s="58" t="n">
        <f aca="false">AJ222-AK222</f>
        <v>5.8545</v>
      </c>
      <c r="AM222" s="58" t="n">
        <f aca="false">AL222/AH222%</f>
        <v>52.04</v>
      </c>
      <c r="AN222" s="0" t="str">
        <f aca="false">IF(ISBLANK(Z222),"","Capped")</f>
        <v>Capped</v>
      </c>
      <c r="AO222" s="0" t="s">
        <v>327</v>
      </c>
      <c r="AP222" s="0" t="str">
        <f aca="false">TRIM(BA222)</f>
        <v>SBS480 EON</v>
      </c>
      <c r="AQ222" s="59" t="e">
        <f aca="false">_xlfn.xlookup(A222,'SYS Allocations'!A:A,'SYS Allocations'!B:B)</f>
        <v>#NAME?</v>
      </c>
      <c r="AR222" s="59" t="e">
        <f aca="false">_xlfn.xlookup(A222,'SYS Allocations'!A:A,'SYS Allocations'!C:C)</f>
        <v>#NAME?</v>
      </c>
      <c r="AS222" s="59" t="e">
        <f aca="false">_xlfn.xlookup(A222,'SYS Allocations'!A:A,'SYS Allocations'!D:D)</f>
        <v>#NAME?</v>
      </c>
      <c r="AT222" s="59" t="e">
        <f aca="false">_xlfn.xlookup(A222,'SYS Allocations'!A:A,'SYS Allocations'!E:E)</f>
        <v>#NAME?</v>
      </c>
      <c r="AU222" s="59" t="e">
        <f aca="false">_xlfn.xlookup(A222,'SYS Allocations'!A:A,'SYS Allocations'!F:F)</f>
        <v>#NAME?</v>
      </c>
      <c r="BA222" s="0" t="str">
        <f aca="false">IFERROR(LEFT(R222,FIND("(",R222,1)-1),R222)</f>
        <v>SBS480 EON</v>
      </c>
    </row>
    <row r="223" customFormat="false" ht="13.15" hidden="false" customHeight="false" outlineLevel="0" collapsed="false">
      <c r="A223" s="20" t="s">
        <v>239</v>
      </c>
      <c r="B223" s="0" t="s">
        <v>328</v>
      </c>
      <c r="C223" s="0" t="s">
        <v>781</v>
      </c>
      <c r="D223" s="0" t="s">
        <v>685</v>
      </c>
      <c r="E223" s="0" t="s">
        <v>782</v>
      </c>
      <c r="F223" s="0" t="s">
        <v>364</v>
      </c>
      <c r="G223" s="0" t="n">
        <v>75</v>
      </c>
      <c r="H223" s="0" t="n">
        <v>6</v>
      </c>
      <c r="I223" s="0" t="n">
        <v>100</v>
      </c>
      <c r="J223" s="0" t="n">
        <v>5.45</v>
      </c>
      <c r="K223" s="45" t="n">
        <v>45615</v>
      </c>
      <c r="L223" s="0" t="n">
        <v>16.35</v>
      </c>
      <c r="M223" s="0" t="n">
        <v>10.9</v>
      </c>
      <c r="N223" s="0" t="n">
        <v>13.952</v>
      </c>
      <c r="O223" s="0" t="n">
        <v>8.502</v>
      </c>
      <c r="P223" s="0" t="s">
        <v>325</v>
      </c>
      <c r="Q223" s="0" t="s">
        <v>331</v>
      </c>
      <c r="R223" s="0" t="s">
        <v>365</v>
      </c>
      <c r="S223" s="0" t="n">
        <v>10.1088</v>
      </c>
      <c r="T223" s="0" t="n">
        <v>4.65879999999998</v>
      </c>
      <c r="U223" s="0" t="s">
        <v>325</v>
      </c>
      <c r="V223" s="0" t="s">
        <v>370</v>
      </c>
      <c r="W223" s="0" t="n">
        <v>15</v>
      </c>
      <c r="X223" s="0" t="n">
        <v>9.55</v>
      </c>
      <c r="Y223" s="0" t="n">
        <v>13</v>
      </c>
      <c r="AB223" s="58" t="n">
        <f aca="false">M223-AA223</f>
        <v>10.9</v>
      </c>
      <c r="AC223" s="58" t="n">
        <f aca="false">O223-AA223</f>
        <v>8.502</v>
      </c>
      <c r="AD223" s="58" t="n">
        <f aca="false">AB223/L223%</f>
        <v>66.6666666666667</v>
      </c>
      <c r="AE223" s="58" t="n">
        <f aca="false">AC223/N223%</f>
        <v>60.9375</v>
      </c>
      <c r="AF223" s="58" t="n">
        <f aca="false">T223-AA223</f>
        <v>4.65879999999998</v>
      </c>
      <c r="AG223" s="58" t="n">
        <f aca="false">AF223/S223%</f>
        <v>46.0865780310223</v>
      </c>
      <c r="AH223" s="58" t="n">
        <f aca="false">W223</f>
        <v>15</v>
      </c>
      <c r="AI223" s="58" t="n">
        <f aca="false">J223</f>
        <v>5.45</v>
      </c>
      <c r="AJ223" s="58" t="n">
        <f aca="false">AH223-AI223</f>
        <v>9.55</v>
      </c>
      <c r="AK223" s="58" t="n">
        <f aca="false">AA223</f>
        <v>0</v>
      </c>
      <c r="AL223" s="58" t="n">
        <f aca="false">AJ223-AK223</f>
        <v>9.55</v>
      </c>
      <c r="AM223" s="58" t="n">
        <f aca="false">AL223/AH223%</f>
        <v>63.6666666666667</v>
      </c>
      <c r="AN223" s="0" t="str">
        <f aca="false">IF(ISBLANK(Z223),"","Capped")</f>
        <v/>
      </c>
      <c r="AO223" s="0" t="s">
        <v>327</v>
      </c>
      <c r="AP223" s="0" t="str">
        <f aca="false">TRIM(BA223)</f>
        <v>2DDm85-15</v>
      </c>
      <c r="AQ223" s="59" t="e">
        <f aca="false">_xlfn.xlookup(A223,'SYS Allocations'!A:A,'SYS Allocations'!B:B)</f>
        <v>#NAME?</v>
      </c>
      <c r="AR223" s="59" t="e">
        <f aca="false">_xlfn.xlookup(A223,'SYS Allocations'!A:A,'SYS Allocations'!C:C)</f>
        <v>#NAME?</v>
      </c>
      <c r="AS223" s="59" t="e">
        <f aca="false">_xlfn.xlookup(A223,'SYS Allocations'!A:A,'SYS Allocations'!D:D)</f>
        <v>#NAME?</v>
      </c>
      <c r="AT223" s="59" t="e">
        <f aca="false">_xlfn.xlookup(A223,'SYS Allocations'!A:A,'SYS Allocations'!E:E)</f>
        <v>#NAME?</v>
      </c>
      <c r="AU223" s="59" t="e">
        <f aca="false">_xlfn.xlookup(A223,'SYS Allocations'!A:A,'SYS Allocations'!F:F)</f>
        <v>#NAME?</v>
      </c>
      <c r="BA223" s="0" t="str">
        <f aca="false">IFERROR(LEFT(R223,FIND("(",R223,1)-1),R223)</f>
        <v>2DDm85-15</v>
      </c>
    </row>
    <row r="224" customFormat="false" ht="13.15" hidden="false" customHeight="false" outlineLevel="0" collapsed="false">
      <c r="A224" s="20" t="s">
        <v>240</v>
      </c>
      <c r="B224" s="0" t="s">
        <v>488</v>
      </c>
      <c r="C224" s="0" t="s">
        <v>705</v>
      </c>
      <c r="D224" s="0" t="s">
        <v>319</v>
      </c>
      <c r="E224" s="0" t="s">
        <v>783</v>
      </c>
      <c r="F224" s="0" t="s">
        <v>321</v>
      </c>
      <c r="G224" s="0" t="n">
        <v>36.6</v>
      </c>
      <c r="H224" s="0" t="n">
        <v>15</v>
      </c>
      <c r="I224" s="0" t="n">
        <v>187</v>
      </c>
      <c r="J224" s="0" t="n">
        <v>10.1915</v>
      </c>
      <c r="K224" s="45" t="n">
        <v>45659</v>
      </c>
      <c r="L224" s="0" t="n">
        <v>22.34064</v>
      </c>
      <c r="M224" s="0" t="n">
        <v>12.14914</v>
      </c>
      <c r="N224" s="0" t="n">
        <v>16.8078</v>
      </c>
      <c r="O224" s="0" t="n">
        <v>6.6163</v>
      </c>
      <c r="P224" s="0" t="s">
        <v>325</v>
      </c>
      <c r="Q224" s="0" t="s">
        <v>331</v>
      </c>
      <c r="R224" s="0" t="s">
        <v>332</v>
      </c>
      <c r="S224" s="0" t="n">
        <v>17.4096</v>
      </c>
      <c r="T224" s="0" t="n">
        <v>7.21809999999998</v>
      </c>
      <c r="U224" s="0" t="s">
        <v>325</v>
      </c>
      <c r="V224" s="0" t="s">
        <v>515</v>
      </c>
      <c r="W224" s="0" t="n">
        <v>30</v>
      </c>
      <c r="X224" s="0" t="n">
        <v>19.8085</v>
      </c>
      <c r="Y224" s="0" t="n">
        <v>5</v>
      </c>
      <c r="AB224" s="58" t="n">
        <f aca="false">M224-AA224</f>
        <v>12.14914</v>
      </c>
      <c r="AC224" s="58" t="n">
        <f aca="false">O224-AA224</f>
        <v>6.6163</v>
      </c>
      <c r="AD224" s="58" t="n">
        <f aca="false">AB224/L224%</f>
        <v>54.3813427010148</v>
      </c>
      <c r="AE224" s="58" t="n">
        <f aca="false">AC224/N224%</f>
        <v>39.3644617380026</v>
      </c>
      <c r="AF224" s="58" t="n">
        <f aca="false">T224-AA224</f>
        <v>7.21809999999998</v>
      </c>
      <c r="AG224" s="58" t="n">
        <f aca="false">AF224/S224%</f>
        <v>41.4604585975553</v>
      </c>
      <c r="AH224" s="58" t="n">
        <f aca="false">W224</f>
        <v>30</v>
      </c>
      <c r="AI224" s="58" t="n">
        <f aca="false">J224</f>
        <v>10.1915</v>
      </c>
      <c r="AJ224" s="58" t="n">
        <f aca="false">AH224-AI224</f>
        <v>19.8085</v>
      </c>
      <c r="AK224" s="58" t="n">
        <f aca="false">AA224</f>
        <v>0</v>
      </c>
      <c r="AL224" s="58" t="n">
        <f aca="false">AJ224-AK224</f>
        <v>19.8085</v>
      </c>
      <c r="AM224" s="58" t="n">
        <f aca="false">AL224/AH224%</f>
        <v>66.0283333333333</v>
      </c>
      <c r="AN224" s="0" t="str">
        <f aca="false">IF(ISBLANK(Z224),"","Capped")</f>
        <v/>
      </c>
      <c r="AO224" s="0" t="s">
        <v>327</v>
      </c>
      <c r="AP224" s="0" t="str">
        <f aca="false">TRIM(BA224)</f>
        <v>DDm85-25</v>
      </c>
      <c r="AQ224" s="59" t="e">
        <f aca="false">_xlfn.xlookup(A224,'SYS Allocations'!A:A,'SYS Allocations'!B:B)</f>
        <v>#NAME?</v>
      </c>
      <c r="AR224" s="59" t="e">
        <f aca="false">_xlfn.xlookup(A224,'SYS Allocations'!A:A,'SYS Allocations'!C:C)</f>
        <v>#NAME?</v>
      </c>
      <c r="AS224" s="59" t="e">
        <f aca="false">_xlfn.xlookup(A224,'SYS Allocations'!A:A,'SYS Allocations'!D:D)</f>
        <v>#NAME?</v>
      </c>
      <c r="AT224" s="59" t="e">
        <f aca="false">_xlfn.xlookup(A224,'SYS Allocations'!A:A,'SYS Allocations'!E:E)</f>
        <v>#NAME?</v>
      </c>
      <c r="AU224" s="59" t="e">
        <f aca="false">_xlfn.xlookup(A224,'SYS Allocations'!A:A,'SYS Allocations'!F:F)</f>
        <v>#NAME?</v>
      </c>
      <c r="BA224" s="0" t="str">
        <f aca="false">IFERROR(LEFT(R224,FIND("(",R224,1)-1),R224)</f>
        <v>DDm85-25</v>
      </c>
    </row>
    <row r="225" customFormat="false" ht="13.15" hidden="false" customHeight="false" outlineLevel="0" collapsed="false">
      <c r="A225" s="20" t="s">
        <v>241</v>
      </c>
      <c r="B225" s="0" t="s">
        <v>376</v>
      </c>
      <c r="C225" s="0" t="s">
        <v>784</v>
      </c>
      <c r="D225" s="0" t="s">
        <v>319</v>
      </c>
      <c r="E225" s="0" t="s">
        <v>785</v>
      </c>
      <c r="F225" s="0" t="s">
        <v>321</v>
      </c>
      <c r="G225" s="0" t="n">
        <v>36.6</v>
      </c>
      <c r="H225" s="0" t="n">
        <v>26</v>
      </c>
      <c r="I225" s="0" t="n">
        <v>264</v>
      </c>
      <c r="J225" s="0" t="n">
        <v>14.388</v>
      </c>
      <c r="K225" s="45" t="n">
        <v>45604</v>
      </c>
      <c r="L225" s="0" t="n">
        <v>39.894</v>
      </c>
      <c r="M225" s="0" t="n">
        <v>25.506</v>
      </c>
      <c r="N225" s="0" t="n">
        <v>33.6483</v>
      </c>
      <c r="O225" s="0" t="n">
        <v>19.2603</v>
      </c>
      <c r="P225" s="0" t="s">
        <v>325</v>
      </c>
      <c r="Q225" s="0" t="s">
        <v>385</v>
      </c>
      <c r="R225" s="0" t="s">
        <v>786</v>
      </c>
      <c r="S225" s="0" t="n">
        <v>33.3936</v>
      </c>
      <c r="T225" s="0" t="n">
        <v>19.0056</v>
      </c>
      <c r="U225" s="0" t="s">
        <v>325</v>
      </c>
      <c r="V225" s="0" t="s">
        <v>787</v>
      </c>
      <c r="W225" s="0" t="n">
        <v>45.5625</v>
      </c>
      <c r="X225" s="0" t="n">
        <v>31.1745</v>
      </c>
      <c r="Y225" s="0" t="n">
        <v>13</v>
      </c>
      <c r="AB225" s="58" t="n">
        <f aca="false">M225-AA225</f>
        <v>25.506</v>
      </c>
      <c r="AC225" s="58" t="n">
        <f aca="false">O225-AA225</f>
        <v>19.2603</v>
      </c>
      <c r="AD225" s="58" t="n">
        <f aca="false">AB225/L225%</f>
        <v>63.9344262295082</v>
      </c>
      <c r="AE225" s="58" t="n">
        <f aca="false">AC225/N225%</f>
        <v>57.2400388726919</v>
      </c>
      <c r="AF225" s="58" t="n">
        <f aca="false">T225-AA225</f>
        <v>19.0056</v>
      </c>
      <c r="AG225" s="58" t="n">
        <f aca="false">AF225/S225%</f>
        <v>56.9138996693977</v>
      </c>
      <c r="AH225" s="58" t="n">
        <f aca="false">W225</f>
        <v>45.5625</v>
      </c>
      <c r="AI225" s="58" t="n">
        <f aca="false">J225</f>
        <v>14.388</v>
      </c>
      <c r="AJ225" s="58" t="n">
        <f aca="false">AH225-AI225</f>
        <v>31.1745</v>
      </c>
      <c r="AK225" s="58" t="n">
        <f aca="false">AA225</f>
        <v>0</v>
      </c>
      <c r="AL225" s="58" t="n">
        <f aca="false">AJ225-AK225</f>
        <v>31.1745</v>
      </c>
      <c r="AM225" s="58" t="n">
        <f aca="false">AL225/AH225%</f>
        <v>68.4213991769547</v>
      </c>
      <c r="AN225" s="0" t="str">
        <f aca="false">IF(ISBLANK(Z225),"","Capped")</f>
        <v/>
      </c>
      <c r="AO225" s="0" t="s">
        <v>327</v>
      </c>
      <c r="AP225" s="0" t="str">
        <f aca="false">TRIM(BA225)</f>
        <v>2SLA2000</v>
      </c>
      <c r="AQ225" s="59" t="e">
        <f aca="false">_xlfn.xlookup(A225,'SYS Allocations'!A:A,'SYS Allocations'!B:B)</f>
        <v>#NAME?</v>
      </c>
      <c r="AR225" s="59" t="e">
        <f aca="false">_xlfn.xlookup(A225,'SYS Allocations'!A:A,'SYS Allocations'!C:C)</f>
        <v>#NAME?</v>
      </c>
      <c r="AS225" s="59" t="e">
        <f aca="false">_xlfn.xlookup(A225,'SYS Allocations'!A:A,'SYS Allocations'!D:D)</f>
        <v>#NAME?</v>
      </c>
      <c r="AT225" s="59" t="e">
        <f aca="false">_xlfn.xlookup(A225,'SYS Allocations'!A:A,'SYS Allocations'!E:E)</f>
        <v>#NAME?</v>
      </c>
      <c r="AU225" s="59" t="e">
        <f aca="false">_xlfn.xlookup(A225,'SYS Allocations'!A:A,'SYS Allocations'!F:F)</f>
        <v>#NAME?</v>
      </c>
      <c r="BA225" s="0" t="str">
        <f aca="false">IFERROR(LEFT(R225,FIND("(",R225,1)-1),R225)</f>
        <v>2SLA2000</v>
      </c>
    </row>
    <row r="226" customFormat="false" ht="13.15" hidden="false" customHeight="false" outlineLevel="0" collapsed="false">
      <c r="A226" s="20" t="s">
        <v>242</v>
      </c>
      <c r="B226" s="0" t="s">
        <v>342</v>
      </c>
      <c r="C226" s="0" t="s">
        <v>342</v>
      </c>
      <c r="D226" s="0" t="s">
        <v>319</v>
      </c>
      <c r="E226" s="0" t="s">
        <v>788</v>
      </c>
      <c r="F226" s="0" t="s">
        <v>789</v>
      </c>
      <c r="G226" s="0" t="n">
        <v>50</v>
      </c>
      <c r="H226" s="0" t="n">
        <v>6</v>
      </c>
      <c r="I226" s="0" t="n">
        <v>103</v>
      </c>
      <c r="J226" s="0" t="n">
        <v>5.6135</v>
      </c>
      <c r="K226" s="45" t="n">
        <v>45335</v>
      </c>
      <c r="L226" s="0" t="n">
        <v>10.9</v>
      </c>
      <c r="M226" s="0" t="n">
        <v>5.2865</v>
      </c>
      <c r="N226" s="0" t="n">
        <v>6.594499455</v>
      </c>
      <c r="O226" s="0" t="n">
        <v>0.980999455</v>
      </c>
      <c r="P226" s="0" t="s">
        <v>326</v>
      </c>
      <c r="Q226" s="0" t="s">
        <v>352</v>
      </c>
      <c r="R226" s="0" t="s">
        <v>359</v>
      </c>
      <c r="S226" s="0" t="n">
        <v>14.04</v>
      </c>
      <c r="T226" s="0" t="n">
        <v>8.42650000000002</v>
      </c>
      <c r="U226" s="0" t="s">
        <v>337</v>
      </c>
      <c r="V226" s="0" t="s">
        <v>790</v>
      </c>
      <c r="W226" s="0" t="n">
        <v>25.5</v>
      </c>
      <c r="X226" s="0" t="n">
        <v>19.8865</v>
      </c>
      <c r="Y226" s="0" t="n">
        <v>2</v>
      </c>
      <c r="AB226" s="58" t="n">
        <f aca="false">M226-AA226</f>
        <v>5.2865</v>
      </c>
      <c r="AC226" s="58" t="n">
        <f aca="false">O226-AA226</f>
        <v>0.980999455</v>
      </c>
      <c r="AD226" s="58" t="n">
        <f aca="false">AB226/L226%</f>
        <v>48.5</v>
      </c>
      <c r="AE226" s="58" t="n">
        <f aca="false">AC226/N226%</f>
        <v>14.8760260228121</v>
      </c>
      <c r="AF226" s="58" t="n">
        <f aca="false">T226-AA226</f>
        <v>8.42650000000002</v>
      </c>
      <c r="AG226" s="58" t="n">
        <f aca="false">AF226/S226%</f>
        <v>60.0178062678064</v>
      </c>
      <c r="AH226" s="60" t="n">
        <f aca="false">AVERAGE(W226:W229)</f>
        <v>25.5</v>
      </c>
      <c r="AI226" s="60" t="n">
        <f aca="false">SUM(J226:J229)</f>
        <v>14.061</v>
      </c>
      <c r="AJ226" s="60" t="n">
        <f aca="false">AH226-AI226</f>
        <v>11.439</v>
      </c>
      <c r="AK226" s="60" t="n">
        <f aca="false">SUM(AA226:AA229)</f>
        <v>0</v>
      </c>
      <c r="AL226" s="60" t="n">
        <f aca="false">AJ226-AK226</f>
        <v>11.439</v>
      </c>
      <c r="AM226" s="61" t="n">
        <f aca="false">AL226/AH226%</f>
        <v>44.8588235294118</v>
      </c>
      <c r="AN226" s="0" t="str">
        <f aca="false">IF(ISBLANK(Z226),"","Capped")</f>
        <v/>
      </c>
      <c r="AO226" s="0" t="s">
        <v>327</v>
      </c>
      <c r="AP226" s="0" t="str">
        <f aca="false">TRIM(BA226)</f>
        <v>12V155F</v>
      </c>
      <c r="AQ226" s="59" t="e">
        <f aca="false">_xlfn.xlookup(A226,'SYS Allocations'!A:A,'SYS Allocations'!B:B)</f>
        <v>#NAME?</v>
      </c>
      <c r="AR226" s="59" t="e">
        <f aca="false">_xlfn.xlookup(A226,'SYS Allocations'!A:A,'SYS Allocations'!C:C)</f>
        <v>#NAME?</v>
      </c>
      <c r="AS226" s="59" t="e">
        <f aca="false">_xlfn.xlookup(A226,'SYS Allocations'!A:A,'SYS Allocations'!D:D)</f>
        <v>#NAME?</v>
      </c>
      <c r="AT226" s="59" t="e">
        <f aca="false">_xlfn.xlookup(A226,'SYS Allocations'!A:A,'SYS Allocations'!E:E)</f>
        <v>#NAME?</v>
      </c>
      <c r="AU226" s="59" t="e">
        <f aca="false">_xlfn.xlookup(A226,'SYS Allocations'!A:A,'SYS Allocations'!F:F)</f>
        <v>#NAME?</v>
      </c>
      <c r="BA226" s="0" t="str">
        <f aca="false">IFERROR(LEFT(R226,FIND("(",R226,1)-1),R226)</f>
        <v>12V155F</v>
      </c>
    </row>
    <row r="227" customFormat="false" ht="13.15" hidden="false" customHeight="false" outlineLevel="0" collapsed="false">
      <c r="A227" s="20" t="s">
        <v>243</v>
      </c>
      <c r="B227" s="0" t="s">
        <v>342</v>
      </c>
      <c r="C227" s="0" t="s">
        <v>342</v>
      </c>
      <c r="D227" s="0" t="s">
        <v>319</v>
      </c>
      <c r="E227" s="0" t="s">
        <v>788</v>
      </c>
      <c r="F227" s="0" t="s">
        <v>789</v>
      </c>
      <c r="G227" s="0" t="n">
        <v>50</v>
      </c>
      <c r="H227" s="0" t="n">
        <v>6</v>
      </c>
      <c r="I227" s="0" t="n">
        <v>134</v>
      </c>
      <c r="J227" s="0" t="n">
        <v>7.303</v>
      </c>
      <c r="K227" s="45" t="n">
        <v>45582</v>
      </c>
      <c r="L227" s="0" t="n">
        <v>10.9</v>
      </c>
      <c r="M227" s="0" t="n">
        <v>3.597</v>
      </c>
      <c r="N227" s="0" t="n">
        <v>6.594499455</v>
      </c>
      <c r="O227" s="0" t="n">
        <v>-0.708500545</v>
      </c>
      <c r="P227" s="0" t="s">
        <v>326</v>
      </c>
      <c r="Q227" s="0" t="s">
        <v>352</v>
      </c>
      <c r="R227" s="0" t="s">
        <v>359</v>
      </c>
      <c r="S227" s="0" t="n">
        <v>14.04</v>
      </c>
      <c r="T227" s="0" t="n">
        <v>6.73700000000002</v>
      </c>
      <c r="U227" s="0" t="s">
        <v>337</v>
      </c>
      <c r="V227" s="0" t="s">
        <v>790</v>
      </c>
      <c r="W227" s="0" t="n">
        <v>25.5</v>
      </c>
      <c r="X227" s="0" t="n">
        <v>18.197</v>
      </c>
      <c r="Y227" s="0" t="n">
        <v>2</v>
      </c>
      <c r="AB227" s="58" t="n">
        <f aca="false">M227-AA227</f>
        <v>3.597</v>
      </c>
      <c r="AC227" s="58" t="n">
        <f aca="false">O227-AA227</f>
        <v>-0.708500545</v>
      </c>
      <c r="AD227" s="58" t="n">
        <f aca="false">AB227/L227%</f>
        <v>33</v>
      </c>
      <c r="AE227" s="58" t="n">
        <f aca="false">AC227/N227%</f>
        <v>-10.7438108052736</v>
      </c>
      <c r="AF227" s="58" t="n">
        <f aca="false">T227-AA227</f>
        <v>6.73700000000002</v>
      </c>
      <c r="AG227" s="58" t="n">
        <f aca="false">AF227/S227%</f>
        <v>47.9843304843306</v>
      </c>
      <c r="AH227" s="60"/>
      <c r="AI227" s="60"/>
      <c r="AJ227" s="60"/>
      <c r="AK227" s="60"/>
      <c r="AL227" s="60"/>
      <c r="AM227" s="61"/>
      <c r="AN227" s="0" t="str">
        <f aca="false">IF(ISBLANK(Z227),"","Capped")</f>
        <v/>
      </c>
      <c r="AO227" s="0" t="s">
        <v>327</v>
      </c>
      <c r="AP227" s="0" t="str">
        <f aca="false">TRIM(BA227)</f>
        <v>12V155F</v>
      </c>
      <c r="AQ227" s="59" t="e">
        <f aca="false">_xlfn.xlookup(A227,'SYS Allocations'!A:A,'SYS Allocations'!B:B)</f>
        <v>#NAME?</v>
      </c>
      <c r="AR227" s="59" t="e">
        <f aca="false">_xlfn.xlookup(A227,'SYS Allocations'!A:A,'SYS Allocations'!C:C)</f>
        <v>#NAME?</v>
      </c>
      <c r="AS227" s="59" t="e">
        <f aca="false">_xlfn.xlookup(A227,'SYS Allocations'!A:A,'SYS Allocations'!D:D)</f>
        <v>#NAME?</v>
      </c>
      <c r="AT227" s="59" t="e">
        <f aca="false">_xlfn.xlookup(A227,'SYS Allocations'!A:A,'SYS Allocations'!E:E)</f>
        <v>#NAME?</v>
      </c>
      <c r="AU227" s="59" t="e">
        <f aca="false">_xlfn.xlookup(A227,'SYS Allocations'!A:A,'SYS Allocations'!F:F)</f>
        <v>#NAME?</v>
      </c>
      <c r="BA227" s="0" t="str">
        <f aca="false">IFERROR(LEFT(R227,FIND("(",R227,1)-1),R227)</f>
        <v>12V155F</v>
      </c>
    </row>
    <row r="228" customFormat="false" ht="13.15" hidden="false" customHeight="false" outlineLevel="0" collapsed="false">
      <c r="A228" s="20" t="s">
        <v>244</v>
      </c>
      <c r="B228" s="0" t="s">
        <v>342</v>
      </c>
      <c r="C228" s="0" t="s">
        <v>342</v>
      </c>
      <c r="D228" s="0" t="s">
        <v>319</v>
      </c>
      <c r="E228" s="0" t="s">
        <v>788</v>
      </c>
      <c r="F228" s="0" t="s">
        <v>736</v>
      </c>
      <c r="G228" s="0" t="n">
        <v>50</v>
      </c>
      <c r="H228" s="0" t="n">
        <v>6</v>
      </c>
      <c r="I228" s="0" t="n">
        <v>20</v>
      </c>
      <c r="J228" s="0" t="n">
        <v>1.09</v>
      </c>
      <c r="K228" s="45" t="n">
        <v>45324</v>
      </c>
      <c r="L228" s="0" t="n">
        <v>10.9</v>
      </c>
      <c r="M228" s="0" t="n">
        <v>9.81</v>
      </c>
      <c r="N228" s="0" t="n">
        <v>5.188399346</v>
      </c>
      <c r="O228" s="0" t="n">
        <v>4.098399346</v>
      </c>
      <c r="P228" s="0" t="s">
        <v>428</v>
      </c>
      <c r="Q228" s="0" t="s">
        <v>352</v>
      </c>
      <c r="R228" s="0" t="s">
        <v>359</v>
      </c>
      <c r="S228" s="0" t="n">
        <v>16.848</v>
      </c>
      <c r="T228" s="0" t="n">
        <v>15.758</v>
      </c>
      <c r="U228" s="0" t="s">
        <v>337</v>
      </c>
      <c r="V228" s="0" t="s">
        <v>790</v>
      </c>
      <c r="W228" s="0" t="n">
        <v>25.5</v>
      </c>
      <c r="X228" s="0" t="n">
        <v>24.41</v>
      </c>
      <c r="Y228" s="0" t="n">
        <v>2</v>
      </c>
      <c r="AB228" s="58" t="n">
        <f aca="false">M228-AA228</f>
        <v>9.81</v>
      </c>
      <c r="AC228" s="58" t="n">
        <f aca="false">O228-AA228</f>
        <v>4.098399346</v>
      </c>
      <c r="AD228" s="58" t="n">
        <f aca="false">AB228/L228%</f>
        <v>90</v>
      </c>
      <c r="AE228" s="58" t="n">
        <f aca="false">AC228/N228%</f>
        <v>78.9915939905371</v>
      </c>
      <c r="AF228" s="58" t="n">
        <f aca="false">T228-AA228</f>
        <v>15.758</v>
      </c>
      <c r="AG228" s="58" t="n">
        <f aca="false">AF228/S228%</f>
        <v>93.5303893637227</v>
      </c>
      <c r="AH228" s="60"/>
      <c r="AI228" s="60"/>
      <c r="AJ228" s="60"/>
      <c r="AK228" s="60"/>
      <c r="AL228" s="60"/>
      <c r="AM228" s="61"/>
      <c r="AN228" s="0" t="str">
        <f aca="false">IF(ISBLANK(Z228),"","Capped")</f>
        <v/>
      </c>
      <c r="AO228" s="0" t="s">
        <v>327</v>
      </c>
      <c r="AP228" s="0" t="str">
        <f aca="false">TRIM(BA228)</f>
        <v>12V155F</v>
      </c>
      <c r="AQ228" s="59" t="e">
        <f aca="false">_xlfn.xlookup(A228,'SYS Allocations'!A:A,'SYS Allocations'!B:B)</f>
        <v>#NAME?</v>
      </c>
      <c r="AR228" s="59" t="e">
        <f aca="false">_xlfn.xlookup(A228,'SYS Allocations'!A:A,'SYS Allocations'!C:C)</f>
        <v>#NAME?</v>
      </c>
      <c r="AS228" s="59" t="e">
        <f aca="false">_xlfn.xlookup(A228,'SYS Allocations'!A:A,'SYS Allocations'!D:D)</f>
        <v>#NAME?</v>
      </c>
      <c r="AT228" s="59" t="e">
        <f aca="false">_xlfn.xlookup(A228,'SYS Allocations'!A:A,'SYS Allocations'!E:E)</f>
        <v>#NAME?</v>
      </c>
      <c r="AU228" s="59" t="e">
        <f aca="false">_xlfn.xlookup(A228,'SYS Allocations'!A:A,'SYS Allocations'!F:F)</f>
        <v>#NAME?</v>
      </c>
      <c r="BA228" s="0" t="str">
        <f aca="false">IFERROR(LEFT(R228,FIND("(",R228,1)-1),R228)</f>
        <v>12V155F</v>
      </c>
    </row>
    <row r="229" customFormat="false" ht="13.15" hidden="false" customHeight="false" outlineLevel="0" collapsed="false">
      <c r="A229" s="20" t="s">
        <v>245</v>
      </c>
      <c r="B229" s="0" t="s">
        <v>342</v>
      </c>
      <c r="C229" s="0" t="s">
        <v>342</v>
      </c>
      <c r="D229" s="0" t="s">
        <v>319</v>
      </c>
      <c r="E229" s="0" t="s">
        <v>788</v>
      </c>
      <c r="F229" s="0" t="s">
        <v>736</v>
      </c>
      <c r="G229" s="0" t="n">
        <v>50</v>
      </c>
      <c r="H229" s="0" t="n">
        <v>4</v>
      </c>
      <c r="I229" s="0" t="n">
        <v>1</v>
      </c>
      <c r="J229" s="0" t="n">
        <v>0.0545</v>
      </c>
      <c r="K229" s="45" t="n">
        <v>45343</v>
      </c>
      <c r="L229" s="0" t="n">
        <v>6.54</v>
      </c>
      <c r="M229" s="0" t="n">
        <v>6.4855</v>
      </c>
      <c r="N229" s="0" t="n">
        <v>2.550599564</v>
      </c>
      <c r="O229" s="0" t="n">
        <v>2.496099564</v>
      </c>
      <c r="P229" s="0" t="s">
        <v>446</v>
      </c>
      <c r="Q229" s="0" t="s">
        <v>352</v>
      </c>
      <c r="R229" s="0" t="s">
        <v>359</v>
      </c>
      <c r="S229" s="0" t="n">
        <v>11.232</v>
      </c>
      <c r="T229" s="0" t="n">
        <v>11.1775</v>
      </c>
      <c r="U229" s="0" t="s">
        <v>337</v>
      </c>
      <c r="V229" s="0" t="s">
        <v>790</v>
      </c>
      <c r="W229" s="0" t="n">
        <v>25.5</v>
      </c>
      <c r="X229" s="0" t="n">
        <v>25.4455</v>
      </c>
      <c r="Y229" s="0" t="n">
        <v>2</v>
      </c>
      <c r="AB229" s="58" t="n">
        <f aca="false">M229-AA229</f>
        <v>6.4855</v>
      </c>
      <c r="AC229" s="58" t="n">
        <f aca="false">O229-AA229</f>
        <v>2.496099564</v>
      </c>
      <c r="AD229" s="58" t="n">
        <f aca="false">AB229/L229%</f>
        <v>99.1666666666667</v>
      </c>
      <c r="AE229" s="58" t="n">
        <f aca="false">AC229/N229%</f>
        <v>97.863247497991</v>
      </c>
      <c r="AF229" s="58" t="n">
        <f aca="false">T229-AA229</f>
        <v>11.1775</v>
      </c>
      <c r="AG229" s="58" t="n">
        <f aca="false">AF229/S229%</f>
        <v>99.5147792022792</v>
      </c>
      <c r="AH229" s="60"/>
      <c r="AI229" s="60"/>
      <c r="AJ229" s="60"/>
      <c r="AK229" s="60"/>
      <c r="AL229" s="60"/>
      <c r="AM229" s="61"/>
      <c r="AN229" s="0" t="str">
        <f aca="false">IF(ISBLANK(Z229),"","Capped")</f>
        <v/>
      </c>
      <c r="AO229" s="0" t="s">
        <v>327</v>
      </c>
      <c r="AP229" s="0" t="str">
        <f aca="false">TRIM(BA229)</f>
        <v>12V155F</v>
      </c>
      <c r="AQ229" s="59" t="e">
        <f aca="false">_xlfn.xlookup(A229,'SYS Allocations'!A:A,'SYS Allocations'!B:B)</f>
        <v>#NAME?</v>
      </c>
      <c r="AR229" s="59" t="e">
        <f aca="false">_xlfn.xlookup(A229,'SYS Allocations'!A:A,'SYS Allocations'!C:C)</f>
        <v>#NAME?</v>
      </c>
      <c r="AS229" s="59" t="e">
        <f aca="false">_xlfn.xlookup(A229,'SYS Allocations'!A:A,'SYS Allocations'!D:D)</f>
        <v>#NAME?</v>
      </c>
      <c r="AT229" s="59" t="e">
        <f aca="false">_xlfn.xlookup(A229,'SYS Allocations'!A:A,'SYS Allocations'!E:E)</f>
        <v>#NAME?</v>
      </c>
      <c r="AU229" s="59" t="e">
        <f aca="false">_xlfn.xlookup(A229,'SYS Allocations'!A:A,'SYS Allocations'!F:F)</f>
        <v>#NAME?</v>
      </c>
      <c r="BA229" s="0" t="str">
        <f aca="false">IFERROR(LEFT(R229,FIND("(",R229,1)-1),R229)</f>
        <v>12V155F</v>
      </c>
    </row>
    <row r="230" customFormat="false" ht="13.15" hidden="false" customHeight="false" outlineLevel="0" collapsed="false">
      <c r="A230" s="20" t="s">
        <v>246</v>
      </c>
      <c r="B230" s="0" t="s">
        <v>342</v>
      </c>
      <c r="C230" s="0" t="s">
        <v>342</v>
      </c>
      <c r="D230" s="0" t="s">
        <v>390</v>
      </c>
      <c r="E230" s="0" t="s">
        <v>791</v>
      </c>
      <c r="F230" s="0" t="s">
        <v>510</v>
      </c>
      <c r="G230" s="0" t="n">
        <v>37.5</v>
      </c>
      <c r="H230" s="0" t="n">
        <v>10</v>
      </c>
      <c r="I230" s="0" t="n">
        <v>160</v>
      </c>
      <c r="J230" s="0" t="n">
        <v>8.72</v>
      </c>
      <c r="K230" s="45" t="n">
        <v>45600</v>
      </c>
      <c r="L230" s="0" t="n">
        <v>14.715</v>
      </c>
      <c r="M230" s="0" t="n">
        <v>5.995</v>
      </c>
      <c r="N230" s="0" t="n">
        <v>11.41775</v>
      </c>
      <c r="O230" s="0" t="n">
        <v>2.69775</v>
      </c>
      <c r="P230" s="0" t="s">
        <v>446</v>
      </c>
      <c r="Q230" s="0" t="s">
        <v>385</v>
      </c>
      <c r="R230" s="0" t="s">
        <v>792</v>
      </c>
      <c r="S230" s="0" t="n">
        <v>9.48672000000001</v>
      </c>
      <c r="T230" s="0" t="n">
        <v>0.766720000000005</v>
      </c>
      <c r="U230" s="0" t="s">
        <v>325</v>
      </c>
      <c r="V230" s="0" t="s">
        <v>793</v>
      </c>
      <c r="W230" s="0" t="n">
        <v>13.5</v>
      </c>
      <c r="X230" s="0" t="n">
        <v>4.78</v>
      </c>
      <c r="Y230" s="0" t="n">
        <v>0</v>
      </c>
      <c r="Z230" s="0" t="s">
        <v>8</v>
      </c>
      <c r="AB230" s="58" t="n">
        <f aca="false">M230-AA230</f>
        <v>5.995</v>
      </c>
      <c r="AC230" s="58" t="n">
        <f aca="false">O230-AA230</f>
        <v>2.69775</v>
      </c>
      <c r="AD230" s="58" t="n">
        <f aca="false">AB230/L230%</f>
        <v>40.7407407407407</v>
      </c>
      <c r="AE230" s="58" t="n">
        <f aca="false">AC230/N230%</f>
        <v>23.6276849642005</v>
      </c>
      <c r="AF230" s="58" t="n">
        <f aca="false">T230-AA230</f>
        <v>0.766720000000005</v>
      </c>
      <c r="AG230" s="58" t="n">
        <f aca="false">AF230/S230%</f>
        <v>8.08203467584164</v>
      </c>
      <c r="AH230" s="58" t="n">
        <f aca="false">W230</f>
        <v>13.5</v>
      </c>
      <c r="AI230" s="58" t="n">
        <f aca="false">J230</f>
        <v>8.72</v>
      </c>
      <c r="AJ230" s="58" t="n">
        <f aca="false">AH230-AI230</f>
        <v>4.78</v>
      </c>
      <c r="AK230" s="58" t="n">
        <f aca="false">AA230</f>
        <v>0</v>
      </c>
      <c r="AL230" s="58" t="n">
        <f aca="false">AJ230-AK230</f>
        <v>4.78</v>
      </c>
      <c r="AM230" s="58" t="n">
        <f aca="false">AL230/AH230%</f>
        <v>35.4074074074074</v>
      </c>
      <c r="AN230" s="0" t="str">
        <f aca="false">IF(ISBLANK(Z230),"","Capped")</f>
        <v>Capped</v>
      </c>
      <c r="AO230" s="0" t="s">
        <v>327</v>
      </c>
      <c r="AP230" s="0" t="str">
        <f aca="false">TRIM(BA230)</f>
        <v>12UMTB160</v>
      </c>
      <c r="AQ230" s="59" t="e">
        <f aca="false">_xlfn.xlookup(A230,'SYS Allocations'!A:A,'SYS Allocations'!B:B)</f>
        <v>#NAME?</v>
      </c>
      <c r="AR230" s="59" t="e">
        <f aca="false">_xlfn.xlookup(A230,'SYS Allocations'!A:A,'SYS Allocations'!C:C)</f>
        <v>#NAME?</v>
      </c>
      <c r="AS230" s="59" t="e">
        <f aca="false">_xlfn.xlookup(A230,'SYS Allocations'!A:A,'SYS Allocations'!D:D)</f>
        <v>#NAME?</v>
      </c>
      <c r="AT230" s="59" t="e">
        <f aca="false">_xlfn.xlookup(A230,'SYS Allocations'!A:A,'SYS Allocations'!E:E)</f>
        <v>#NAME?</v>
      </c>
      <c r="AU230" s="59" t="e">
        <f aca="false">_xlfn.xlookup(A230,'SYS Allocations'!A:A,'SYS Allocations'!F:F)</f>
        <v>#NAME?</v>
      </c>
      <c r="BA230" s="0" t="str">
        <f aca="false">IFERROR(LEFT(R230,FIND("(",R230,1)-1),R230)</f>
        <v>12UMTB160</v>
      </c>
    </row>
    <row r="231" customFormat="false" ht="13.15" hidden="false" customHeight="false" outlineLevel="0" collapsed="false">
      <c r="A231" s="20" t="s">
        <v>247</v>
      </c>
      <c r="B231" s="0" t="s">
        <v>394</v>
      </c>
      <c r="C231" s="0" t="s">
        <v>639</v>
      </c>
      <c r="D231" s="0" t="s">
        <v>390</v>
      </c>
      <c r="E231" s="0" t="s">
        <v>794</v>
      </c>
      <c r="F231" s="0" t="s">
        <v>321</v>
      </c>
      <c r="G231" s="0" t="n">
        <v>36.6</v>
      </c>
      <c r="H231" s="0" t="n">
        <v>51</v>
      </c>
      <c r="I231" s="0" t="n">
        <v>583</v>
      </c>
      <c r="J231" s="0" t="n">
        <v>31.7735</v>
      </c>
      <c r="K231" s="45" t="n">
        <v>45659</v>
      </c>
      <c r="L231" s="0" t="n">
        <v>79.788</v>
      </c>
      <c r="M231" s="0" t="n">
        <v>48.0145</v>
      </c>
      <c r="N231" s="0" t="n">
        <v>67.035</v>
      </c>
      <c r="O231" s="0" t="n">
        <v>35.2615</v>
      </c>
      <c r="P231" s="0" t="s">
        <v>322</v>
      </c>
      <c r="Q231" s="0" t="s">
        <v>331</v>
      </c>
      <c r="R231" s="0" t="s">
        <v>345</v>
      </c>
      <c r="S231" s="0" t="n">
        <v>53.3304</v>
      </c>
      <c r="T231" s="0" t="n">
        <v>21.5569</v>
      </c>
      <c r="U231" s="0" t="s">
        <v>337</v>
      </c>
      <c r="V231" s="0" t="s">
        <v>795</v>
      </c>
      <c r="W231" s="0" t="n">
        <v>16.65</v>
      </c>
      <c r="X231" s="0" t="n">
        <v>-15.1235</v>
      </c>
      <c r="Y231" s="0" t="n">
        <v>6</v>
      </c>
      <c r="Z231" s="0" t="s">
        <v>796</v>
      </c>
      <c r="AB231" s="58" t="n">
        <f aca="false">M231-AA231</f>
        <v>48.0145</v>
      </c>
      <c r="AC231" s="58" t="n">
        <f aca="false">O231-AA231</f>
        <v>35.2615</v>
      </c>
      <c r="AD231" s="58" t="n">
        <f aca="false">AB231/L231%</f>
        <v>60.1775956284153</v>
      </c>
      <c r="AE231" s="58" t="n">
        <f aca="false">AC231/N231%</f>
        <v>52.6016260162602</v>
      </c>
      <c r="AF231" s="58" t="n">
        <f aca="false">T231-AA231</f>
        <v>21.5569</v>
      </c>
      <c r="AG231" s="58" t="n">
        <f aca="false">AF231/S231%</f>
        <v>40.4214106775873</v>
      </c>
      <c r="AH231" s="60" t="n">
        <f aca="false">'Multiroom cooling'!F2</f>
        <v>91.35</v>
      </c>
      <c r="AI231" s="60" t="n">
        <f aca="false">SUM(J231:J232)</f>
        <v>64.5825</v>
      </c>
      <c r="AJ231" s="60" t="n">
        <f aca="false">AH231-AI231</f>
        <v>26.7675</v>
      </c>
      <c r="AK231" s="60" t="n">
        <f aca="false">SUM(AA231:AA232)</f>
        <v>0</v>
      </c>
      <c r="AL231" s="60" t="n">
        <f aca="false">AJ231-AK231</f>
        <v>26.7675</v>
      </c>
      <c r="AM231" s="61" t="n">
        <f aca="false">AL231/AH231%</f>
        <v>29.3021346469622</v>
      </c>
      <c r="AN231" s="0" t="str">
        <f aca="false">IF(ISBLANK(Z231),"","Capped")</f>
        <v>Capped</v>
      </c>
      <c r="AO231" s="0" t="s">
        <v>393</v>
      </c>
      <c r="AP231" s="0" t="str">
        <f aca="false">TRIM(BA231)</f>
        <v>DDm125-33</v>
      </c>
      <c r="AQ231" s="59" t="e">
        <f aca="false">_xlfn.xlookup(A231,'SYS Allocations'!A:A,'SYS Allocations'!B:B)</f>
        <v>#NAME?</v>
      </c>
      <c r="AR231" s="59" t="e">
        <f aca="false">_xlfn.xlookup(A231,'SYS Allocations'!A:A,'SYS Allocations'!C:C)</f>
        <v>#NAME?</v>
      </c>
      <c r="AS231" s="59" t="e">
        <f aca="false">_xlfn.xlookup(A231,'SYS Allocations'!A:A,'SYS Allocations'!D:D)</f>
        <v>#NAME?</v>
      </c>
      <c r="AT231" s="59" t="e">
        <f aca="false">_xlfn.xlookup(A231,'SYS Allocations'!A:A,'SYS Allocations'!E:E)</f>
        <v>#NAME?</v>
      </c>
      <c r="AU231" s="59" t="e">
        <f aca="false">_xlfn.xlookup(A231,'SYS Allocations'!A:A,'SYS Allocations'!F:F)</f>
        <v>#NAME?</v>
      </c>
      <c r="BA231" s="0" t="str">
        <f aca="false">IFERROR(LEFT(R231,FIND("(",R231,1)-1),R231)</f>
        <v>DDm125-33</v>
      </c>
    </row>
    <row r="232" customFormat="false" ht="13.15" hidden="false" customHeight="false" outlineLevel="0" collapsed="false">
      <c r="A232" s="20" t="s">
        <v>248</v>
      </c>
      <c r="B232" s="0" t="s">
        <v>394</v>
      </c>
      <c r="C232" s="0" t="s">
        <v>639</v>
      </c>
      <c r="D232" s="0" t="s">
        <v>390</v>
      </c>
      <c r="E232" s="0" t="s">
        <v>794</v>
      </c>
      <c r="F232" s="0" t="s">
        <v>321</v>
      </c>
      <c r="G232" s="0" t="n">
        <v>36.6</v>
      </c>
      <c r="H232" s="0" t="n">
        <v>51</v>
      </c>
      <c r="I232" s="0" t="n">
        <v>602</v>
      </c>
      <c r="J232" s="0" t="n">
        <v>32.809</v>
      </c>
      <c r="K232" s="45" t="n">
        <v>45659</v>
      </c>
      <c r="L232" s="0" t="n">
        <v>79.788</v>
      </c>
      <c r="M232" s="0" t="n">
        <v>46.979</v>
      </c>
      <c r="N232" s="0" t="n">
        <v>67.035</v>
      </c>
      <c r="O232" s="0" t="n">
        <v>34.226</v>
      </c>
      <c r="P232" s="0" t="s">
        <v>322</v>
      </c>
      <c r="Q232" s="0" t="s">
        <v>331</v>
      </c>
      <c r="R232" s="0" t="s">
        <v>345</v>
      </c>
      <c r="S232" s="0" t="n">
        <v>53.3304</v>
      </c>
      <c r="T232" s="0" t="n">
        <v>20.5214</v>
      </c>
      <c r="U232" s="0" t="s">
        <v>337</v>
      </c>
      <c r="V232" s="0" t="s">
        <v>795</v>
      </c>
      <c r="W232" s="0" t="n">
        <v>16.65</v>
      </c>
      <c r="X232" s="0" t="n">
        <v>-16.159</v>
      </c>
      <c r="Y232" s="0" t="n">
        <v>6</v>
      </c>
      <c r="Z232" s="0" t="s">
        <v>796</v>
      </c>
      <c r="AB232" s="58" t="n">
        <f aca="false">M232-AA232</f>
        <v>46.979</v>
      </c>
      <c r="AC232" s="58" t="n">
        <f aca="false">O232-AA232</f>
        <v>34.226</v>
      </c>
      <c r="AD232" s="58" t="n">
        <f aca="false">AB232/L232%</f>
        <v>58.879781420765</v>
      </c>
      <c r="AE232" s="58" t="n">
        <f aca="false">AC232/N232%</f>
        <v>51.0569105691057</v>
      </c>
      <c r="AF232" s="58" t="n">
        <f aca="false">T232-AA232</f>
        <v>20.5214</v>
      </c>
      <c r="AG232" s="58" t="n">
        <f aca="false">AF232/S232%</f>
        <v>38.4797413857762</v>
      </c>
      <c r="AH232" s="60"/>
      <c r="AI232" s="60"/>
      <c r="AJ232" s="60"/>
      <c r="AK232" s="60"/>
      <c r="AL232" s="60"/>
      <c r="AM232" s="61"/>
      <c r="AN232" s="0" t="str">
        <f aca="false">IF(ISBLANK(Z232),"","Capped")</f>
        <v>Capped</v>
      </c>
      <c r="AO232" s="0" t="s">
        <v>393</v>
      </c>
      <c r="AP232" s="0" t="str">
        <f aca="false">TRIM(BA232)</f>
        <v>DDm125-33</v>
      </c>
      <c r="AQ232" s="59" t="e">
        <f aca="false">_xlfn.xlookup(A232,'SYS Allocations'!A:A,'SYS Allocations'!B:B)</f>
        <v>#NAME?</v>
      </c>
      <c r="AR232" s="59" t="e">
        <f aca="false">_xlfn.xlookup(A232,'SYS Allocations'!A:A,'SYS Allocations'!C:C)</f>
        <v>#NAME?</v>
      </c>
      <c r="AS232" s="59" t="e">
        <f aca="false">_xlfn.xlookup(A232,'SYS Allocations'!A:A,'SYS Allocations'!D:D)</f>
        <v>#NAME?</v>
      </c>
      <c r="AT232" s="59" t="e">
        <f aca="false">_xlfn.xlookup(A232,'SYS Allocations'!A:A,'SYS Allocations'!E:E)</f>
        <v>#NAME?</v>
      </c>
      <c r="AU232" s="59" t="e">
        <f aca="false">_xlfn.xlookup(A232,'SYS Allocations'!A:A,'SYS Allocations'!F:F)</f>
        <v>#NAME?</v>
      </c>
      <c r="BA232" s="0" t="str">
        <f aca="false">IFERROR(LEFT(R232,FIND("(",R232,1)-1),R232)</f>
        <v>DDm125-33</v>
      </c>
    </row>
    <row r="233" customFormat="false" ht="13.15" hidden="false" customHeight="false" outlineLevel="0" collapsed="false">
      <c r="A233" s="20" t="s">
        <v>249</v>
      </c>
      <c r="B233" s="0" t="s">
        <v>348</v>
      </c>
      <c r="C233" s="0" t="s">
        <v>797</v>
      </c>
      <c r="D233" s="0" t="s">
        <v>319</v>
      </c>
      <c r="E233" s="0" t="s">
        <v>798</v>
      </c>
      <c r="F233" s="0" t="s">
        <v>560</v>
      </c>
      <c r="G233" s="0" t="n">
        <v>37.5</v>
      </c>
      <c r="H233" s="0" t="n">
        <v>3</v>
      </c>
      <c r="I233" s="0" t="n">
        <v>21</v>
      </c>
      <c r="J233" s="0" t="n">
        <v>1.1445</v>
      </c>
      <c r="K233" s="45" t="n">
        <v>45596</v>
      </c>
      <c r="L233" s="0" t="n">
        <v>3.27</v>
      </c>
      <c r="M233" s="0" t="n">
        <v>2.1255</v>
      </c>
      <c r="N233" s="0" t="n">
        <v>2.7795</v>
      </c>
      <c r="O233" s="0" t="n">
        <v>1.635</v>
      </c>
      <c r="P233" s="0" t="s">
        <v>322</v>
      </c>
      <c r="Q233" s="0" t="s">
        <v>352</v>
      </c>
      <c r="R233" s="0" t="s">
        <v>450</v>
      </c>
      <c r="S233" s="0" t="n">
        <v>2.92896</v>
      </c>
      <c r="T233" s="0" t="n">
        <v>1.78446</v>
      </c>
      <c r="U233" s="0" t="s">
        <v>325</v>
      </c>
      <c r="V233" s="0" t="s">
        <v>344</v>
      </c>
      <c r="W233" s="0" t="n">
        <v>3.75</v>
      </c>
      <c r="X233" s="0" t="n">
        <v>2.6055</v>
      </c>
      <c r="Y233" s="0" t="n">
        <v>0</v>
      </c>
      <c r="AB233" s="58" t="n">
        <f aca="false">M233-AA233</f>
        <v>2.1255</v>
      </c>
      <c r="AC233" s="58" t="n">
        <f aca="false">O233-AA233</f>
        <v>1.635</v>
      </c>
      <c r="AD233" s="58" t="n">
        <f aca="false">AB233/L233%</f>
        <v>65</v>
      </c>
      <c r="AE233" s="58" t="n">
        <f aca="false">AC233/N233%</f>
        <v>58.8235294117647</v>
      </c>
      <c r="AF233" s="58" t="n">
        <f aca="false">T233-AA233</f>
        <v>1.78446</v>
      </c>
      <c r="AG233" s="58" t="n">
        <f aca="false">AF233/S233%</f>
        <v>60.9246968207145</v>
      </c>
      <c r="AH233" s="58" t="n">
        <f aca="false">W233</f>
        <v>3.75</v>
      </c>
      <c r="AI233" s="58" t="n">
        <f aca="false">J233</f>
        <v>1.1445</v>
      </c>
      <c r="AJ233" s="58" t="n">
        <f aca="false">AH233-AI233</f>
        <v>2.6055</v>
      </c>
      <c r="AK233" s="58" t="n">
        <f aca="false">AA233</f>
        <v>0</v>
      </c>
      <c r="AL233" s="58" t="n">
        <f aca="false">AJ233-AK233</f>
        <v>2.6055</v>
      </c>
      <c r="AM233" s="58" t="n">
        <f aca="false">AL233/AH233%</f>
        <v>69.48</v>
      </c>
      <c r="AN233" s="0" t="str">
        <f aca="false">IF(ISBLANK(Z233),"","Capped")</f>
        <v/>
      </c>
      <c r="AO233" s="0" t="s">
        <v>327</v>
      </c>
      <c r="AP233" s="0" t="str">
        <f aca="false">TRIM(BA233)</f>
        <v>12V100F</v>
      </c>
      <c r="AQ233" s="59" t="e">
        <f aca="false">_xlfn.xlookup(A233,'SYS Allocations'!A:A,'SYS Allocations'!B:B)</f>
        <v>#NAME?</v>
      </c>
      <c r="AR233" s="59" t="e">
        <f aca="false">_xlfn.xlookup(A233,'SYS Allocations'!A:A,'SYS Allocations'!C:C)</f>
        <v>#NAME?</v>
      </c>
      <c r="AS233" s="59" t="e">
        <f aca="false">_xlfn.xlookup(A233,'SYS Allocations'!A:A,'SYS Allocations'!D:D)</f>
        <v>#NAME?</v>
      </c>
      <c r="AT233" s="59" t="e">
        <f aca="false">_xlfn.xlookup(A233,'SYS Allocations'!A:A,'SYS Allocations'!E:E)</f>
        <v>#NAME?</v>
      </c>
      <c r="AU233" s="59" t="e">
        <f aca="false">_xlfn.xlookup(A233,'SYS Allocations'!A:A,'SYS Allocations'!F:F)</f>
        <v>#NAME?</v>
      </c>
      <c r="BA233" s="0" t="str">
        <f aca="false">IFERROR(LEFT(R233,FIND("(",R233,1)-1),R233)</f>
        <v>12V100F</v>
      </c>
    </row>
    <row r="234" customFormat="false" ht="13.15" hidden="false" customHeight="false" outlineLevel="0" collapsed="false">
      <c r="A234" s="20" t="s">
        <v>250</v>
      </c>
      <c r="B234" s="0" t="s">
        <v>371</v>
      </c>
      <c r="C234" s="0" t="s">
        <v>799</v>
      </c>
      <c r="D234" s="0" t="s">
        <v>319</v>
      </c>
      <c r="E234" s="0" t="s">
        <v>800</v>
      </c>
      <c r="F234" s="0" t="s">
        <v>321</v>
      </c>
      <c r="G234" s="0" t="n">
        <v>36.6</v>
      </c>
      <c r="H234" s="0" t="n">
        <v>22</v>
      </c>
      <c r="I234" s="0" t="n">
        <v>95</v>
      </c>
      <c r="J234" s="0" t="n">
        <v>5.1775</v>
      </c>
      <c r="K234" s="45" t="n">
        <v>45659</v>
      </c>
      <c r="L234" s="0" t="n">
        <v>33.51096</v>
      </c>
      <c r="M234" s="0" t="n">
        <v>28.33346</v>
      </c>
      <c r="N234" s="0" t="n">
        <v>27.0647</v>
      </c>
      <c r="O234" s="0" t="n">
        <v>21.8872</v>
      </c>
      <c r="P234" s="0" t="s">
        <v>325</v>
      </c>
      <c r="Q234" s="0" t="s">
        <v>331</v>
      </c>
      <c r="R234" s="0" t="s">
        <v>472</v>
      </c>
      <c r="S234" s="0" t="n">
        <v>22.9824</v>
      </c>
      <c r="T234" s="0" t="n">
        <v>17.8049</v>
      </c>
      <c r="U234" s="0" t="s">
        <v>322</v>
      </c>
      <c r="V234" s="0" t="s">
        <v>338</v>
      </c>
      <c r="W234" s="0" t="n">
        <v>33.75</v>
      </c>
      <c r="X234" s="0" t="n">
        <v>28.5725</v>
      </c>
      <c r="Y234" s="0" t="n">
        <v>55</v>
      </c>
      <c r="AB234" s="58" t="n">
        <f aca="false">M234-AA234</f>
        <v>28.33346</v>
      </c>
      <c r="AC234" s="58" t="n">
        <f aca="false">O234-AA234</f>
        <v>21.8872</v>
      </c>
      <c r="AD234" s="58" t="n">
        <f aca="false">AB234/L234%</f>
        <v>84.5498308613063</v>
      </c>
      <c r="AE234" s="58" t="n">
        <f aca="false">AC234/N234%</f>
        <v>80.8699154248893</v>
      </c>
      <c r="AF234" s="58" t="n">
        <f aca="false">T234-AA234</f>
        <v>17.8049</v>
      </c>
      <c r="AG234" s="58" t="n">
        <f aca="false">AF234/S234%</f>
        <v>77.4718915343915</v>
      </c>
      <c r="AH234" s="58" t="n">
        <f aca="false">W234</f>
        <v>33.75</v>
      </c>
      <c r="AI234" s="58" t="n">
        <f aca="false">J234</f>
        <v>5.1775</v>
      </c>
      <c r="AJ234" s="58" t="n">
        <f aca="false">AH234-AI234</f>
        <v>28.5725</v>
      </c>
      <c r="AK234" s="58" t="n">
        <f aca="false">AA234</f>
        <v>0</v>
      </c>
      <c r="AL234" s="58" t="n">
        <f aca="false">AJ234-AK234</f>
        <v>28.5725</v>
      </c>
      <c r="AM234" s="58" t="n">
        <f aca="false">AL234/AH234%</f>
        <v>84.6592592592593</v>
      </c>
      <c r="AN234" s="0" t="str">
        <f aca="false">IF(ISBLANK(Z234),"","Capped")</f>
        <v/>
      </c>
      <c r="AO234" s="0" t="s">
        <v>393</v>
      </c>
      <c r="AP234" s="0" t="str">
        <f aca="false">TRIM(BA234)</f>
        <v>DDm85-33</v>
      </c>
      <c r="AQ234" s="59" t="e">
        <f aca="false">_xlfn.xlookup(A234,'SYS Allocations'!A:A,'SYS Allocations'!B:B)</f>
        <v>#NAME?</v>
      </c>
      <c r="AR234" s="59" t="e">
        <f aca="false">_xlfn.xlookup(A234,'SYS Allocations'!A:A,'SYS Allocations'!C:C)</f>
        <v>#NAME?</v>
      </c>
      <c r="AS234" s="59" t="e">
        <f aca="false">_xlfn.xlookup(A234,'SYS Allocations'!A:A,'SYS Allocations'!D:D)</f>
        <v>#NAME?</v>
      </c>
      <c r="AT234" s="59" t="e">
        <f aca="false">_xlfn.xlookup(A234,'SYS Allocations'!A:A,'SYS Allocations'!E:E)</f>
        <v>#NAME?</v>
      </c>
      <c r="AU234" s="59" t="e">
        <f aca="false">_xlfn.xlookup(A234,'SYS Allocations'!A:A,'SYS Allocations'!F:F)</f>
        <v>#NAME?</v>
      </c>
      <c r="BA234" s="0" t="str">
        <f aca="false">IFERROR(LEFT(R234,FIND("(",R234,1)-1),R234)</f>
        <v>DDm85-33</v>
      </c>
    </row>
    <row r="235" customFormat="false" ht="13.15" hidden="false" customHeight="false" outlineLevel="0" collapsed="false">
      <c r="A235" s="20" t="s">
        <v>251</v>
      </c>
      <c r="B235" s="0" t="s">
        <v>371</v>
      </c>
      <c r="C235" s="0" t="s">
        <v>799</v>
      </c>
      <c r="D235" s="0" t="s">
        <v>319</v>
      </c>
      <c r="E235" s="0" t="s">
        <v>800</v>
      </c>
      <c r="F235" s="0" t="s">
        <v>321</v>
      </c>
      <c r="G235" s="0" t="n">
        <v>36.6</v>
      </c>
      <c r="H235" s="0" t="n">
        <v>22</v>
      </c>
      <c r="I235" s="0" t="n">
        <v>92</v>
      </c>
      <c r="J235" s="0" t="n">
        <v>5.014</v>
      </c>
      <c r="K235" s="45" t="n">
        <v>45659</v>
      </c>
      <c r="L235" s="0" t="n">
        <v>33.51096</v>
      </c>
      <c r="M235" s="0" t="n">
        <v>28.49696</v>
      </c>
      <c r="N235" s="0" t="n">
        <v>27.0647</v>
      </c>
      <c r="O235" s="0" t="n">
        <v>22.0507</v>
      </c>
      <c r="P235" s="0" t="s">
        <v>325</v>
      </c>
      <c r="Q235" s="0" t="s">
        <v>331</v>
      </c>
      <c r="R235" s="0" t="s">
        <v>472</v>
      </c>
      <c r="S235" s="0" t="n">
        <v>22.9824</v>
      </c>
      <c r="T235" s="0" t="n">
        <v>17.9684</v>
      </c>
      <c r="U235" s="0" t="s">
        <v>322</v>
      </c>
      <c r="V235" s="0" t="s">
        <v>338</v>
      </c>
      <c r="W235" s="0" t="n">
        <v>33.75</v>
      </c>
      <c r="X235" s="0" t="n">
        <v>28.736</v>
      </c>
      <c r="Y235" s="0" t="n">
        <v>55</v>
      </c>
      <c r="AB235" s="58" t="n">
        <f aca="false">M235-AA235</f>
        <v>28.49696</v>
      </c>
      <c r="AC235" s="58" t="n">
        <f aca="false">O235-AA235</f>
        <v>22.0507</v>
      </c>
      <c r="AD235" s="58" t="n">
        <f aca="false">AB235/L235%</f>
        <v>85.0377309393703</v>
      </c>
      <c r="AE235" s="58" t="n">
        <f aca="false">AC235/N235%</f>
        <v>81.4740233588401</v>
      </c>
      <c r="AF235" s="58" t="n">
        <f aca="false">T235-AA235</f>
        <v>17.9684</v>
      </c>
      <c r="AG235" s="58" t="n">
        <f aca="false">AF235/S235%</f>
        <v>78.1833054859371</v>
      </c>
      <c r="AH235" s="58" t="n">
        <f aca="false">W235</f>
        <v>33.75</v>
      </c>
      <c r="AI235" s="58" t="n">
        <f aca="false">J235</f>
        <v>5.014</v>
      </c>
      <c r="AJ235" s="58" t="n">
        <f aca="false">AH235-AI235</f>
        <v>28.736</v>
      </c>
      <c r="AK235" s="58" t="n">
        <f aca="false">AA235</f>
        <v>0</v>
      </c>
      <c r="AL235" s="58" t="n">
        <f aca="false">AJ235-AK235</f>
        <v>28.736</v>
      </c>
      <c r="AM235" s="58" t="n">
        <f aca="false">AL235/AH235%</f>
        <v>85.1437037037037</v>
      </c>
      <c r="AN235" s="0" t="str">
        <f aca="false">IF(ISBLANK(Z235),"","Capped")</f>
        <v/>
      </c>
      <c r="AO235" s="0" t="s">
        <v>393</v>
      </c>
      <c r="AP235" s="0" t="str">
        <f aca="false">TRIM(BA235)</f>
        <v>DDm85-33</v>
      </c>
      <c r="AQ235" s="59" t="e">
        <f aca="false">_xlfn.xlookup(A235,'SYS Allocations'!A:A,'SYS Allocations'!B:B)</f>
        <v>#NAME?</v>
      </c>
      <c r="AR235" s="59" t="e">
        <f aca="false">_xlfn.xlookup(A235,'SYS Allocations'!A:A,'SYS Allocations'!C:C)</f>
        <v>#NAME?</v>
      </c>
      <c r="AS235" s="59" t="e">
        <f aca="false">_xlfn.xlookup(A235,'SYS Allocations'!A:A,'SYS Allocations'!D:D)</f>
        <v>#NAME?</v>
      </c>
      <c r="AT235" s="59" t="e">
        <f aca="false">_xlfn.xlookup(A235,'SYS Allocations'!A:A,'SYS Allocations'!E:E)</f>
        <v>#NAME?</v>
      </c>
      <c r="AU235" s="59" t="e">
        <f aca="false">_xlfn.xlookup(A235,'SYS Allocations'!A:A,'SYS Allocations'!F:F)</f>
        <v>#NAME?</v>
      </c>
      <c r="BA235" s="0" t="str">
        <f aca="false">IFERROR(LEFT(R235,FIND("(",R235,1)-1),R235)</f>
        <v>DDm85-33</v>
      </c>
    </row>
    <row r="236" customFormat="false" ht="13.15" hidden="false" customHeight="false" outlineLevel="0" collapsed="false">
      <c r="A236" s="20" t="s">
        <v>252</v>
      </c>
      <c r="B236" s="0" t="s">
        <v>371</v>
      </c>
      <c r="C236" s="0" t="s">
        <v>801</v>
      </c>
      <c r="D236" s="0" t="s">
        <v>685</v>
      </c>
      <c r="E236" s="0" t="s">
        <v>802</v>
      </c>
      <c r="F236" s="0" t="s">
        <v>321</v>
      </c>
      <c r="G236" s="0" t="n">
        <v>36.6</v>
      </c>
      <c r="H236" s="0" t="n">
        <v>6</v>
      </c>
      <c r="I236" s="0" t="n">
        <v>46</v>
      </c>
      <c r="J236" s="0" t="n">
        <v>2.507</v>
      </c>
      <c r="K236" s="45" t="n">
        <v>45659</v>
      </c>
      <c r="L236" s="0" t="n">
        <v>7.9788</v>
      </c>
      <c r="M236" s="0" t="n">
        <v>5.4718</v>
      </c>
      <c r="N236" s="0" t="n">
        <v>6.867</v>
      </c>
      <c r="O236" s="0" t="n">
        <v>4.36</v>
      </c>
      <c r="P236" s="0" t="s">
        <v>322</v>
      </c>
      <c r="Q236" s="0" t="s">
        <v>352</v>
      </c>
      <c r="R236" s="0" t="s">
        <v>557</v>
      </c>
      <c r="S236" s="0" t="n">
        <v>5.59224000000001</v>
      </c>
      <c r="T236" s="0" t="n">
        <v>3.08524000000001</v>
      </c>
      <c r="U236" s="0" t="s">
        <v>337</v>
      </c>
      <c r="V236" s="0" t="s">
        <v>773</v>
      </c>
      <c r="W236" s="0" t="n">
        <v>18</v>
      </c>
      <c r="X236" s="0" t="n">
        <v>15.493</v>
      </c>
      <c r="Y236" s="0" t="n">
        <v>65</v>
      </c>
      <c r="AB236" s="58" t="n">
        <f aca="false">M236-AA236</f>
        <v>5.4718</v>
      </c>
      <c r="AC236" s="58" t="n">
        <f aca="false">O236-AA236</f>
        <v>4.36</v>
      </c>
      <c r="AD236" s="58" t="n">
        <f aca="false">AB236/L236%</f>
        <v>68.5792349726776</v>
      </c>
      <c r="AE236" s="58" t="n">
        <f aca="false">AC236/N236%</f>
        <v>63.4920634920635</v>
      </c>
      <c r="AF236" s="58" t="n">
        <f aca="false">T236-AA236</f>
        <v>3.08524000000001</v>
      </c>
      <c r="AG236" s="58" t="n">
        <f aca="false">AF236/S236%</f>
        <v>55.1700213152512</v>
      </c>
      <c r="AH236" s="58" t="n">
        <f aca="false">W236</f>
        <v>18</v>
      </c>
      <c r="AI236" s="58" t="n">
        <f aca="false">J236</f>
        <v>2.507</v>
      </c>
      <c r="AJ236" s="58" t="n">
        <f aca="false">AH236-AI236</f>
        <v>15.493</v>
      </c>
      <c r="AK236" s="58" t="n">
        <f aca="false">AA236</f>
        <v>0</v>
      </c>
      <c r="AL236" s="58" t="n">
        <f aca="false">AJ236-AK236</f>
        <v>15.493</v>
      </c>
      <c r="AM236" s="58" t="n">
        <f aca="false">AL236/AH236%</f>
        <v>86.0722222222222</v>
      </c>
      <c r="AN236" s="0" t="str">
        <f aca="false">IF(ISBLANK(Z236),"","Capped")</f>
        <v/>
      </c>
      <c r="AO236" s="0" t="s">
        <v>327</v>
      </c>
      <c r="AP236" s="0" t="str">
        <f aca="false">TRIM(BA236)</f>
        <v>12V190F</v>
      </c>
      <c r="AQ236" s="59" t="e">
        <f aca="false">_xlfn.xlookup(A236,'SYS Allocations'!A:A,'SYS Allocations'!B:B)</f>
        <v>#NAME?</v>
      </c>
      <c r="AR236" s="59" t="e">
        <f aca="false">_xlfn.xlookup(A236,'SYS Allocations'!A:A,'SYS Allocations'!C:C)</f>
        <v>#NAME?</v>
      </c>
      <c r="AS236" s="59" t="e">
        <f aca="false">_xlfn.xlookup(A236,'SYS Allocations'!A:A,'SYS Allocations'!D:D)</f>
        <v>#NAME?</v>
      </c>
      <c r="AT236" s="59" t="e">
        <f aca="false">_xlfn.xlookup(A236,'SYS Allocations'!A:A,'SYS Allocations'!E:E)</f>
        <v>#NAME?</v>
      </c>
      <c r="AU236" s="59" t="e">
        <f aca="false">_xlfn.xlookup(A236,'SYS Allocations'!A:A,'SYS Allocations'!F:F)</f>
        <v>#NAME?</v>
      </c>
      <c r="BA236" s="0" t="str">
        <f aca="false">IFERROR(LEFT(R236,FIND("(",R236,1)-1),R236)</f>
        <v>12V190F</v>
      </c>
    </row>
    <row r="237" customFormat="false" ht="13.15" hidden="false" customHeight="false" outlineLevel="0" collapsed="false">
      <c r="A237" s="20" t="s">
        <v>253</v>
      </c>
      <c r="B237" s="0" t="s">
        <v>342</v>
      </c>
      <c r="C237" s="0" t="s">
        <v>803</v>
      </c>
      <c r="D237" s="0" t="s">
        <v>319</v>
      </c>
      <c r="E237" s="0" t="s">
        <v>804</v>
      </c>
      <c r="F237" s="0" t="s">
        <v>321</v>
      </c>
      <c r="G237" s="0" t="n">
        <v>36.6</v>
      </c>
      <c r="H237" s="0" t="n">
        <v>51</v>
      </c>
      <c r="I237" s="0" t="n">
        <v>721</v>
      </c>
      <c r="J237" s="0" t="n">
        <v>39.2945</v>
      </c>
      <c r="K237" s="45" t="n">
        <v>45448</v>
      </c>
      <c r="L237" s="0" t="n">
        <v>79.788</v>
      </c>
      <c r="M237" s="0" t="n">
        <v>40.4935</v>
      </c>
      <c r="N237" s="0" t="n">
        <v>56.135</v>
      </c>
      <c r="O237" s="0" t="n">
        <v>16.8405</v>
      </c>
      <c r="P237" s="0" t="s">
        <v>337</v>
      </c>
      <c r="Q237" s="0" t="s">
        <v>331</v>
      </c>
      <c r="R237" s="0" t="s">
        <v>345</v>
      </c>
      <c r="S237" s="0" t="n">
        <v>71.1072000000002</v>
      </c>
      <c r="T237" s="0" t="n">
        <v>31.8127000000002</v>
      </c>
      <c r="U237" s="0" t="s">
        <v>337</v>
      </c>
      <c r="V237" s="0" t="s">
        <v>436</v>
      </c>
      <c r="W237" s="0" t="n">
        <v>67.5</v>
      </c>
      <c r="X237" s="0" t="n">
        <v>28.2055</v>
      </c>
      <c r="Y237" s="0" t="n">
        <v>1</v>
      </c>
      <c r="AB237" s="58" t="n">
        <f aca="false">M237-AA237</f>
        <v>40.4935</v>
      </c>
      <c r="AC237" s="58" t="n">
        <f aca="false">O237-AA237</f>
        <v>16.8405</v>
      </c>
      <c r="AD237" s="58" t="n">
        <f aca="false">AB237/L237%</f>
        <v>50.7513661202186</v>
      </c>
      <c r="AE237" s="58" t="n">
        <f aca="false">AC237/N237%</f>
        <v>30</v>
      </c>
      <c r="AF237" s="58" t="n">
        <f aca="false">T237-AA237</f>
        <v>31.8127000000002</v>
      </c>
      <c r="AG237" s="58" t="n">
        <f aca="false">AF237/S237%</f>
        <v>44.7390700238515</v>
      </c>
      <c r="AH237" s="58" t="n">
        <f aca="false">W237</f>
        <v>67.5</v>
      </c>
      <c r="AI237" s="58" t="n">
        <f aca="false">J237</f>
        <v>39.2945</v>
      </c>
      <c r="AJ237" s="58" t="n">
        <f aca="false">AH237-AI237</f>
        <v>28.2055</v>
      </c>
      <c r="AK237" s="58" t="n">
        <f aca="false">AA237</f>
        <v>0</v>
      </c>
      <c r="AL237" s="58" t="n">
        <f aca="false">AJ237-AK237</f>
        <v>28.2055</v>
      </c>
      <c r="AM237" s="58" t="n">
        <f aca="false">AL237/AH237%</f>
        <v>41.7859259259259</v>
      </c>
      <c r="AN237" s="0" t="str">
        <f aca="false">IF(ISBLANK(Z237),"","Capped")</f>
        <v/>
      </c>
      <c r="AO237" s="0" t="s">
        <v>327</v>
      </c>
      <c r="AP237" s="0" t="str">
        <f aca="false">TRIM(BA237)</f>
        <v>DDm125-33</v>
      </c>
      <c r="AQ237" s="59" t="e">
        <f aca="false">_xlfn.xlookup(A237,'SYS Allocations'!A:A,'SYS Allocations'!B:B)</f>
        <v>#NAME?</v>
      </c>
      <c r="AR237" s="59" t="e">
        <f aca="false">_xlfn.xlookup(A237,'SYS Allocations'!A:A,'SYS Allocations'!C:C)</f>
        <v>#NAME?</v>
      </c>
      <c r="AS237" s="59" t="e">
        <f aca="false">_xlfn.xlookup(A237,'SYS Allocations'!A:A,'SYS Allocations'!D:D)</f>
        <v>#NAME?</v>
      </c>
      <c r="AT237" s="59" t="e">
        <f aca="false">_xlfn.xlookup(A237,'SYS Allocations'!A:A,'SYS Allocations'!E:E)</f>
        <v>#NAME?</v>
      </c>
      <c r="AU237" s="59" t="e">
        <f aca="false">_xlfn.xlookup(A237,'SYS Allocations'!A:A,'SYS Allocations'!F:F)</f>
        <v>#NAME?</v>
      </c>
      <c r="BA237" s="0" t="str">
        <f aca="false">IFERROR(LEFT(R237,FIND("(",R237,1)-1),R237)</f>
        <v>DDm125-33</v>
      </c>
    </row>
    <row r="238" customFormat="false" ht="13.15" hidden="false" customHeight="false" outlineLevel="0" collapsed="false">
      <c r="A238" s="20" t="s">
        <v>254</v>
      </c>
      <c r="B238" s="0" t="s">
        <v>342</v>
      </c>
      <c r="C238" s="0" t="s">
        <v>523</v>
      </c>
      <c r="D238" s="0" t="s">
        <v>390</v>
      </c>
      <c r="E238" s="0" t="s">
        <v>805</v>
      </c>
      <c r="F238" s="0" t="s">
        <v>321</v>
      </c>
      <c r="G238" s="0" t="n">
        <v>36.6</v>
      </c>
      <c r="H238" s="0" t="n">
        <v>81</v>
      </c>
      <c r="I238" s="0" t="n">
        <v>195</v>
      </c>
      <c r="J238" s="0" t="n">
        <v>10.6275</v>
      </c>
      <c r="K238" s="45" t="n">
        <v>45498</v>
      </c>
      <c r="L238" s="0" t="n">
        <v>127.6608</v>
      </c>
      <c r="M238" s="0" t="n">
        <v>117.0333</v>
      </c>
      <c r="N238" s="0" t="n">
        <v>145.406</v>
      </c>
      <c r="O238" s="0" t="n">
        <v>134.7785</v>
      </c>
      <c r="P238" s="0" t="s">
        <v>325</v>
      </c>
      <c r="Q238" s="0" t="s">
        <v>331</v>
      </c>
      <c r="R238" s="0" t="s">
        <v>340</v>
      </c>
      <c r="S238" s="0" t="n">
        <v>22.8528</v>
      </c>
      <c r="T238" s="0" t="n">
        <v>12.2253</v>
      </c>
      <c r="U238" s="0" t="s">
        <v>337</v>
      </c>
      <c r="V238" s="0" t="s">
        <v>416</v>
      </c>
      <c r="W238" s="0" t="n">
        <v>90</v>
      </c>
      <c r="X238" s="0" t="n">
        <v>79.3725</v>
      </c>
      <c r="Y238" s="0" t="n">
        <v>8</v>
      </c>
      <c r="Z238" s="0" t="s">
        <v>670</v>
      </c>
      <c r="AB238" s="58" t="n">
        <f aca="false">M238-AA238</f>
        <v>117.0333</v>
      </c>
      <c r="AC238" s="58" t="n">
        <f aca="false">O238-AA238</f>
        <v>134.7785</v>
      </c>
      <c r="AD238" s="58" t="n">
        <f aca="false">AB238/L238%</f>
        <v>91.6752049180328</v>
      </c>
      <c r="AE238" s="58" t="n">
        <f aca="false">AC238/N238%</f>
        <v>92.6911544227886</v>
      </c>
      <c r="AF238" s="58" t="n">
        <f aca="false">T238-AA238</f>
        <v>12.2253</v>
      </c>
      <c r="AG238" s="58" t="n">
        <f aca="false">AF238/S238%</f>
        <v>53.4958517118253</v>
      </c>
      <c r="AH238" s="58" t="n">
        <f aca="false">W238</f>
        <v>90</v>
      </c>
      <c r="AI238" s="58" t="n">
        <f aca="false">J238</f>
        <v>10.6275</v>
      </c>
      <c r="AJ238" s="58" t="n">
        <f aca="false">AH238-AI238</f>
        <v>79.3725</v>
      </c>
      <c r="AK238" s="58" t="n">
        <f aca="false">AA238</f>
        <v>0</v>
      </c>
      <c r="AL238" s="58" t="n">
        <f aca="false">AJ238-AK238</f>
        <v>79.3725</v>
      </c>
      <c r="AM238" s="58" t="n">
        <f aca="false">AL238/AH238%</f>
        <v>88.1916666666667</v>
      </c>
      <c r="AN238" s="0" t="str">
        <f aca="false">IF(ISBLANK(Z238),"","Capped")</f>
        <v>Capped</v>
      </c>
      <c r="AO238" s="0" t="s">
        <v>327</v>
      </c>
      <c r="AP238" s="0" t="str">
        <f aca="false">TRIM(BA238)</f>
        <v>DDm100-27</v>
      </c>
      <c r="AQ238" s="59" t="e">
        <f aca="false">_xlfn.xlookup(A238,'SYS Allocations'!A:A,'SYS Allocations'!B:B)</f>
        <v>#NAME?</v>
      </c>
      <c r="AR238" s="59" t="e">
        <f aca="false">_xlfn.xlookup(A238,'SYS Allocations'!A:A,'SYS Allocations'!C:C)</f>
        <v>#NAME?</v>
      </c>
      <c r="AS238" s="59" t="e">
        <f aca="false">_xlfn.xlookup(A238,'SYS Allocations'!A:A,'SYS Allocations'!D:D)</f>
        <v>#NAME?</v>
      </c>
      <c r="AT238" s="59" t="e">
        <f aca="false">_xlfn.xlookup(A238,'SYS Allocations'!A:A,'SYS Allocations'!E:E)</f>
        <v>#NAME?</v>
      </c>
      <c r="AU238" s="59" t="e">
        <f aca="false">_xlfn.xlookup(A238,'SYS Allocations'!A:A,'SYS Allocations'!F:F)</f>
        <v>#NAME?</v>
      </c>
      <c r="BA238" s="0" t="str">
        <f aca="false">IFERROR(LEFT(R238,FIND("(",R238,1)-1),R238)</f>
        <v>DDm100-27</v>
      </c>
    </row>
    <row r="239" customFormat="false" ht="13.15" hidden="false" customHeight="false" outlineLevel="0" collapsed="false">
      <c r="A239" s="20" t="s">
        <v>255</v>
      </c>
      <c r="B239" s="0" t="s">
        <v>342</v>
      </c>
      <c r="C239" s="0" t="s">
        <v>806</v>
      </c>
      <c r="D239" s="0" t="s">
        <v>390</v>
      </c>
      <c r="E239" s="0" t="s">
        <v>807</v>
      </c>
      <c r="F239" s="0" t="s">
        <v>321</v>
      </c>
      <c r="G239" s="0" t="n">
        <v>36.6</v>
      </c>
      <c r="H239" s="0" t="n">
        <v>67</v>
      </c>
      <c r="I239" s="0" t="n">
        <v>990</v>
      </c>
      <c r="J239" s="0" t="n">
        <v>53.955</v>
      </c>
      <c r="K239" s="45" t="n">
        <v>45659</v>
      </c>
      <c r="L239" s="0" t="n">
        <v>105.32016</v>
      </c>
      <c r="M239" s="0" t="n">
        <v>51.36516</v>
      </c>
      <c r="N239" s="0" t="n">
        <v>77.1502</v>
      </c>
      <c r="O239" s="0" t="n">
        <v>23.1952</v>
      </c>
      <c r="P239" s="0" t="s">
        <v>344</v>
      </c>
      <c r="Q239" s="0" t="s">
        <v>331</v>
      </c>
      <c r="R239" s="0" t="s">
        <v>345</v>
      </c>
      <c r="S239" s="0" t="n">
        <v>88.8840000000002</v>
      </c>
      <c r="T239" s="0" t="n">
        <v>34.9290000000002</v>
      </c>
      <c r="U239" s="0" t="s">
        <v>337</v>
      </c>
      <c r="V239" s="0" t="s">
        <v>366</v>
      </c>
      <c r="W239" s="0" t="n">
        <v>112.5</v>
      </c>
      <c r="X239" s="0" t="n">
        <v>58.545</v>
      </c>
      <c r="Y239" s="0" t="n">
        <v>9</v>
      </c>
      <c r="Z239" s="0" t="s">
        <v>808</v>
      </c>
      <c r="AB239" s="58" t="n">
        <f aca="false">M239-AA239</f>
        <v>51.36516</v>
      </c>
      <c r="AC239" s="58" t="n">
        <f aca="false">O239-AA239</f>
        <v>23.1952</v>
      </c>
      <c r="AD239" s="58" t="n">
        <f aca="false">AB239/L239%</f>
        <v>48.7704918032787</v>
      </c>
      <c r="AE239" s="58" t="n">
        <f aca="false">AC239/N239%</f>
        <v>30.0649901102006</v>
      </c>
      <c r="AF239" s="58" t="n">
        <f aca="false">T239-AA239</f>
        <v>34.9290000000002</v>
      </c>
      <c r="AG239" s="58" t="n">
        <f aca="false">AF239/S239%</f>
        <v>39.2972863507494</v>
      </c>
      <c r="AH239" s="60" t="n">
        <f aca="false">AVERAGE(W239:W240)</f>
        <v>112.5</v>
      </c>
      <c r="AI239" s="60" t="n">
        <f aca="false">SUM(J239:J240)</f>
        <v>99.844</v>
      </c>
      <c r="AJ239" s="60" t="n">
        <f aca="false">AH239-AI239</f>
        <v>12.656</v>
      </c>
      <c r="AK239" s="60" t="n">
        <f aca="false">SUM(AA239:AA240)</f>
        <v>0</v>
      </c>
      <c r="AL239" s="60" t="n">
        <f aca="false">AJ239-AK239</f>
        <v>12.656</v>
      </c>
      <c r="AM239" s="61" t="n">
        <f aca="false">AL239/AH239%</f>
        <v>11.2497777777778</v>
      </c>
      <c r="AN239" s="0" t="str">
        <f aca="false">IF(ISBLANK(Z239),"","Capped")</f>
        <v>Capped</v>
      </c>
      <c r="AO239" s="0" t="s">
        <v>393</v>
      </c>
      <c r="AP239" s="0" t="str">
        <f aca="false">TRIM(BA239)</f>
        <v>DDm125-33</v>
      </c>
      <c r="AQ239" s="59" t="e">
        <f aca="false">_xlfn.xlookup(A239,'SYS Allocations'!A:A,'SYS Allocations'!B:B)</f>
        <v>#NAME?</v>
      </c>
      <c r="AR239" s="59" t="e">
        <f aca="false">_xlfn.xlookup(A239,'SYS Allocations'!A:A,'SYS Allocations'!C:C)</f>
        <v>#NAME?</v>
      </c>
      <c r="AS239" s="59" t="e">
        <f aca="false">_xlfn.xlookup(A239,'SYS Allocations'!A:A,'SYS Allocations'!D:D)</f>
        <v>#NAME?</v>
      </c>
      <c r="AT239" s="59" t="e">
        <f aca="false">_xlfn.xlookup(A239,'SYS Allocations'!A:A,'SYS Allocations'!E:E)</f>
        <v>#NAME?</v>
      </c>
      <c r="AU239" s="59" t="e">
        <f aca="false">_xlfn.xlookup(A239,'SYS Allocations'!A:A,'SYS Allocations'!F:F)</f>
        <v>#NAME?</v>
      </c>
      <c r="BA239" s="0" t="str">
        <f aca="false">IFERROR(LEFT(R239,FIND("(",R239,1)-1),R239)</f>
        <v>DDm125-33</v>
      </c>
    </row>
    <row r="240" customFormat="false" ht="13.15" hidden="false" customHeight="false" outlineLevel="0" collapsed="false">
      <c r="A240" s="20" t="s">
        <v>256</v>
      </c>
      <c r="B240" s="0" t="s">
        <v>342</v>
      </c>
      <c r="C240" s="0" t="s">
        <v>806</v>
      </c>
      <c r="D240" s="0" t="s">
        <v>390</v>
      </c>
      <c r="E240" s="0" t="s">
        <v>807</v>
      </c>
      <c r="F240" s="0" t="s">
        <v>321</v>
      </c>
      <c r="G240" s="0" t="n">
        <v>36.6</v>
      </c>
      <c r="H240" s="0" t="n">
        <v>67</v>
      </c>
      <c r="I240" s="0" t="n">
        <v>842</v>
      </c>
      <c r="J240" s="0" t="n">
        <v>45.889</v>
      </c>
      <c r="K240" s="45" t="n">
        <v>45659</v>
      </c>
      <c r="L240" s="0" t="n">
        <v>105.32016</v>
      </c>
      <c r="M240" s="0" t="n">
        <v>59.43116</v>
      </c>
      <c r="N240" s="0" t="n">
        <v>77.1502</v>
      </c>
      <c r="O240" s="0" t="n">
        <v>31.2612</v>
      </c>
      <c r="P240" s="0" t="s">
        <v>344</v>
      </c>
      <c r="Q240" s="0" t="s">
        <v>331</v>
      </c>
      <c r="R240" s="0" t="s">
        <v>345</v>
      </c>
      <c r="S240" s="0" t="n">
        <v>88.8840000000002</v>
      </c>
      <c r="T240" s="0" t="n">
        <v>42.9950000000002</v>
      </c>
      <c r="U240" s="0" t="s">
        <v>337</v>
      </c>
      <c r="V240" s="0" t="s">
        <v>366</v>
      </c>
      <c r="W240" s="0" t="n">
        <v>112.5</v>
      </c>
      <c r="X240" s="0" t="n">
        <v>66.611</v>
      </c>
      <c r="Y240" s="0" t="n">
        <v>9</v>
      </c>
      <c r="Z240" s="0" t="s">
        <v>808</v>
      </c>
      <c r="AB240" s="58" t="n">
        <f aca="false">M240-AA240</f>
        <v>59.43116</v>
      </c>
      <c r="AC240" s="58" t="n">
        <f aca="false">O240-AA240</f>
        <v>31.2612</v>
      </c>
      <c r="AD240" s="58" t="n">
        <f aca="false">AB240/L240%</f>
        <v>56.4290445437987</v>
      </c>
      <c r="AE240" s="58" t="n">
        <f aca="false">AC240/N240%</f>
        <v>40.519920881605</v>
      </c>
      <c r="AF240" s="58" t="n">
        <f aca="false">T240-AA240</f>
        <v>42.9950000000002</v>
      </c>
      <c r="AG240" s="58" t="n">
        <f aca="false">AF240/S240%</f>
        <v>48.3720354619505</v>
      </c>
      <c r="AH240" s="60"/>
      <c r="AI240" s="60"/>
      <c r="AJ240" s="60"/>
      <c r="AK240" s="60"/>
      <c r="AL240" s="60"/>
      <c r="AM240" s="61"/>
      <c r="AN240" s="0" t="str">
        <f aca="false">IF(ISBLANK(Z240),"","Capped")</f>
        <v>Capped</v>
      </c>
      <c r="AO240" s="0" t="s">
        <v>393</v>
      </c>
      <c r="AP240" s="0" t="str">
        <f aca="false">TRIM(BA240)</f>
        <v>DDm125-33</v>
      </c>
      <c r="AQ240" s="59" t="e">
        <f aca="false">_xlfn.xlookup(A240,'SYS Allocations'!A:A,'SYS Allocations'!B:B)</f>
        <v>#NAME?</v>
      </c>
      <c r="AR240" s="59" t="e">
        <f aca="false">_xlfn.xlookup(A240,'SYS Allocations'!A:A,'SYS Allocations'!C:C)</f>
        <v>#NAME?</v>
      </c>
      <c r="AS240" s="59" t="e">
        <f aca="false">_xlfn.xlookup(A240,'SYS Allocations'!A:A,'SYS Allocations'!D:D)</f>
        <v>#NAME?</v>
      </c>
      <c r="AT240" s="59" t="e">
        <f aca="false">_xlfn.xlookup(A240,'SYS Allocations'!A:A,'SYS Allocations'!E:E)</f>
        <v>#NAME?</v>
      </c>
      <c r="AU240" s="59" t="e">
        <f aca="false">_xlfn.xlookup(A240,'SYS Allocations'!A:A,'SYS Allocations'!F:F)</f>
        <v>#NAME?</v>
      </c>
      <c r="BA240" s="0" t="str">
        <f aca="false">IFERROR(LEFT(R240,FIND("(",R240,1)-1),R240)</f>
        <v>DDm125-33</v>
      </c>
    </row>
    <row r="241" customFormat="false" ht="13.15" hidden="false" customHeight="false" outlineLevel="0" collapsed="false">
      <c r="A241" s="20" t="s">
        <v>257</v>
      </c>
      <c r="B241" s="0" t="s">
        <v>342</v>
      </c>
      <c r="C241" s="0" t="s">
        <v>806</v>
      </c>
      <c r="D241" s="0" t="s">
        <v>319</v>
      </c>
      <c r="E241" s="0" t="s">
        <v>809</v>
      </c>
      <c r="F241" s="0" t="s">
        <v>321</v>
      </c>
      <c r="G241" s="0" t="n">
        <v>36.6</v>
      </c>
      <c r="H241" s="0" t="n">
        <v>60</v>
      </c>
      <c r="I241" s="0" t="n">
        <v>355</v>
      </c>
      <c r="J241" s="0" t="n">
        <v>19.3475</v>
      </c>
      <c r="K241" s="45" t="n">
        <v>45659</v>
      </c>
      <c r="L241" s="0" t="n">
        <v>94.14984</v>
      </c>
      <c r="M241" s="0" t="n">
        <v>74.80234</v>
      </c>
      <c r="N241" s="0" t="n">
        <v>89.3473</v>
      </c>
      <c r="O241" s="0" t="n">
        <v>69.9998</v>
      </c>
      <c r="P241" s="0" t="s">
        <v>337</v>
      </c>
      <c r="Q241" s="0" t="s">
        <v>331</v>
      </c>
      <c r="R241" s="0" t="s">
        <v>340</v>
      </c>
      <c r="S241" s="0" t="n">
        <v>45.7056</v>
      </c>
      <c r="T241" s="0" t="n">
        <v>26.3581</v>
      </c>
      <c r="U241" s="0" t="s">
        <v>344</v>
      </c>
      <c r="V241" s="0" t="s">
        <v>416</v>
      </c>
      <c r="W241" s="0" t="n">
        <v>90</v>
      </c>
      <c r="X241" s="0" t="n">
        <v>70.6525</v>
      </c>
      <c r="Y241" s="0" t="n">
        <v>64</v>
      </c>
      <c r="AB241" s="58" t="n">
        <f aca="false">M241-AA241</f>
        <v>74.80234</v>
      </c>
      <c r="AC241" s="58" t="n">
        <f aca="false">O241-AA241</f>
        <v>69.9998</v>
      </c>
      <c r="AD241" s="58" t="n">
        <f aca="false">AB241/L241%</f>
        <v>79.4503102713717</v>
      </c>
      <c r="AE241" s="58" t="n">
        <f aca="false">AC241/N241%</f>
        <v>78.3457362449677</v>
      </c>
      <c r="AF241" s="58" t="n">
        <f aca="false">T241-AA241</f>
        <v>26.3581</v>
      </c>
      <c r="AG241" s="58" t="n">
        <f aca="false">AF241/S241%</f>
        <v>57.6693009171743</v>
      </c>
      <c r="AH241" s="60" t="n">
        <f aca="false">AVERAGE(W241:W242)</f>
        <v>90</v>
      </c>
      <c r="AI241" s="60" t="n">
        <f aca="false">SUM(J241:J242)</f>
        <v>37.8775</v>
      </c>
      <c r="AJ241" s="60" t="n">
        <f aca="false">AH241-AI241</f>
        <v>52.1225</v>
      </c>
      <c r="AK241" s="60" t="n">
        <f aca="false">SUM(AA241:AA242)</f>
        <v>0</v>
      </c>
      <c r="AL241" s="60" t="n">
        <f aca="false">AJ241-AK241</f>
        <v>52.1225</v>
      </c>
      <c r="AM241" s="61" t="n">
        <f aca="false">AL241/AH241%</f>
        <v>57.9138888888889</v>
      </c>
      <c r="AN241" s="0" t="str">
        <f aca="false">IF(ISBLANK(Z241),"","Capped")</f>
        <v/>
      </c>
      <c r="AO241" s="0" t="s">
        <v>393</v>
      </c>
      <c r="AP241" s="0" t="str">
        <f aca="false">TRIM(BA241)</f>
        <v>DDm100-27</v>
      </c>
      <c r="AQ241" s="59" t="e">
        <f aca="false">_xlfn.xlookup(A241,'SYS Allocations'!A:A,'SYS Allocations'!B:B)</f>
        <v>#NAME?</v>
      </c>
      <c r="AR241" s="59" t="e">
        <f aca="false">_xlfn.xlookup(A241,'SYS Allocations'!A:A,'SYS Allocations'!C:C)</f>
        <v>#NAME?</v>
      </c>
      <c r="AS241" s="59" t="e">
        <f aca="false">_xlfn.xlookup(A241,'SYS Allocations'!A:A,'SYS Allocations'!D:D)</f>
        <v>#NAME?</v>
      </c>
      <c r="AT241" s="59" t="e">
        <f aca="false">_xlfn.xlookup(A241,'SYS Allocations'!A:A,'SYS Allocations'!E:E)</f>
        <v>#NAME?</v>
      </c>
      <c r="AU241" s="59" t="e">
        <f aca="false">_xlfn.xlookup(A241,'SYS Allocations'!A:A,'SYS Allocations'!F:F)</f>
        <v>#NAME?</v>
      </c>
      <c r="BA241" s="0" t="str">
        <f aca="false">IFERROR(LEFT(R241,FIND("(",R241,1)-1),R241)</f>
        <v>DDm100-27</v>
      </c>
    </row>
    <row r="242" customFormat="false" ht="13.15" hidden="false" customHeight="false" outlineLevel="0" collapsed="false">
      <c r="A242" s="20" t="s">
        <v>258</v>
      </c>
      <c r="B242" s="0" t="s">
        <v>342</v>
      </c>
      <c r="C242" s="0" t="s">
        <v>806</v>
      </c>
      <c r="D242" s="0" t="s">
        <v>319</v>
      </c>
      <c r="E242" s="0" t="s">
        <v>809</v>
      </c>
      <c r="F242" s="0" t="s">
        <v>321</v>
      </c>
      <c r="G242" s="0" t="n">
        <v>36.6</v>
      </c>
      <c r="H242" s="0" t="n">
        <v>60</v>
      </c>
      <c r="I242" s="0" t="n">
        <v>340</v>
      </c>
      <c r="J242" s="0" t="n">
        <v>18.53</v>
      </c>
      <c r="K242" s="45" t="n">
        <v>45659</v>
      </c>
      <c r="L242" s="0" t="n">
        <v>94.14984</v>
      </c>
      <c r="M242" s="0" t="n">
        <v>75.61984</v>
      </c>
      <c r="N242" s="0" t="n">
        <v>89.3473</v>
      </c>
      <c r="O242" s="0" t="n">
        <v>70.8173</v>
      </c>
      <c r="P242" s="0" t="s">
        <v>337</v>
      </c>
      <c r="Q242" s="0" t="s">
        <v>331</v>
      </c>
      <c r="R242" s="0" t="s">
        <v>340</v>
      </c>
      <c r="S242" s="0" t="n">
        <v>45.7056</v>
      </c>
      <c r="T242" s="0" t="n">
        <v>27.1756</v>
      </c>
      <c r="U242" s="0" t="s">
        <v>344</v>
      </c>
      <c r="V242" s="0" t="s">
        <v>416</v>
      </c>
      <c r="W242" s="0" t="n">
        <v>90</v>
      </c>
      <c r="X242" s="0" t="n">
        <v>71.47</v>
      </c>
      <c r="Y242" s="0" t="n">
        <v>64</v>
      </c>
      <c r="AB242" s="58" t="n">
        <f aca="false">M242-AA242</f>
        <v>75.61984</v>
      </c>
      <c r="AC242" s="58" t="n">
        <f aca="false">O242-AA242</f>
        <v>70.8173</v>
      </c>
      <c r="AD242" s="58" t="n">
        <f aca="false">AB242/L242%</f>
        <v>80.3186070204687</v>
      </c>
      <c r="AE242" s="58" t="n">
        <f aca="false">AC242/N242%</f>
        <v>79.2607051360254</v>
      </c>
      <c r="AF242" s="58" t="n">
        <f aca="false">T242-AA242</f>
        <v>27.1756</v>
      </c>
      <c r="AG242" s="58" t="n">
        <f aca="false">AF242/S242%</f>
        <v>59.457922005181</v>
      </c>
      <c r="AH242" s="60"/>
      <c r="AI242" s="60"/>
      <c r="AJ242" s="60"/>
      <c r="AK242" s="60"/>
      <c r="AL242" s="60"/>
      <c r="AM242" s="61"/>
      <c r="AN242" s="0" t="str">
        <f aca="false">IF(ISBLANK(Z242),"","Capped")</f>
        <v/>
      </c>
      <c r="AO242" s="0" t="s">
        <v>393</v>
      </c>
      <c r="AP242" s="0" t="str">
        <f aca="false">TRIM(BA242)</f>
        <v>DDm100-27</v>
      </c>
      <c r="AQ242" s="59" t="e">
        <f aca="false">_xlfn.xlookup(A242,'SYS Allocations'!A:A,'SYS Allocations'!B:B)</f>
        <v>#NAME?</v>
      </c>
      <c r="AR242" s="59" t="e">
        <f aca="false">_xlfn.xlookup(A242,'SYS Allocations'!A:A,'SYS Allocations'!C:C)</f>
        <v>#NAME?</v>
      </c>
      <c r="AS242" s="59" t="e">
        <f aca="false">_xlfn.xlookup(A242,'SYS Allocations'!A:A,'SYS Allocations'!D:D)</f>
        <v>#NAME?</v>
      </c>
      <c r="AT242" s="59" t="e">
        <f aca="false">_xlfn.xlookup(A242,'SYS Allocations'!A:A,'SYS Allocations'!E:E)</f>
        <v>#NAME?</v>
      </c>
      <c r="AU242" s="59" t="e">
        <f aca="false">_xlfn.xlookup(A242,'SYS Allocations'!A:A,'SYS Allocations'!F:F)</f>
        <v>#NAME?</v>
      </c>
      <c r="BA242" s="0" t="str">
        <f aca="false">IFERROR(LEFT(R242,FIND("(",R242,1)-1),R242)</f>
        <v>DDm100-27</v>
      </c>
    </row>
    <row r="243" customFormat="false" ht="13.15" hidden="false" customHeight="false" outlineLevel="0" collapsed="false">
      <c r="A243" s="20" t="s">
        <v>259</v>
      </c>
      <c r="B243" s="0" t="s">
        <v>342</v>
      </c>
      <c r="C243" s="0" t="s">
        <v>806</v>
      </c>
      <c r="D243" s="0" t="s">
        <v>319</v>
      </c>
      <c r="E243" s="0" t="s">
        <v>810</v>
      </c>
      <c r="F243" s="0" t="s">
        <v>383</v>
      </c>
      <c r="G243" s="0" t="n">
        <v>55</v>
      </c>
      <c r="H243" s="0" t="n">
        <v>8</v>
      </c>
      <c r="I243" s="0" t="n">
        <v>61</v>
      </c>
      <c r="J243" s="0" t="n">
        <v>3.3245</v>
      </c>
      <c r="K243" s="45" t="n">
        <v>44673.6041666667</v>
      </c>
      <c r="L243" s="0" t="n">
        <v>16.786</v>
      </c>
      <c r="M243" s="0" t="n">
        <v>13.4615</v>
      </c>
      <c r="N243" s="0" t="n">
        <v>19.8925</v>
      </c>
      <c r="O243" s="0" t="n">
        <v>16.568</v>
      </c>
      <c r="P243" s="0" t="s">
        <v>325</v>
      </c>
      <c r="Q243" s="0" t="s">
        <v>352</v>
      </c>
      <c r="R243" s="0" t="s">
        <v>811</v>
      </c>
      <c r="S243" s="0" t="n">
        <v>2.25072</v>
      </c>
      <c r="T243" s="0" t="n">
        <v>-1.07378</v>
      </c>
      <c r="U243" s="0" t="s">
        <v>337</v>
      </c>
      <c r="V243" s="0" t="s">
        <v>366</v>
      </c>
      <c r="W243" s="0" t="n">
        <v>112.5</v>
      </c>
      <c r="X243" s="0" t="n">
        <v>109.1755</v>
      </c>
      <c r="Y243" s="0" t="n">
        <v>6</v>
      </c>
      <c r="AB243" s="58" t="n">
        <f aca="false">M243-AA243</f>
        <v>13.4615</v>
      </c>
      <c r="AC243" s="58" t="n">
        <f aca="false">O243-AA243</f>
        <v>16.568</v>
      </c>
      <c r="AD243" s="58" t="n">
        <f aca="false">AB243/L243%</f>
        <v>80.1948051948052</v>
      </c>
      <c r="AE243" s="58" t="n">
        <f aca="false">AC243/N243%</f>
        <v>83.2876712328767</v>
      </c>
      <c r="AF243" s="58" t="n">
        <f aca="false">T243-AA243</f>
        <v>-1.07378</v>
      </c>
      <c r="AG243" s="58" t="n">
        <f aca="false">AF243/S243%</f>
        <v>-47.7082889031066</v>
      </c>
      <c r="AH243" s="58" t="n">
        <f aca="false">W243</f>
        <v>112.5</v>
      </c>
      <c r="AI243" s="58" t="n">
        <f aca="false">J243</f>
        <v>3.3245</v>
      </c>
      <c r="AJ243" s="58" t="n">
        <f aca="false">AH243-AI243</f>
        <v>109.1755</v>
      </c>
      <c r="AK243" s="58" t="n">
        <f aca="false">AA243</f>
        <v>0</v>
      </c>
      <c r="AL243" s="58" t="n">
        <f aca="false">AJ243-AK243</f>
        <v>109.1755</v>
      </c>
      <c r="AM243" s="58" t="n">
        <f aca="false">AL243/AH243%</f>
        <v>97.0448888888889</v>
      </c>
      <c r="AN243" s="0" t="str">
        <f aca="false">IF(ISBLANK(Z243),"","Capped")</f>
        <v/>
      </c>
      <c r="AO243" s="0" t="s">
        <v>327</v>
      </c>
      <c r="AP243" s="0" t="str">
        <f aca="false">TRIM(BA243)</f>
        <v>12V125F</v>
      </c>
      <c r="AQ243" s="59" t="e">
        <f aca="false">_xlfn.xlookup(A243,'SYS Allocations'!A:A,'SYS Allocations'!B:B)</f>
        <v>#NAME?</v>
      </c>
      <c r="AR243" s="59" t="e">
        <f aca="false">_xlfn.xlookup(A243,'SYS Allocations'!A:A,'SYS Allocations'!C:C)</f>
        <v>#NAME?</v>
      </c>
      <c r="AS243" s="59" t="e">
        <f aca="false">_xlfn.xlookup(A243,'SYS Allocations'!A:A,'SYS Allocations'!D:D)</f>
        <v>#NAME?</v>
      </c>
      <c r="AT243" s="59" t="e">
        <f aca="false">_xlfn.xlookup(A243,'SYS Allocations'!A:A,'SYS Allocations'!E:E)</f>
        <v>#NAME?</v>
      </c>
      <c r="AU243" s="59" t="e">
        <f aca="false">_xlfn.xlookup(A243,'SYS Allocations'!A:A,'SYS Allocations'!F:F)</f>
        <v>#NAME?</v>
      </c>
      <c r="BA243" s="0" t="str">
        <f aca="false">IFERROR(LEFT(R243,FIND("(",R243,1)-1),R243)</f>
        <v>12V125F</v>
      </c>
    </row>
    <row r="244" customFormat="false" ht="13.15" hidden="false" customHeight="false" outlineLevel="0" collapsed="false">
      <c r="A244" s="20" t="s">
        <v>260</v>
      </c>
      <c r="B244" s="0" t="s">
        <v>348</v>
      </c>
      <c r="C244" s="0" t="s">
        <v>812</v>
      </c>
      <c r="D244" s="0" t="s">
        <v>319</v>
      </c>
      <c r="E244" s="0" t="s">
        <v>813</v>
      </c>
      <c r="F244" s="0" t="s">
        <v>321</v>
      </c>
      <c r="G244" s="0" t="n">
        <v>36.6</v>
      </c>
      <c r="H244" s="0" t="n">
        <v>4</v>
      </c>
      <c r="I244" s="0" t="n">
        <v>34</v>
      </c>
      <c r="J244" s="0" t="n">
        <v>1.853</v>
      </c>
      <c r="K244" s="45" t="n">
        <v>45659</v>
      </c>
      <c r="L244" s="0" t="n">
        <v>4.78728</v>
      </c>
      <c r="M244" s="0" t="n">
        <v>2.93428</v>
      </c>
      <c r="N244" s="0" t="n">
        <v>3.8749498365</v>
      </c>
      <c r="O244" s="0" t="n">
        <v>2.0219498365</v>
      </c>
      <c r="P244" s="0" t="s">
        <v>322</v>
      </c>
      <c r="Q244" s="0" t="s">
        <v>352</v>
      </c>
      <c r="R244" s="0" t="s">
        <v>359</v>
      </c>
      <c r="S244" s="0" t="n">
        <v>4.212</v>
      </c>
      <c r="T244" s="0" t="n">
        <v>2.359</v>
      </c>
      <c r="U244" s="0" t="s">
        <v>325</v>
      </c>
      <c r="V244" s="0" t="s">
        <v>354</v>
      </c>
      <c r="W244" s="0" t="n">
        <v>5.025</v>
      </c>
      <c r="X244" s="0" t="n">
        <v>3.172</v>
      </c>
      <c r="Y244" s="0" t="n">
        <v>5</v>
      </c>
      <c r="AB244" s="58" t="n">
        <f aca="false">M244-AA244</f>
        <v>2.93428</v>
      </c>
      <c r="AC244" s="58" t="n">
        <f aca="false">O244-AA244</f>
        <v>2.0219498365</v>
      </c>
      <c r="AD244" s="58" t="n">
        <f aca="false">AB244/L244%</f>
        <v>61.2932604735884</v>
      </c>
      <c r="AE244" s="58" t="n">
        <f aca="false">AC244/N244%</f>
        <v>52.1800261116748</v>
      </c>
      <c r="AF244" s="58" t="n">
        <f aca="false">T244-AA244</f>
        <v>2.359</v>
      </c>
      <c r="AG244" s="58" t="n">
        <f aca="false">AF244/S244%</f>
        <v>56.0066476733143</v>
      </c>
      <c r="AH244" s="58" t="n">
        <f aca="false">W244</f>
        <v>5.025</v>
      </c>
      <c r="AI244" s="58" t="n">
        <f aca="false">J244</f>
        <v>1.853</v>
      </c>
      <c r="AJ244" s="58" t="n">
        <f aca="false">AH244-AI244</f>
        <v>3.172</v>
      </c>
      <c r="AK244" s="58" t="n">
        <f aca="false">AA244</f>
        <v>0</v>
      </c>
      <c r="AL244" s="58" t="n">
        <f aca="false">AJ244-AK244</f>
        <v>3.172</v>
      </c>
      <c r="AM244" s="58" t="n">
        <f aca="false">AL244/AH244%</f>
        <v>63.1243781094527</v>
      </c>
      <c r="AN244" s="0" t="str">
        <f aca="false">IF(ISBLANK(Z244),"","Capped")</f>
        <v/>
      </c>
      <c r="AO244" s="0" t="s">
        <v>327</v>
      </c>
      <c r="AP244" s="0" t="str">
        <f aca="false">TRIM(BA244)</f>
        <v>12V155F</v>
      </c>
      <c r="AQ244" s="59" t="e">
        <f aca="false">_xlfn.xlookup(A244,'SYS Allocations'!A:A,'SYS Allocations'!B:B)</f>
        <v>#NAME?</v>
      </c>
      <c r="AR244" s="59" t="e">
        <f aca="false">_xlfn.xlookup(A244,'SYS Allocations'!A:A,'SYS Allocations'!C:C)</f>
        <v>#NAME?</v>
      </c>
      <c r="AS244" s="59" t="e">
        <f aca="false">_xlfn.xlookup(A244,'SYS Allocations'!A:A,'SYS Allocations'!D:D)</f>
        <v>#NAME?</v>
      </c>
      <c r="AT244" s="59" t="e">
        <f aca="false">_xlfn.xlookup(A244,'SYS Allocations'!A:A,'SYS Allocations'!E:E)</f>
        <v>#NAME?</v>
      </c>
      <c r="AU244" s="59" t="e">
        <f aca="false">_xlfn.xlookup(A244,'SYS Allocations'!A:A,'SYS Allocations'!F:F)</f>
        <v>#NAME?</v>
      </c>
      <c r="BA244" s="0" t="str">
        <f aca="false">IFERROR(LEFT(R244,FIND("(",R244,1)-1),R244)</f>
        <v>12V155F</v>
      </c>
    </row>
    <row r="245" customFormat="false" ht="13.15" hidden="false" customHeight="false" outlineLevel="0" collapsed="false">
      <c r="A245" s="20" t="s">
        <v>261</v>
      </c>
      <c r="B245" s="0" t="s">
        <v>400</v>
      </c>
      <c r="C245" s="0" t="s">
        <v>814</v>
      </c>
      <c r="D245" s="0" t="s">
        <v>390</v>
      </c>
      <c r="E245" s="0" t="s">
        <v>815</v>
      </c>
      <c r="F245" s="0" t="s">
        <v>816</v>
      </c>
      <c r="G245" s="0" t="n">
        <v>20</v>
      </c>
      <c r="H245" s="0" t="n">
        <v>3</v>
      </c>
      <c r="I245" s="0" t="n">
        <v>8</v>
      </c>
      <c r="J245" s="0" t="n">
        <v>0.436</v>
      </c>
      <c r="K245" s="45" t="n">
        <v>45475</v>
      </c>
      <c r="L245" s="0" t="n">
        <v>1.744</v>
      </c>
      <c r="M245" s="0" t="n">
        <v>1.308</v>
      </c>
      <c r="N245" s="0" t="n">
        <v>0.545</v>
      </c>
      <c r="O245" s="0" t="n">
        <v>0.109</v>
      </c>
      <c r="P245" s="0" t="s">
        <v>322</v>
      </c>
      <c r="Q245" s="0" t="s">
        <v>331</v>
      </c>
      <c r="R245" s="0" t="s">
        <v>535</v>
      </c>
      <c r="S245" s="0" t="n">
        <v>2.82528</v>
      </c>
      <c r="T245" s="0" t="n">
        <v>2.38928</v>
      </c>
      <c r="U245" s="0" t="s">
        <v>325</v>
      </c>
      <c r="V245" s="0" t="s">
        <v>446</v>
      </c>
      <c r="W245" s="0" t="n">
        <v>6</v>
      </c>
      <c r="X245" s="0" t="n">
        <v>5.564</v>
      </c>
      <c r="Y245" s="0" t="n">
        <v>1</v>
      </c>
      <c r="Z245" s="0" t="s">
        <v>817</v>
      </c>
      <c r="AB245" s="58" t="n">
        <f aca="false">M245-AA245</f>
        <v>1.308</v>
      </c>
      <c r="AC245" s="58" t="n">
        <f aca="false">O245-AA245</f>
        <v>0.109</v>
      </c>
      <c r="AD245" s="58" t="n">
        <f aca="false">AB245/L245%</f>
        <v>75</v>
      </c>
      <c r="AE245" s="58" t="n">
        <f aca="false">AC245/N245%</f>
        <v>20</v>
      </c>
      <c r="AF245" s="58" t="n">
        <f aca="false">T245-AA245</f>
        <v>2.38928</v>
      </c>
      <c r="AG245" s="58" t="n">
        <f aca="false">AF245/S245%</f>
        <v>84.5679012345679</v>
      </c>
      <c r="AH245" s="58" t="n">
        <f aca="false">W245</f>
        <v>6</v>
      </c>
      <c r="AI245" s="58" t="n">
        <f aca="false">J245</f>
        <v>0.436</v>
      </c>
      <c r="AJ245" s="58" t="n">
        <f aca="false">AH245-AI245</f>
        <v>5.564</v>
      </c>
      <c r="AK245" s="58" t="n">
        <f aca="false">AA245</f>
        <v>0</v>
      </c>
      <c r="AL245" s="58" t="n">
        <f aca="false">AJ245-AK245</f>
        <v>5.564</v>
      </c>
      <c r="AM245" s="58" t="n">
        <f aca="false">AL245/AH245%</f>
        <v>92.7333333333333</v>
      </c>
      <c r="AN245" s="0" t="str">
        <f aca="false">IF(ISBLANK(Z245),"","Capped")</f>
        <v>Capped</v>
      </c>
      <c r="AO245" s="0" t="s">
        <v>327</v>
      </c>
      <c r="AP245" s="0" t="str">
        <f aca="false">TRIM(BA245)</f>
        <v>SBS 12V100F</v>
      </c>
      <c r="AQ245" s="59" t="e">
        <f aca="false">_xlfn.xlookup(A245,'SYS Allocations'!A:A,'SYS Allocations'!B:B)</f>
        <v>#NAME?</v>
      </c>
      <c r="AR245" s="59" t="e">
        <f aca="false">_xlfn.xlookup(A245,'SYS Allocations'!A:A,'SYS Allocations'!C:C)</f>
        <v>#NAME?</v>
      </c>
      <c r="AS245" s="59" t="e">
        <f aca="false">_xlfn.xlookup(A245,'SYS Allocations'!A:A,'SYS Allocations'!D:D)</f>
        <v>#NAME?</v>
      </c>
      <c r="AT245" s="59" t="e">
        <f aca="false">_xlfn.xlookup(A245,'SYS Allocations'!A:A,'SYS Allocations'!E:E)</f>
        <v>#NAME?</v>
      </c>
      <c r="AU245" s="59" t="e">
        <f aca="false">_xlfn.xlookup(A245,'SYS Allocations'!A:A,'SYS Allocations'!F:F)</f>
        <v>#NAME?</v>
      </c>
      <c r="BA245" s="0" t="str">
        <f aca="false">IFERROR(LEFT(R245,FIND("(",R245,1)-1),R245)</f>
        <v>SBS 12V100F</v>
      </c>
    </row>
    <row r="246" customFormat="false" ht="13.15" hidden="false" customHeight="false" outlineLevel="0" collapsed="false">
      <c r="A246" s="20" t="s">
        <v>262</v>
      </c>
      <c r="B246" s="0" t="s">
        <v>361</v>
      </c>
      <c r="C246" s="0" t="s">
        <v>818</v>
      </c>
      <c r="D246" s="0" t="s">
        <v>319</v>
      </c>
      <c r="E246" s="0" t="s">
        <v>819</v>
      </c>
      <c r="F246" s="0" t="s">
        <v>335</v>
      </c>
      <c r="G246" s="0" t="n">
        <v>31</v>
      </c>
      <c r="H246" s="0" t="n">
        <v>24</v>
      </c>
      <c r="I246" s="0" t="n">
        <v>438</v>
      </c>
      <c r="J246" s="0" t="n">
        <v>23.871</v>
      </c>
      <c r="K246" s="45" t="n">
        <v>44840</v>
      </c>
      <c r="L246" s="0" t="n">
        <v>31.0868</v>
      </c>
      <c r="M246" s="0" t="n">
        <v>7.2158</v>
      </c>
      <c r="N246" s="0" t="n">
        <v>18.4755</v>
      </c>
      <c r="O246" s="0" t="n">
        <v>-5.3955</v>
      </c>
      <c r="P246" s="0" t="s">
        <v>325</v>
      </c>
      <c r="Q246" s="0" t="s">
        <v>331</v>
      </c>
      <c r="R246" s="0" t="s">
        <v>624</v>
      </c>
      <c r="S246" s="0" t="n">
        <v>32.832</v>
      </c>
      <c r="T246" s="0" t="n">
        <v>8.96100000000002</v>
      </c>
      <c r="U246" s="0" t="s">
        <v>358</v>
      </c>
      <c r="V246" s="0" t="s">
        <v>501</v>
      </c>
      <c r="W246" s="0" t="n">
        <v>180</v>
      </c>
      <c r="X246" s="0" t="n">
        <v>156.129</v>
      </c>
      <c r="Y246" s="0" t="n">
        <v>77</v>
      </c>
      <c r="AB246" s="58" t="n">
        <f aca="false">M246-AA246</f>
        <v>7.2158</v>
      </c>
      <c r="AC246" s="58" t="n">
        <f aca="false">O246-AA246</f>
        <v>-5.3955</v>
      </c>
      <c r="AD246" s="58" t="n">
        <f aca="false">AB246/L246%</f>
        <v>23.2117812061711</v>
      </c>
      <c r="AE246" s="58" t="n">
        <f aca="false">AC246/N246%</f>
        <v>-29.2035398230088</v>
      </c>
      <c r="AF246" s="58" t="n">
        <f aca="false">T246-AA246</f>
        <v>8.96100000000002</v>
      </c>
      <c r="AG246" s="58" t="n">
        <f aca="false">AF246/S246%</f>
        <v>27.2934941520468</v>
      </c>
      <c r="AH246" s="58" t="n">
        <f aca="false">W246</f>
        <v>180</v>
      </c>
      <c r="AI246" s="58" t="n">
        <f aca="false">J246</f>
        <v>23.871</v>
      </c>
      <c r="AJ246" s="58" t="n">
        <f aca="false">AH246-AI246</f>
        <v>156.129</v>
      </c>
      <c r="AK246" s="58" t="n">
        <f aca="false">AA246</f>
        <v>0</v>
      </c>
      <c r="AL246" s="58" t="n">
        <f aca="false">AJ246-AK246</f>
        <v>156.129</v>
      </c>
      <c r="AM246" s="58" t="n">
        <f aca="false">AL246/AH246%</f>
        <v>86.7383333333333</v>
      </c>
      <c r="AN246" s="0" t="str">
        <f aca="false">IF(ISBLANK(Z246),"","Capped")</f>
        <v/>
      </c>
      <c r="AO246" s="0" t="s">
        <v>327</v>
      </c>
      <c r="AP246" s="0" t="str">
        <f aca="false">TRIM(BA246)</f>
        <v>SBS EON 1800</v>
      </c>
      <c r="AQ246" s="59" t="e">
        <f aca="false">_xlfn.xlookup(A246,'SYS Allocations'!A:A,'SYS Allocations'!B:B)</f>
        <v>#NAME?</v>
      </c>
      <c r="AR246" s="59" t="e">
        <f aca="false">_xlfn.xlookup(A246,'SYS Allocations'!A:A,'SYS Allocations'!C:C)</f>
        <v>#NAME?</v>
      </c>
      <c r="AS246" s="59" t="e">
        <f aca="false">_xlfn.xlookup(A246,'SYS Allocations'!A:A,'SYS Allocations'!D:D)</f>
        <v>#NAME?</v>
      </c>
      <c r="AT246" s="59" t="e">
        <f aca="false">_xlfn.xlookup(A246,'SYS Allocations'!A:A,'SYS Allocations'!E:E)</f>
        <v>#NAME?</v>
      </c>
      <c r="AU246" s="59" t="e">
        <f aca="false">_xlfn.xlookup(A246,'SYS Allocations'!A:A,'SYS Allocations'!F:F)</f>
        <v>#NAME?</v>
      </c>
      <c r="BA246" s="0" t="str">
        <f aca="false">IFERROR(LEFT(R246,FIND("(",R246,1)-1),R246)</f>
        <v>SBS EON 1800</v>
      </c>
    </row>
    <row r="247" customFormat="false" ht="13.15" hidden="false" customHeight="false" outlineLevel="0" collapsed="false">
      <c r="A247" s="20" t="s">
        <v>263</v>
      </c>
      <c r="B247" s="0" t="s">
        <v>437</v>
      </c>
      <c r="C247" s="0" t="s">
        <v>820</v>
      </c>
      <c r="D247" s="0" t="s">
        <v>319</v>
      </c>
      <c r="E247" s="0" t="s">
        <v>821</v>
      </c>
      <c r="F247" s="0" t="s">
        <v>321</v>
      </c>
      <c r="G247" s="0" t="n">
        <v>36.6</v>
      </c>
      <c r="H247" s="0" t="n">
        <v>35</v>
      </c>
      <c r="I247" s="0" t="n">
        <v>128</v>
      </c>
      <c r="J247" s="0" t="n">
        <v>6.976</v>
      </c>
      <c r="K247" s="45" t="n">
        <v>45215</v>
      </c>
      <c r="L247" s="0" t="n">
        <v>54.25584</v>
      </c>
      <c r="M247" s="0" t="n">
        <v>47.27984</v>
      </c>
      <c r="N247" s="0" t="n">
        <v>46.0198</v>
      </c>
      <c r="O247" s="0" t="n">
        <v>39.0438</v>
      </c>
      <c r="P247" s="0" t="s">
        <v>325</v>
      </c>
      <c r="Q247" s="0" t="s">
        <v>331</v>
      </c>
      <c r="R247" s="0" t="s">
        <v>345</v>
      </c>
      <c r="S247" s="0" t="n">
        <v>35.5536</v>
      </c>
      <c r="T247" s="0" t="n">
        <v>28.5776</v>
      </c>
      <c r="U247" s="0" t="s">
        <v>344</v>
      </c>
      <c r="V247" s="0" t="s">
        <v>822</v>
      </c>
      <c r="W247" s="0" t="n">
        <v>66</v>
      </c>
      <c r="X247" s="0" t="n">
        <v>59.024</v>
      </c>
      <c r="Y247" s="0" t="n">
        <v>34</v>
      </c>
      <c r="AB247" s="58" t="n">
        <f aca="false">M247-AA247</f>
        <v>47.27984</v>
      </c>
      <c r="AC247" s="58" t="n">
        <f aca="false">O247-AA247</f>
        <v>39.0438</v>
      </c>
      <c r="AD247" s="58" t="n">
        <f aca="false">AB247/L247%</f>
        <v>87.1423979427837</v>
      </c>
      <c r="AE247" s="58" t="n">
        <f aca="false">AC247/N247%</f>
        <v>84.8413074372335</v>
      </c>
      <c r="AF247" s="58" t="n">
        <f aca="false">T247-AA247</f>
        <v>28.5776</v>
      </c>
      <c r="AG247" s="58" t="n">
        <f aca="false">AF247/S247%</f>
        <v>80.3789208406462</v>
      </c>
      <c r="AH247" s="58" t="n">
        <f aca="false">W247</f>
        <v>66</v>
      </c>
      <c r="AI247" s="58" t="n">
        <f aca="false">J247</f>
        <v>6.976</v>
      </c>
      <c r="AJ247" s="58" t="n">
        <f aca="false">AH247-AI247</f>
        <v>59.024</v>
      </c>
      <c r="AK247" s="58" t="n">
        <f aca="false">AA247</f>
        <v>0</v>
      </c>
      <c r="AL247" s="58" t="n">
        <f aca="false">AJ247-AK247</f>
        <v>59.024</v>
      </c>
      <c r="AM247" s="58" t="n">
        <f aca="false">AL247/AH247%</f>
        <v>89.430303030303</v>
      </c>
      <c r="AN247" s="0" t="str">
        <f aca="false">IF(ISBLANK(Z247),"","Capped")</f>
        <v/>
      </c>
      <c r="AO247" s="0" t="s">
        <v>327</v>
      </c>
      <c r="AP247" s="0" t="str">
        <f aca="false">TRIM(BA247)</f>
        <v>DDm125-33</v>
      </c>
      <c r="AQ247" s="59" t="e">
        <f aca="false">_xlfn.xlookup(A247,'SYS Allocations'!A:A,'SYS Allocations'!B:B)</f>
        <v>#NAME?</v>
      </c>
      <c r="AR247" s="59" t="e">
        <f aca="false">_xlfn.xlookup(A247,'SYS Allocations'!A:A,'SYS Allocations'!C:C)</f>
        <v>#NAME?</v>
      </c>
      <c r="AS247" s="59" t="e">
        <f aca="false">_xlfn.xlookup(A247,'SYS Allocations'!A:A,'SYS Allocations'!D:D)</f>
        <v>#NAME?</v>
      </c>
      <c r="AT247" s="59" t="e">
        <f aca="false">_xlfn.xlookup(A247,'SYS Allocations'!A:A,'SYS Allocations'!E:E)</f>
        <v>#NAME?</v>
      </c>
      <c r="AU247" s="59" t="e">
        <f aca="false">_xlfn.xlookup(A247,'SYS Allocations'!A:A,'SYS Allocations'!F:F)</f>
        <v>#NAME?</v>
      </c>
      <c r="BA247" s="0" t="str">
        <f aca="false">IFERROR(LEFT(R247,FIND("(",R247,1)-1),R247)</f>
        <v>DDm125-33</v>
      </c>
    </row>
    <row r="248" customFormat="false" ht="13.15" hidden="false" customHeight="false" outlineLevel="0" collapsed="false">
      <c r="A248" s="20" t="s">
        <v>264</v>
      </c>
      <c r="B248" s="0" t="s">
        <v>419</v>
      </c>
      <c r="C248" s="0" t="s">
        <v>823</v>
      </c>
      <c r="D248" s="0" t="s">
        <v>390</v>
      </c>
      <c r="E248" s="0" t="s">
        <v>824</v>
      </c>
      <c r="F248" s="0" t="s">
        <v>335</v>
      </c>
      <c r="G248" s="0" t="n">
        <v>31</v>
      </c>
      <c r="H248" s="0" t="n">
        <v>6</v>
      </c>
      <c r="I248" s="0" t="n">
        <v>46</v>
      </c>
      <c r="J248" s="0" t="n">
        <v>2.507</v>
      </c>
      <c r="K248" s="45" t="n">
        <v>45393</v>
      </c>
      <c r="L248" s="0" t="n">
        <v>6.758</v>
      </c>
      <c r="M248" s="0" t="n">
        <v>4.251</v>
      </c>
      <c r="N248" s="0" t="n">
        <v>5.995</v>
      </c>
      <c r="O248" s="0" t="n">
        <v>3.488</v>
      </c>
      <c r="P248" s="0" t="s">
        <v>322</v>
      </c>
      <c r="Q248" s="0" t="s">
        <v>331</v>
      </c>
      <c r="R248" s="0" t="s">
        <v>533</v>
      </c>
      <c r="S248" s="0" t="n">
        <v>11.68992</v>
      </c>
      <c r="T248" s="0" t="n">
        <v>9.18291999999997</v>
      </c>
      <c r="U248" s="0" t="s">
        <v>422</v>
      </c>
      <c r="V248" s="0" t="s">
        <v>446</v>
      </c>
      <c r="W248" s="0" t="n">
        <v>6</v>
      </c>
      <c r="X248" s="0" t="n">
        <v>3.493</v>
      </c>
      <c r="Y248" s="0" t="n">
        <v>1</v>
      </c>
      <c r="Z248" s="0" t="s">
        <v>423</v>
      </c>
      <c r="AB248" s="58" t="n">
        <f aca="false">M248-AA248</f>
        <v>4.251</v>
      </c>
      <c r="AC248" s="58" t="n">
        <f aca="false">O248-AA248</f>
        <v>3.488</v>
      </c>
      <c r="AD248" s="58" t="n">
        <f aca="false">AB248/L248%</f>
        <v>62.9032258064516</v>
      </c>
      <c r="AE248" s="58" t="n">
        <f aca="false">AC248/N248%</f>
        <v>58.1818181818182</v>
      </c>
      <c r="AF248" s="58" t="n">
        <f aca="false">T248-AA248</f>
        <v>9.18291999999997</v>
      </c>
      <c r="AG248" s="58" t="n">
        <f aca="false">AF248/S248%</f>
        <v>78.5541731679941</v>
      </c>
      <c r="AH248" s="58" t="n">
        <f aca="false">W248</f>
        <v>6</v>
      </c>
      <c r="AI248" s="58" t="n">
        <f aca="false">J248</f>
        <v>2.507</v>
      </c>
      <c r="AJ248" s="58" t="n">
        <f aca="false">AH248-AI248</f>
        <v>3.493</v>
      </c>
      <c r="AK248" s="58" t="n">
        <f aca="false">AA248</f>
        <v>0</v>
      </c>
      <c r="AL248" s="58" t="n">
        <f aca="false">AJ248-AK248</f>
        <v>3.493</v>
      </c>
      <c r="AM248" s="58" t="n">
        <f aca="false">AL248/AH248%</f>
        <v>58.2166666666667</v>
      </c>
      <c r="AN248" s="0" t="str">
        <f aca="false">IF(ISBLANK(Z248),"","Capped")</f>
        <v>Capped</v>
      </c>
      <c r="AO248" s="0" t="s">
        <v>327</v>
      </c>
      <c r="AP248" s="0" t="str">
        <f aca="false">TRIM(BA248)</f>
        <v>SBS XL 150F-FT</v>
      </c>
      <c r="AQ248" s="59" t="e">
        <f aca="false">_xlfn.xlookup(A248,'SYS Allocations'!A:A,'SYS Allocations'!B:B)</f>
        <v>#NAME?</v>
      </c>
      <c r="AR248" s="59" t="e">
        <f aca="false">_xlfn.xlookup(A248,'SYS Allocations'!A:A,'SYS Allocations'!C:C)</f>
        <v>#NAME?</v>
      </c>
      <c r="AS248" s="59" t="e">
        <f aca="false">_xlfn.xlookup(A248,'SYS Allocations'!A:A,'SYS Allocations'!D:D)</f>
        <v>#NAME?</v>
      </c>
      <c r="AT248" s="59" t="e">
        <f aca="false">_xlfn.xlookup(A248,'SYS Allocations'!A:A,'SYS Allocations'!E:E)</f>
        <v>#NAME?</v>
      </c>
      <c r="AU248" s="59" t="e">
        <f aca="false">_xlfn.xlookup(A248,'SYS Allocations'!A:A,'SYS Allocations'!F:F)</f>
        <v>#NAME?</v>
      </c>
      <c r="BA248" s="0" t="str">
        <f aca="false">IFERROR(LEFT(R248,FIND("(",R248,1)-1),R248)</f>
        <v>SBS XL 150F-FT </v>
      </c>
    </row>
    <row r="249" customFormat="false" ht="13.15" hidden="false" customHeight="false" outlineLevel="0" collapsed="false">
      <c r="A249" s="20" t="s">
        <v>265</v>
      </c>
      <c r="B249" s="0" t="s">
        <v>419</v>
      </c>
      <c r="C249" s="0" t="s">
        <v>825</v>
      </c>
      <c r="D249" s="0" t="s">
        <v>319</v>
      </c>
      <c r="E249" s="0" t="s">
        <v>826</v>
      </c>
      <c r="F249" s="0" t="s">
        <v>383</v>
      </c>
      <c r="G249" s="0" t="n">
        <v>55</v>
      </c>
      <c r="H249" s="0" t="n">
        <v>26</v>
      </c>
      <c r="I249" s="0" t="n">
        <v>366</v>
      </c>
      <c r="J249" s="0" t="n">
        <v>19.947</v>
      </c>
      <c r="K249" s="45" t="n">
        <v>45537</v>
      </c>
      <c r="L249" s="0" t="n">
        <v>59.95</v>
      </c>
      <c r="M249" s="0" t="n">
        <v>40.003</v>
      </c>
      <c r="N249" s="0" t="n">
        <v>42.2375</v>
      </c>
      <c r="O249" s="0" t="n">
        <v>22.2905</v>
      </c>
      <c r="P249" s="0" t="s">
        <v>322</v>
      </c>
      <c r="Q249" s="0" t="s">
        <v>331</v>
      </c>
      <c r="R249" s="0" t="s">
        <v>345</v>
      </c>
      <c r="S249" s="0" t="n">
        <v>53.3304</v>
      </c>
      <c r="T249" s="0" t="n">
        <v>33.3834</v>
      </c>
      <c r="U249" s="0" t="s">
        <v>374</v>
      </c>
      <c r="V249" s="0" t="s">
        <v>827</v>
      </c>
      <c r="W249" s="0" t="n">
        <v>70.5</v>
      </c>
      <c r="X249" s="0" t="n">
        <v>50.553</v>
      </c>
      <c r="Y249" s="0" t="n">
        <v>34</v>
      </c>
      <c r="AB249" s="58" t="n">
        <f aca="false">M249-AA249</f>
        <v>40.003</v>
      </c>
      <c r="AC249" s="58" t="n">
        <f aca="false">O249-AA249</f>
        <v>22.2905</v>
      </c>
      <c r="AD249" s="58" t="n">
        <f aca="false">AB249/L249%</f>
        <v>66.7272727272727</v>
      </c>
      <c r="AE249" s="58" t="n">
        <f aca="false">AC249/N249%</f>
        <v>52.7741935483871</v>
      </c>
      <c r="AF249" s="58" t="n">
        <f aca="false">T249-AA249</f>
        <v>33.3834</v>
      </c>
      <c r="AG249" s="58" t="n">
        <f aca="false">AF249/S249%</f>
        <v>62.5973178524819</v>
      </c>
      <c r="AH249" s="58" t="n">
        <f aca="false">W249</f>
        <v>70.5</v>
      </c>
      <c r="AI249" s="58" t="n">
        <f aca="false">J249</f>
        <v>19.947</v>
      </c>
      <c r="AJ249" s="58" t="n">
        <f aca="false">AH249-AI249</f>
        <v>50.553</v>
      </c>
      <c r="AK249" s="58" t="n">
        <f aca="false">AA249</f>
        <v>0</v>
      </c>
      <c r="AL249" s="58" t="n">
        <f aca="false">AJ249-AK249</f>
        <v>50.553</v>
      </c>
      <c r="AM249" s="58" t="n">
        <f aca="false">AL249/AH249%</f>
        <v>71.7063829787234</v>
      </c>
      <c r="AN249" s="0" t="str">
        <f aca="false">IF(ISBLANK(Z249),"","Capped")</f>
        <v/>
      </c>
      <c r="AO249" s="0" t="s">
        <v>327</v>
      </c>
      <c r="AP249" s="0" t="str">
        <f aca="false">TRIM(BA249)</f>
        <v>DDm125-33</v>
      </c>
      <c r="AQ249" s="59" t="e">
        <f aca="false">_xlfn.xlookup(A249,'SYS Allocations'!A:A,'SYS Allocations'!B:B)</f>
        <v>#NAME?</v>
      </c>
      <c r="AR249" s="59" t="e">
        <f aca="false">_xlfn.xlookup(A249,'SYS Allocations'!A:A,'SYS Allocations'!C:C)</f>
        <v>#NAME?</v>
      </c>
      <c r="AS249" s="59" t="e">
        <f aca="false">_xlfn.xlookup(A249,'SYS Allocations'!A:A,'SYS Allocations'!D:D)</f>
        <v>#NAME?</v>
      </c>
      <c r="AT249" s="59" t="e">
        <f aca="false">_xlfn.xlookup(A249,'SYS Allocations'!A:A,'SYS Allocations'!E:E)</f>
        <v>#NAME?</v>
      </c>
      <c r="AU249" s="59" t="e">
        <f aca="false">_xlfn.xlookup(A249,'SYS Allocations'!A:A,'SYS Allocations'!F:F)</f>
        <v>#NAME?</v>
      </c>
      <c r="BA249" s="0" t="str">
        <f aca="false">IFERROR(LEFT(R249,FIND("(",R249,1)-1),R249)</f>
        <v>DDm125-33</v>
      </c>
    </row>
    <row r="250" customFormat="false" ht="13.15" hidden="false" customHeight="false" outlineLevel="0" collapsed="false">
      <c r="A250" s="20" t="s">
        <v>266</v>
      </c>
      <c r="B250" s="0" t="s">
        <v>317</v>
      </c>
      <c r="C250" s="0" t="s">
        <v>828</v>
      </c>
      <c r="D250" s="0" t="s">
        <v>319</v>
      </c>
      <c r="E250" s="0" t="s">
        <v>829</v>
      </c>
      <c r="F250" s="0" t="s">
        <v>321</v>
      </c>
      <c r="G250" s="0" t="n">
        <v>36.6</v>
      </c>
      <c r="H250" s="0" t="n">
        <v>15</v>
      </c>
      <c r="I250" s="0" t="n">
        <v>88</v>
      </c>
      <c r="J250" s="0" t="n">
        <v>4.796</v>
      </c>
      <c r="K250" s="45" t="n">
        <v>45373</v>
      </c>
      <c r="L250" s="0" t="n">
        <v>22.34064</v>
      </c>
      <c r="M250" s="0" t="n">
        <v>17.54464</v>
      </c>
      <c r="N250" s="0" t="n">
        <v>14.8458</v>
      </c>
      <c r="O250" s="0" t="n">
        <v>10.0498</v>
      </c>
      <c r="P250" s="0" t="s">
        <v>325</v>
      </c>
      <c r="Q250" s="0" t="s">
        <v>331</v>
      </c>
      <c r="R250" s="0" t="s">
        <v>336</v>
      </c>
      <c r="S250" s="0" t="n">
        <v>21.1248</v>
      </c>
      <c r="T250" s="0" t="n">
        <v>16.3288</v>
      </c>
      <c r="U250" s="0" t="s">
        <v>344</v>
      </c>
      <c r="V250" s="0" t="s">
        <v>830</v>
      </c>
      <c r="W250" s="0" t="n">
        <v>28.35</v>
      </c>
      <c r="X250" s="0" t="n">
        <v>23.554</v>
      </c>
      <c r="Y250" s="0" t="n">
        <v>42</v>
      </c>
      <c r="AB250" s="58" t="n">
        <f aca="false">M250-AA250</f>
        <v>17.54464</v>
      </c>
      <c r="AC250" s="58" t="n">
        <f aca="false">O250-AA250</f>
        <v>10.0498</v>
      </c>
      <c r="AD250" s="58" t="n">
        <f aca="false">AB250/L250%</f>
        <v>78.5323965651835</v>
      </c>
      <c r="AE250" s="58" t="n">
        <f aca="false">AC250/N250%</f>
        <v>67.6945668135095</v>
      </c>
      <c r="AF250" s="58" t="n">
        <f aca="false">T250-AA250</f>
        <v>16.3288</v>
      </c>
      <c r="AG250" s="58" t="n">
        <f aca="false">AF250/S250%</f>
        <v>77.2968264788306</v>
      </c>
      <c r="AH250" s="58" t="n">
        <f aca="false">W250</f>
        <v>28.35</v>
      </c>
      <c r="AI250" s="58" t="n">
        <f aca="false">J250</f>
        <v>4.796</v>
      </c>
      <c r="AJ250" s="58" t="n">
        <f aca="false">AH250-AI250</f>
        <v>23.554</v>
      </c>
      <c r="AK250" s="58" t="n">
        <f aca="false">AA250</f>
        <v>0</v>
      </c>
      <c r="AL250" s="58" t="n">
        <f aca="false">AJ250-AK250</f>
        <v>23.554</v>
      </c>
      <c r="AM250" s="58" t="n">
        <f aca="false">AL250/AH250%</f>
        <v>83.0828924162257</v>
      </c>
      <c r="AN250" s="0" t="str">
        <f aca="false">IF(ISBLANK(Z250),"","Capped")</f>
        <v/>
      </c>
      <c r="AO250" s="0" t="s">
        <v>327</v>
      </c>
      <c r="AP250" s="0" t="str">
        <f aca="false">TRIM(BA250)</f>
        <v>DDm100-25</v>
      </c>
      <c r="AQ250" s="59" t="e">
        <f aca="false">_xlfn.xlookup(A250,'SYS Allocations'!A:A,'SYS Allocations'!B:B)</f>
        <v>#NAME?</v>
      </c>
      <c r="AR250" s="59" t="e">
        <f aca="false">_xlfn.xlookup(A250,'SYS Allocations'!A:A,'SYS Allocations'!C:C)</f>
        <v>#NAME?</v>
      </c>
      <c r="AS250" s="59" t="e">
        <f aca="false">_xlfn.xlookup(A250,'SYS Allocations'!A:A,'SYS Allocations'!D:D)</f>
        <v>#NAME?</v>
      </c>
      <c r="AT250" s="59" t="e">
        <f aca="false">_xlfn.xlookup(A250,'SYS Allocations'!A:A,'SYS Allocations'!E:E)</f>
        <v>#NAME?</v>
      </c>
      <c r="AU250" s="59" t="e">
        <f aca="false">_xlfn.xlookup(A250,'SYS Allocations'!A:A,'SYS Allocations'!F:F)</f>
        <v>#NAME?</v>
      </c>
      <c r="BA250" s="0" t="str">
        <f aca="false">IFERROR(LEFT(R250,FIND("(",R250,1)-1),R250)</f>
        <v>DDm100-25</v>
      </c>
    </row>
    <row r="251" customFormat="false" ht="13.15" hidden="false" customHeight="false" outlineLevel="0" collapsed="false">
      <c r="A251" s="20" t="s">
        <v>267</v>
      </c>
      <c r="B251" s="0" t="s">
        <v>376</v>
      </c>
      <c r="C251" s="0" t="s">
        <v>831</v>
      </c>
      <c r="D251" s="0" t="s">
        <v>319</v>
      </c>
      <c r="E251" s="0" t="s">
        <v>832</v>
      </c>
      <c r="F251" s="0" t="s">
        <v>321</v>
      </c>
      <c r="G251" s="0" t="n">
        <v>36.6</v>
      </c>
      <c r="H251" s="0" t="n">
        <v>18</v>
      </c>
      <c r="I251" s="0" t="n">
        <v>199</v>
      </c>
      <c r="J251" s="0" t="n">
        <v>10.8455</v>
      </c>
      <c r="K251" s="45" t="n">
        <v>45425</v>
      </c>
      <c r="L251" s="0" t="n">
        <v>27.12792</v>
      </c>
      <c r="M251" s="0" t="n">
        <v>16.28242</v>
      </c>
      <c r="N251" s="0" t="n">
        <v>17.2329</v>
      </c>
      <c r="O251" s="0" t="n">
        <v>6.3874</v>
      </c>
      <c r="P251" s="0" t="s">
        <v>322</v>
      </c>
      <c r="Q251" s="0" t="s">
        <v>331</v>
      </c>
      <c r="R251" s="0" t="s">
        <v>332</v>
      </c>
      <c r="S251" s="0" t="n">
        <v>26.1144</v>
      </c>
      <c r="T251" s="0" t="n">
        <v>15.2689</v>
      </c>
      <c r="U251" s="0" t="s">
        <v>322</v>
      </c>
      <c r="V251" s="0" t="s">
        <v>833</v>
      </c>
      <c r="W251" s="0" t="n">
        <v>11.1</v>
      </c>
      <c r="X251" s="0" t="n">
        <v>0.2545</v>
      </c>
      <c r="Y251" s="0" t="n">
        <v>12</v>
      </c>
      <c r="AB251" s="58" t="n">
        <f aca="false">M251-AA251</f>
        <v>16.28242</v>
      </c>
      <c r="AC251" s="58" t="n">
        <f aca="false">O251-AA251</f>
        <v>6.3874</v>
      </c>
      <c r="AD251" s="58" t="n">
        <f aca="false">AB251/L251%</f>
        <v>60.020893603343</v>
      </c>
      <c r="AE251" s="58" t="n">
        <f aca="false">AC251/N251%</f>
        <v>37.0651486401012</v>
      </c>
      <c r="AF251" s="58" t="n">
        <f aca="false">T251-AA251</f>
        <v>15.2689</v>
      </c>
      <c r="AG251" s="58" t="n">
        <f aca="false">AF251/S251%</f>
        <v>58.4692736574457</v>
      </c>
      <c r="AH251" s="58" t="n">
        <f aca="false">W251</f>
        <v>11.1</v>
      </c>
      <c r="AI251" s="58" t="n">
        <f aca="false">J251</f>
        <v>10.8455</v>
      </c>
      <c r="AJ251" s="58" t="n">
        <f aca="false">AH251-AI251</f>
        <v>0.2545</v>
      </c>
      <c r="AK251" s="58" t="n">
        <f aca="false">AA251</f>
        <v>0</v>
      </c>
      <c r="AL251" s="58" t="n">
        <f aca="false">AJ251-AK251</f>
        <v>0.2545</v>
      </c>
      <c r="AM251" s="58" t="n">
        <f aca="false">AL251/AH251%</f>
        <v>2.29279279279279</v>
      </c>
      <c r="AN251" s="0" t="str">
        <f aca="false">IF(ISBLANK(Z251),"","Capped")</f>
        <v/>
      </c>
      <c r="AO251" s="0" t="s">
        <v>327</v>
      </c>
      <c r="AP251" s="0" t="str">
        <f aca="false">TRIM(BA251)</f>
        <v>DDm85-25</v>
      </c>
      <c r="AQ251" s="59" t="e">
        <f aca="false">_xlfn.xlookup(A251,'SYS Allocations'!A:A,'SYS Allocations'!B:B)</f>
        <v>#NAME?</v>
      </c>
      <c r="AR251" s="59" t="e">
        <f aca="false">_xlfn.xlookup(A251,'SYS Allocations'!A:A,'SYS Allocations'!C:C)</f>
        <v>#NAME?</v>
      </c>
      <c r="AS251" s="59" t="e">
        <f aca="false">_xlfn.xlookup(A251,'SYS Allocations'!A:A,'SYS Allocations'!D:D)</f>
        <v>#NAME?</v>
      </c>
      <c r="AT251" s="59" t="e">
        <f aca="false">_xlfn.xlookup(A251,'SYS Allocations'!A:A,'SYS Allocations'!E:E)</f>
        <v>#NAME?</v>
      </c>
      <c r="AU251" s="59" t="e">
        <f aca="false">_xlfn.xlookup(A251,'SYS Allocations'!A:A,'SYS Allocations'!F:F)</f>
        <v>#NAME?</v>
      </c>
      <c r="BA251" s="0" t="str">
        <f aca="false">IFERROR(LEFT(R251,FIND("(",R251,1)-1),R251)</f>
        <v>DDm85-25</v>
      </c>
    </row>
    <row r="252" customFormat="false" ht="13.15" hidden="false" customHeight="false" outlineLevel="0" collapsed="false">
      <c r="A252" s="0" t="s">
        <v>268</v>
      </c>
      <c r="B252" s="0" t="s">
        <v>394</v>
      </c>
      <c r="C252" s="0" t="s">
        <v>834</v>
      </c>
      <c r="D252" s="0" t="s">
        <v>319</v>
      </c>
      <c r="E252" s="0" t="s">
        <v>835</v>
      </c>
      <c r="F252" s="0" t="s">
        <v>364</v>
      </c>
      <c r="G252" s="0" t="n">
        <v>75</v>
      </c>
      <c r="H252" s="0" t="n">
        <v>9</v>
      </c>
      <c r="I252" s="0" t="n">
        <v>200</v>
      </c>
      <c r="J252" s="0" t="n">
        <v>10.9</v>
      </c>
      <c r="K252" s="45" t="n">
        <v>45503</v>
      </c>
      <c r="L252" s="0" t="n">
        <v>26.16</v>
      </c>
      <c r="M252" s="0" t="n">
        <v>15.26</v>
      </c>
      <c r="N252" s="0" t="n">
        <v>19.62</v>
      </c>
      <c r="O252" s="0" t="n">
        <v>8.72</v>
      </c>
      <c r="P252" s="0" t="s">
        <v>325</v>
      </c>
      <c r="Q252" s="0" t="s">
        <v>331</v>
      </c>
      <c r="R252" s="0" t="s">
        <v>336</v>
      </c>
      <c r="S252" s="0" t="n">
        <v>21.1248</v>
      </c>
      <c r="T252" s="0" t="n">
        <v>10.2248</v>
      </c>
      <c r="U252" s="0" t="s">
        <v>322</v>
      </c>
      <c r="V252" s="0" t="s">
        <v>455</v>
      </c>
      <c r="W252" s="0" t="n">
        <v>33</v>
      </c>
      <c r="X252" s="0" t="n">
        <v>22.1</v>
      </c>
      <c r="Y252" s="0" t="n">
        <v>67</v>
      </c>
      <c r="AB252" s="58" t="n">
        <f aca="false">M252-AA252</f>
        <v>15.26</v>
      </c>
      <c r="AC252" s="58" t="n">
        <f aca="false">O252-AA252</f>
        <v>8.72</v>
      </c>
      <c r="AD252" s="58" t="n">
        <f aca="false">AB252/L252%</f>
        <v>58.3333333333333</v>
      </c>
      <c r="AE252" s="58" t="n">
        <f aca="false">AC252/N252%</f>
        <v>44.4444444444444</v>
      </c>
      <c r="AF252" s="58" t="n">
        <f aca="false">T252-AA252</f>
        <v>10.2248</v>
      </c>
      <c r="AG252" s="58" t="n">
        <f aca="false">AF252/S252%</f>
        <v>48.4018783609786</v>
      </c>
      <c r="AH252" s="58" t="n">
        <f aca="false">W252</f>
        <v>33</v>
      </c>
      <c r="AI252" s="58" t="n">
        <f aca="false">J252</f>
        <v>10.9</v>
      </c>
      <c r="AJ252" s="58" t="n">
        <f aca="false">AH252-AI252</f>
        <v>22.1</v>
      </c>
      <c r="AK252" s="58" t="n">
        <f aca="false">AA252</f>
        <v>0</v>
      </c>
      <c r="AL252" s="58" t="n">
        <f aca="false">AJ252-AK252</f>
        <v>22.1</v>
      </c>
      <c r="AM252" s="58" t="n">
        <f aca="false">AL252/AH252%</f>
        <v>66.969696969697</v>
      </c>
      <c r="AN252" s="0" t="str">
        <f aca="false">IF(ISBLANK(Z252),"","Capped")</f>
        <v/>
      </c>
      <c r="AO252" s="0" t="s">
        <v>327</v>
      </c>
      <c r="AP252" s="0" t="str">
        <f aca="false">TRIM(BA252)</f>
        <v>DDm100-25</v>
      </c>
      <c r="AQ252" s="59" t="e">
        <f aca="false">_xlfn.xlookup(A252,'SYS Allocations'!A:A,'SYS Allocations'!B:B)</f>
        <v>#NAME?</v>
      </c>
      <c r="AR252" s="59" t="e">
        <f aca="false">_xlfn.xlookup(A252,'SYS Allocations'!A:A,'SYS Allocations'!C:C)</f>
        <v>#NAME?</v>
      </c>
      <c r="AS252" s="59" t="e">
        <f aca="false">_xlfn.xlookup(A252,'SYS Allocations'!A:A,'SYS Allocations'!D:D)</f>
        <v>#NAME?</v>
      </c>
      <c r="AT252" s="59" t="e">
        <f aca="false">_xlfn.xlookup(A252,'SYS Allocations'!A:A,'SYS Allocations'!E:E)</f>
        <v>#NAME?</v>
      </c>
      <c r="AU252" s="59" t="e">
        <f aca="false">_xlfn.xlookup(A252,'SYS Allocations'!A:A,'SYS Allocations'!F:F)</f>
        <v>#NAME?</v>
      </c>
      <c r="BA252" s="0" t="str">
        <f aca="false">IFERROR(LEFT(R252,FIND("(",R252,1)-1),R252)</f>
        <v>DDm100-25</v>
      </c>
    </row>
    <row r="253" customFormat="false" ht="13.15" hidden="false" customHeight="false" outlineLevel="0" collapsed="false">
      <c r="A253" s="0" t="s">
        <v>269</v>
      </c>
      <c r="B253" s="0" t="s">
        <v>394</v>
      </c>
      <c r="C253" s="0" t="s">
        <v>834</v>
      </c>
      <c r="D253" s="0" t="s">
        <v>319</v>
      </c>
      <c r="E253" s="0" t="s">
        <v>836</v>
      </c>
      <c r="F253" s="0" t="s">
        <v>397</v>
      </c>
      <c r="G253" s="0" t="n">
        <v>50</v>
      </c>
      <c r="H253" s="0" t="n">
        <v>5</v>
      </c>
      <c r="I253" s="0" t="n">
        <v>79</v>
      </c>
      <c r="J253" s="0" t="n">
        <v>4.3055</v>
      </c>
      <c r="K253" s="45" t="n">
        <v>45468</v>
      </c>
      <c r="L253" s="0" t="n">
        <v>8.72</v>
      </c>
      <c r="M253" s="0" t="n">
        <v>4.4145</v>
      </c>
      <c r="N253" s="0" t="n">
        <v>4.4145</v>
      </c>
      <c r="O253" s="0" t="n">
        <v>0.109</v>
      </c>
      <c r="P253" s="0" t="s">
        <v>325</v>
      </c>
      <c r="Q253" s="0" t="s">
        <v>331</v>
      </c>
      <c r="R253" s="0" t="s">
        <v>365</v>
      </c>
      <c r="S253" s="0" t="n">
        <v>10.1088</v>
      </c>
      <c r="T253" s="0" t="n">
        <v>5.80329999999998</v>
      </c>
      <c r="U253" s="0" t="s">
        <v>325</v>
      </c>
      <c r="V253" s="0" t="s">
        <v>333</v>
      </c>
      <c r="W253" s="0" t="n">
        <v>22.5</v>
      </c>
      <c r="X253" s="0" t="n">
        <v>18.1945</v>
      </c>
      <c r="Y253" s="0" t="n">
        <v>42</v>
      </c>
      <c r="AB253" s="58" t="n">
        <f aca="false">M253-AA253</f>
        <v>4.4145</v>
      </c>
      <c r="AC253" s="58" t="n">
        <f aca="false">O253-AA253</f>
        <v>0.109</v>
      </c>
      <c r="AD253" s="58" t="n">
        <f aca="false">AB253/L253%</f>
        <v>50.625</v>
      </c>
      <c r="AE253" s="58" t="n">
        <f aca="false">AC253/N253%</f>
        <v>2.46913580246914</v>
      </c>
      <c r="AF253" s="58" t="n">
        <f aca="false">T253-AA253</f>
        <v>5.80329999999998</v>
      </c>
      <c r="AG253" s="58" t="n">
        <f aca="false">AF253/S253%</f>
        <v>57.4083966445076</v>
      </c>
      <c r="AH253" s="58" t="n">
        <f aca="false">W253</f>
        <v>22.5</v>
      </c>
      <c r="AI253" s="58" t="n">
        <f aca="false">J253</f>
        <v>4.3055</v>
      </c>
      <c r="AJ253" s="58" t="n">
        <f aca="false">AH253-AI253</f>
        <v>18.1945</v>
      </c>
      <c r="AK253" s="58" t="n">
        <f aca="false">AA253</f>
        <v>0</v>
      </c>
      <c r="AL253" s="58" t="n">
        <f aca="false">AJ253-AK253</f>
        <v>18.1945</v>
      </c>
      <c r="AM253" s="58" t="n">
        <f aca="false">AL253/AH253%</f>
        <v>80.8644444444444</v>
      </c>
      <c r="AN253" s="0" t="str">
        <f aca="false">IF(ISBLANK(Z253),"","Capped")</f>
        <v/>
      </c>
      <c r="AO253" s="0" t="s">
        <v>327</v>
      </c>
      <c r="AP253" s="0" t="str">
        <f aca="false">TRIM(BA253)</f>
        <v>2DDm85-15</v>
      </c>
      <c r="AQ253" s="59" t="e">
        <f aca="false">_xlfn.xlookup(A253,'SYS Allocations'!A:A,'SYS Allocations'!B:B)</f>
        <v>#NAME?</v>
      </c>
      <c r="AR253" s="59" t="e">
        <f aca="false">_xlfn.xlookup(A253,'SYS Allocations'!A:A,'SYS Allocations'!C:C)</f>
        <v>#NAME?</v>
      </c>
      <c r="AS253" s="59" t="e">
        <f aca="false">_xlfn.xlookup(A253,'SYS Allocations'!A:A,'SYS Allocations'!D:D)</f>
        <v>#NAME?</v>
      </c>
      <c r="AT253" s="59" t="e">
        <f aca="false">_xlfn.xlookup(A253,'SYS Allocations'!A:A,'SYS Allocations'!E:E)</f>
        <v>#NAME?</v>
      </c>
      <c r="AU253" s="59" t="e">
        <f aca="false">_xlfn.xlookup(A253,'SYS Allocations'!A:A,'SYS Allocations'!F:F)</f>
        <v>#NAME?</v>
      </c>
      <c r="BA253" s="0" t="str">
        <f aca="false">IFERROR(LEFT(R253,FIND("(",R253,1)-1),R253)</f>
        <v>2DDm85-15</v>
      </c>
    </row>
    <row r="254" customFormat="false" ht="13.15" hidden="false" customHeight="false" outlineLevel="0" collapsed="false">
      <c r="A254" s="20"/>
      <c r="B254" s="20" t="s">
        <v>342</v>
      </c>
      <c r="C254" s="20" t="s">
        <v>523</v>
      </c>
      <c r="D254" s="20" t="s">
        <v>433</v>
      </c>
      <c r="E254" s="20" t="s">
        <v>837</v>
      </c>
      <c r="F254" s="20"/>
      <c r="G254" s="63"/>
      <c r="H254" s="63"/>
      <c r="I254" s="63"/>
      <c r="J254" s="63"/>
      <c r="K254" s="64"/>
      <c r="L254" s="63"/>
      <c r="M254" s="63"/>
      <c r="N254" s="63"/>
      <c r="O254" s="63"/>
      <c r="P254" s="20"/>
      <c r="Q254" s="20"/>
      <c r="R254" s="20"/>
      <c r="S254" s="63"/>
      <c r="T254" s="63"/>
      <c r="U254" s="20" t="s">
        <v>325</v>
      </c>
      <c r="V254" s="20" t="s">
        <v>333</v>
      </c>
      <c r="W254" s="63" t="n">
        <v>22.5</v>
      </c>
      <c r="X254" s="63" t="n">
        <v>18.0419</v>
      </c>
      <c r="Y254" s="63" t="n">
        <v>42</v>
      </c>
      <c r="AA254" s="0" t="e">
        <f aca="false">VLOOKUP(A254,Cover!A:R,18,0)</f>
        <v>#N/A</v>
      </c>
      <c r="AB254" s="58" t="e">
        <f aca="false">M254-AA254</f>
        <v>#N/A</v>
      </c>
      <c r="AC254" s="58" t="e">
        <f aca="false">O254-AA254</f>
        <v>#N/A</v>
      </c>
      <c r="AD254" s="58" t="e">
        <f aca="false">AB254/L254%</f>
        <v>#N/A</v>
      </c>
      <c r="AE254" s="58" t="e">
        <f aca="false">AC254/N254%</f>
        <v>#N/A</v>
      </c>
      <c r="AF254" s="58" t="e">
        <f aca="false">T254-AA254</f>
        <v>#N/A</v>
      </c>
      <c r="AG254" s="58" t="e">
        <f aca="false">AF254/S254%</f>
        <v>#N/A</v>
      </c>
      <c r="AH254" s="58" t="n">
        <f aca="false">W254</f>
        <v>22.5</v>
      </c>
      <c r="AI254" s="58" t="n">
        <f aca="false">J254</f>
        <v>0</v>
      </c>
      <c r="AJ254" s="58" t="n">
        <f aca="false">AH254-AI254</f>
        <v>22.5</v>
      </c>
      <c r="AK254" s="58" t="e">
        <f aca="false">AA254</f>
        <v>#N/A</v>
      </c>
      <c r="AL254" s="58" t="e">
        <f aca="false">AJ254-AK254</f>
        <v>#N/A</v>
      </c>
      <c r="AM254" s="58" t="e">
        <f aca="false">AL254/AH254%</f>
        <v>#N/A</v>
      </c>
      <c r="AQ254" s="59" t="e">
        <f aca="false">_xlfn.xlookup(A254,'SYS Allocations'!A:A,'SYS Allocations'!B:B)</f>
        <v>#NAME?</v>
      </c>
      <c r="AR254" s="59" t="e">
        <f aca="false">_xlfn.xlookup(A254,'SYS Allocations'!A:A,'SYS Allocations'!C:C)</f>
        <v>#NAME?</v>
      </c>
      <c r="AS254" s="59" t="e">
        <f aca="false">_xlfn.xlookup(A254,'SYS Allocations'!A:A,'SYS Allocations'!D:D)</f>
        <v>#NAME?</v>
      </c>
      <c r="AT254" s="59" t="e">
        <f aca="false">_xlfn.xlookup(A254,'SYS Allocations'!A:A,'SYS Allocations'!E:E)</f>
        <v>#NAME?</v>
      </c>
      <c r="AU254" s="59" t="e">
        <f aca="false">_xlfn.xlookup(A254,'SYS Allocations'!A:A,'SYS Allocations'!F:F)</f>
        <v>#NAME?</v>
      </c>
    </row>
    <row r="255" customFormat="false" ht="13.15" hidden="false" customHeight="false" outlineLevel="0" collapsed="false">
      <c r="A255" s="20"/>
      <c r="B255" s="20" t="s">
        <v>342</v>
      </c>
      <c r="C255" s="20" t="s">
        <v>803</v>
      </c>
      <c r="D255" s="20" t="s">
        <v>433</v>
      </c>
      <c r="E255" s="20" t="s">
        <v>838</v>
      </c>
      <c r="F255" s="20" t="s">
        <v>839</v>
      </c>
      <c r="G255" s="63"/>
      <c r="H255" s="63"/>
      <c r="I255" s="63"/>
      <c r="J255" s="63"/>
      <c r="K255" s="64"/>
      <c r="L255" s="63"/>
      <c r="M255" s="63"/>
      <c r="N255" s="63"/>
      <c r="O255" s="63"/>
      <c r="P255" s="20"/>
      <c r="Q255" s="20"/>
      <c r="R255" s="20"/>
      <c r="S255" s="63"/>
      <c r="T255" s="63"/>
      <c r="U255" s="20" t="s">
        <v>322</v>
      </c>
      <c r="V255" s="20" t="s">
        <v>840</v>
      </c>
      <c r="W255" s="63" t="n">
        <v>174</v>
      </c>
      <c r="X255" s="63" t="n">
        <v>174</v>
      </c>
      <c r="Y255" s="63" t="n">
        <v>5</v>
      </c>
      <c r="AA255" s="0" t="e">
        <f aca="false">VLOOKUP(A255,Cover!A:R,18,0)</f>
        <v>#N/A</v>
      </c>
      <c r="AB255" s="58" t="e">
        <f aca="false">M255-AA255</f>
        <v>#N/A</v>
      </c>
      <c r="AC255" s="58" t="e">
        <f aca="false">O255-AA255</f>
        <v>#N/A</v>
      </c>
      <c r="AD255" s="58" t="e">
        <f aca="false">AB255/L255%</f>
        <v>#N/A</v>
      </c>
      <c r="AE255" s="58" t="e">
        <f aca="false">AC255/N255%</f>
        <v>#N/A</v>
      </c>
      <c r="AF255" s="58" t="e">
        <f aca="false">T255-AA255</f>
        <v>#N/A</v>
      </c>
      <c r="AG255" s="58" t="e">
        <f aca="false">AF255/S255%</f>
        <v>#N/A</v>
      </c>
      <c r="AH255" s="58" t="n">
        <f aca="false">W255</f>
        <v>174</v>
      </c>
      <c r="AI255" s="58" t="n">
        <f aca="false">J255</f>
        <v>0</v>
      </c>
      <c r="AJ255" s="58" t="n">
        <f aca="false">AH255-AI255</f>
        <v>174</v>
      </c>
      <c r="AK255" s="58" t="e">
        <f aca="false">AA255</f>
        <v>#N/A</v>
      </c>
      <c r="AL255" s="58" t="e">
        <f aca="false">AJ255-AK255</f>
        <v>#N/A</v>
      </c>
      <c r="AM255" s="58" t="e">
        <f aca="false">AL255/AH255%</f>
        <v>#N/A</v>
      </c>
      <c r="AQ255" s="59" t="e">
        <f aca="false">_xlfn.xlookup(A255,'SYS Allocations'!A:A,'SYS Allocations'!B:B)</f>
        <v>#NAME?</v>
      </c>
      <c r="AR255" s="59" t="e">
        <f aca="false">_xlfn.xlookup(A255,'SYS Allocations'!A:A,'SYS Allocations'!C:C)</f>
        <v>#NAME?</v>
      </c>
      <c r="AS255" s="59" t="e">
        <f aca="false">_xlfn.xlookup(A255,'SYS Allocations'!A:A,'SYS Allocations'!D:D)</f>
        <v>#NAME?</v>
      </c>
      <c r="AT255" s="59" t="e">
        <f aca="false">_xlfn.xlookup(A255,'SYS Allocations'!A:A,'SYS Allocations'!E:E)</f>
        <v>#NAME?</v>
      </c>
      <c r="AU255" s="59" t="e">
        <f aca="false">_xlfn.xlookup(A255,'SYS Allocations'!A:A,'SYS Allocations'!F:F)</f>
        <v>#NAME?</v>
      </c>
    </row>
    <row r="256" customFormat="false" ht="13.15" hidden="false" customHeight="false" outlineLevel="0" collapsed="false">
      <c r="A256" s="20"/>
      <c r="B256" s="20" t="s">
        <v>376</v>
      </c>
      <c r="C256" s="20" t="s">
        <v>407</v>
      </c>
      <c r="D256" s="20" t="s">
        <v>433</v>
      </c>
      <c r="E256" s="20" t="s">
        <v>841</v>
      </c>
      <c r="F256" s="20" t="s">
        <v>839</v>
      </c>
      <c r="G256" s="63"/>
      <c r="H256" s="63"/>
      <c r="I256" s="63"/>
      <c r="J256" s="63"/>
      <c r="K256" s="64"/>
      <c r="L256" s="63"/>
      <c r="M256" s="63"/>
      <c r="N256" s="63"/>
      <c r="O256" s="63"/>
      <c r="P256" s="20"/>
      <c r="Q256" s="20"/>
      <c r="R256" s="20"/>
      <c r="S256" s="63"/>
      <c r="T256" s="63"/>
      <c r="U256" s="20" t="s">
        <v>325</v>
      </c>
      <c r="V256" s="20" t="s">
        <v>333</v>
      </c>
      <c r="W256" s="63" t="n">
        <v>22.5</v>
      </c>
      <c r="X256" s="63" t="n">
        <v>22.5</v>
      </c>
      <c r="Y256" s="63" t="n">
        <v>16</v>
      </c>
      <c r="AA256" s="0" t="e">
        <f aca="false">VLOOKUP(A256,Cover!A:R,18,0)</f>
        <v>#N/A</v>
      </c>
      <c r="AB256" s="58" t="e">
        <f aca="false">M256-AA256</f>
        <v>#N/A</v>
      </c>
      <c r="AC256" s="58" t="e">
        <f aca="false">O256-AA256</f>
        <v>#N/A</v>
      </c>
      <c r="AD256" s="58" t="e">
        <f aca="false">AB256/L256%</f>
        <v>#N/A</v>
      </c>
      <c r="AE256" s="58" t="e">
        <f aca="false">AC256/N256%</f>
        <v>#N/A</v>
      </c>
      <c r="AF256" s="58" t="e">
        <f aca="false">T256-AA256</f>
        <v>#N/A</v>
      </c>
      <c r="AG256" s="58" t="e">
        <f aca="false">AF256/S256%</f>
        <v>#N/A</v>
      </c>
      <c r="AH256" s="58" t="n">
        <f aca="false">W256</f>
        <v>22.5</v>
      </c>
      <c r="AI256" s="58" t="n">
        <f aca="false">J256</f>
        <v>0</v>
      </c>
      <c r="AJ256" s="58" t="n">
        <f aca="false">AH256-AI256</f>
        <v>22.5</v>
      </c>
      <c r="AK256" s="58" t="e">
        <f aca="false">AA256</f>
        <v>#N/A</v>
      </c>
      <c r="AL256" s="58" t="e">
        <f aca="false">AJ256-AK256</f>
        <v>#N/A</v>
      </c>
      <c r="AM256" s="58" t="e">
        <f aca="false">AL256/AH256%</f>
        <v>#N/A</v>
      </c>
      <c r="AQ256" s="59" t="e">
        <f aca="false">_xlfn.xlookup(A256,'SYS Allocations'!A:A,'SYS Allocations'!B:B)</f>
        <v>#NAME?</v>
      </c>
      <c r="AR256" s="59" t="e">
        <f aca="false">_xlfn.xlookup(A256,'SYS Allocations'!A:A,'SYS Allocations'!C:C)</f>
        <v>#NAME?</v>
      </c>
      <c r="AS256" s="59" t="e">
        <f aca="false">_xlfn.xlookup(A256,'SYS Allocations'!A:A,'SYS Allocations'!D:D)</f>
        <v>#NAME?</v>
      </c>
      <c r="AT256" s="59" t="e">
        <f aca="false">_xlfn.xlookup(A256,'SYS Allocations'!A:A,'SYS Allocations'!E:E)</f>
        <v>#NAME?</v>
      </c>
      <c r="AU256" s="59" t="e">
        <f aca="false">_xlfn.xlookup(A256,'SYS Allocations'!A:A,'SYS Allocations'!F:F)</f>
        <v>#NAME?</v>
      </c>
    </row>
    <row r="257" customFormat="false" ht="13.15" hidden="false" customHeight="false" outlineLevel="0" collapsed="false">
      <c r="A257" s="20"/>
      <c r="B257" s="20" t="s">
        <v>376</v>
      </c>
      <c r="C257" s="20" t="s">
        <v>636</v>
      </c>
      <c r="D257" s="20" t="s">
        <v>433</v>
      </c>
      <c r="E257" s="20" t="s">
        <v>842</v>
      </c>
      <c r="F257" s="20" t="s">
        <v>839</v>
      </c>
      <c r="G257" s="63"/>
      <c r="H257" s="63"/>
      <c r="I257" s="63"/>
      <c r="J257" s="63"/>
      <c r="K257" s="64"/>
      <c r="L257" s="63"/>
      <c r="M257" s="63"/>
      <c r="N257" s="63"/>
      <c r="O257" s="63"/>
      <c r="P257" s="20"/>
      <c r="Q257" s="20"/>
      <c r="R257" s="20"/>
      <c r="S257" s="63"/>
      <c r="T257" s="63"/>
      <c r="U257" s="20" t="s">
        <v>325</v>
      </c>
      <c r="V257" s="20" t="s">
        <v>843</v>
      </c>
      <c r="W257" s="63" t="n">
        <v>7.6875</v>
      </c>
      <c r="X257" s="63" t="n">
        <v>7.6875</v>
      </c>
      <c r="Y257" s="63" t="n">
        <v>1</v>
      </c>
      <c r="AA257" s="0" t="e">
        <f aca="false">VLOOKUP(A257,Cover!A:R,18,0)</f>
        <v>#N/A</v>
      </c>
      <c r="AB257" s="58" t="e">
        <f aca="false">M257-AA257</f>
        <v>#N/A</v>
      </c>
      <c r="AC257" s="58" t="e">
        <f aca="false">O257-AA257</f>
        <v>#N/A</v>
      </c>
      <c r="AD257" s="58" t="e">
        <f aca="false">AB257/L257%</f>
        <v>#N/A</v>
      </c>
      <c r="AE257" s="58" t="e">
        <f aca="false">AC257/N257%</f>
        <v>#N/A</v>
      </c>
      <c r="AF257" s="58" t="e">
        <f aca="false">T257-AA257</f>
        <v>#N/A</v>
      </c>
      <c r="AG257" s="58" t="e">
        <f aca="false">AF257/S257%</f>
        <v>#N/A</v>
      </c>
      <c r="AH257" s="58" t="n">
        <f aca="false">W257</f>
        <v>7.6875</v>
      </c>
      <c r="AI257" s="58" t="n">
        <f aca="false">J257</f>
        <v>0</v>
      </c>
      <c r="AJ257" s="58" t="n">
        <f aca="false">AH257-AI257</f>
        <v>7.6875</v>
      </c>
      <c r="AK257" s="58" t="e">
        <f aca="false">AA257</f>
        <v>#N/A</v>
      </c>
      <c r="AL257" s="58" t="e">
        <f aca="false">AJ257-AK257</f>
        <v>#N/A</v>
      </c>
      <c r="AM257" s="58" t="e">
        <f aca="false">AL257/AH257%</f>
        <v>#N/A</v>
      </c>
      <c r="AQ257" s="59" t="e">
        <f aca="false">_xlfn.xlookup(A257,'SYS Allocations'!A:A,'SYS Allocations'!B:B)</f>
        <v>#NAME?</v>
      </c>
      <c r="AR257" s="59" t="e">
        <f aca="false">_xlfn.xlookup(A257,'SYS Allocations'!A:A,'SYS Allocations'!C:C)</f>
        <v>#NAME?</v>
      </c>
      <c r="AS257" s="59" t="e">
        <f aca="false">_xlfn.xlookup(A257,'SYS Allocations'!A:A,'SYS Allocations'!D:D)</f>
        <v>#NAME?</v>
      </c>
      <c r="AT257" s="59" t="e">
        <f aca="false">_xlfn.xlookup(A257,'SYS Allocations'!A:A,'SYS Allocations'!E:E)</f>
        <v>#NAME?</v>
      </c>
      <c r="AU257" s="59" t="e">
        <f aca="false">_xlfn.xlookup(A257,'SYS Allocations'!A:A,'SYS Allocations'!F:F)</f>
        <v>#NAME?</v>
      </c>
    </row>
    <row r="258" customFormat="false" ht="13.15" hidden="false" customHeight="false" outlineLevel="0" collapsed="false">
      <c r="A258" s="20"/>
      <c r="B258" s="20" t="s">
        <v>394</v>
      </c>
      <c r="C258" s="20" t="s">
        <v>639</v>
      </c>
      <c r="D258" s="20" t="s">
        <v>313</v>
      </c>
      <c r="E258" s="20" t="s">
        <v>844</v>
      </c>
      <c r="F258" s="20" t="s">
        <v>839</v>
      </c>
      <c r="G258" s="63"/>
      <c r="H258" s="63"/>
      <c r="I258" s="63"/>
      <c r="J258" s="63"/>
      <c r="K258" s="64"/>
      <c r="L258" s="63"/>
      <c r="M258" s="63"/>
      <c r="N258" s="63"/>
      <c r="O258" s="63"/>
      <c r="P258" s="20"/>
      <c r="Q258" s="20"/>
      <c r="R258" s="20"/>
      <c r="S258" s="63"/>
      <c r="T258" s="63"/>
      <c r="U258" s="20" t="s">
        <v>374</v>
      </c>
      <c r="V258" s="20" t="s">
        <v>845</v>
      </c>
      <c r="W258" s="63" t="n">
        <v>41.25</v>
      </c>
      <c r="X258" s="63" t="n">
        <v>41.25</v>
      </c>
      <c r="Y258" s="63" t="n">
        <v>0</v>
      </c>
      <c r="AA258" s="0" t="e">
        <f aca="false">VLOOKUP(A258,Cover!A:R,18,0)</f>
        <v>#N/A</v>
      </c>
      <c r="AB258" s="58" t="e">
        <f aca="false">M258-AA258</f>
        <v>#N/A</v>
      </c>
      <c r="AC258" s="58" t="e">
        <f aca="false">O258-AA258</f>
        <v>#N/A</v>
      </c>
      <c r="AD258" s="58" t="e">
        <f aca="false">AB258/L258%</f>
        <v>#N/A</v>
      </c>
      <c r="AE258" s="58" t="e">
        <f aca="false">AC258/N258%</f>
        <v>#N/A</v>
      </c>
      <c r="AF258" s="58" t="e">
        <f aca="false">T258-AA258</f>
        <v>#N/A</v>
      </c>
      <c r="AG258" s="58" t="e">
        <f aca="false">AF258/S258%</f>
        <v>#N/A</v>
      </c>
      <c r="AH258" s="58" t="n">
        <f aca="false">W258</f>
        <v>41.25</v>
      </c>
      <c r="AI258" s="58" t="n">
        <f aca="false">J258</f>
        <v>0</v>
      </c>
      <c r="AJ258" s="58" t="n">
        <f aca="false">AH258-AI258</f>
        <v>41.25</v>
      </c>
      <c r="AK258" s="58" t="e">
        <f aca="false">AA258</f>
        <v>#N/A</v>
      </c>
      <c r="AL258" s="58" t="e">
        <f aca="false">AJ258-AK258</f>
        <v>#N/A</v>
      </c>
      <c r="AM258" s="58" t="e">
        <f aca="false">AL258/AH258%</f>
        <v>#N/A</v>
      </c>
      <c r="AQ258" s="59" t="e">
        <f aca="false">_xlfn.xlookup(A258,'SYS Allocations'!A:A,'SYS Allocations'!B:B)</f>
        <v>#NAME?</v>
      </c>
      <c r="AR258" s="59" t="e">
        <f aca="false">_xlfn.xlookup(A258,'SYS Allocations'!A:A,'SYS Allocations'!C:C)</f>
        <v>#NAME?</v>
      </c>
      <c r="AS258" s="59" t="e">
        <f aca="false">_xlfn.xlookup(A258,'SYS Allocations'!A:A,'SYS Allocations'!D:D)</f>
        <v>#NAME?</v>
      </c>
      <c r="AT258" s="59" t="e">
        <f aca="false">_xlfn.xlookup(A258,'SYS Allocations'!A:A,'SYS Allocations'!E:E)</f>
        <v>#NAME?</v>
      </c>
      <c r="AU258" s="59" t="e">
        <f aca="false">_xlfn.xlookup(A258,'SYS Allocations'!A:A,'SYS Allocations'!F:F)</f>
        <v>#NAME?</v>
      </c>
    </row>
    <row r="259" customFormat="false" ht="13.15" hidden="false" customHeight="false" outlineLevel="0" collapsed="false">
      <c r="A259" s="20"/>
      <c r="B259" s="20" t="s">
        <v>394</v>
      </c>
      <c r="C259" s="20" t="s">
        <v>639</v>
      </c>
      <c r="D259" s="20" t="s">
        <v>313</v>
      </c>
      <c r="E259" s="20" t="s">
        <v>844</v>
      </c>
      <c r="F259" s="20" t="s">
        <v>839</v>
      </c>
      <c r="G259" s="63"/>
      <c r="H259" s="63"/>
      <c r="I259" s="63"/>
      <c r="J259" s="63"/>
      <c r="K259" s="64"/>
      <c r="L259" s="63"/>
      <c r="M259" s="63"/>
      <c r="N259" s="63"/>
      <c r="O259" s="63"/>
      <c r="P259" s="20"/>
      <c r="Q259" s="20"/>
      <c r="R259" s="20"/>
      <c r="S259" s="63"/>
      <c r="T259" s="63"/>
      <c r="U259" s="20" t="s">
        <v>322</v>
      </c>
      <c r="V259" s="20" t="s">
        <v>442</v>
      </c>
      <c r="W259" s="63" t="n">
        <v>11.25</v>
      </c>
      <c r="X259" s="63" t="n">
        <v>11.25</v>
      </c>
      <c r="Y259" s="63" t="n">
        <v>0</v>
      </c>
      <c r="Z259" s="20" t="s">
        <v>8</v>
      </c>
      <c r="AA259" s="0" t="e">
        <f aca="false">VLOOKUP(A259,Cover!A:R,18,0)</f>
        <v>#N/A</v>
      </c>
      <c r="AB259" s="58" t="e">
        <f aca="false">M259-AA259</f>
        <v>#N/A</v>
      </c>
      <c r="AC259" s="58" t="e">
        <f aca="false">O259-AA259</f>
        <v>#N/A</v>
      </c>
      <c r="AD259" s="58" t="e">
        <f aca="false">AB259/L259%</f>
        <v>#N/A</v>
      </c>
      <c r="AE259" s="58" t="e">
        <f aca="false">AC259/N259%</f>
        <v>#N/A</v>
      </c>
      <c r="AF259" s="58" t="e">
        <f aca="false">T259-AA259</f>
        <v>#N/A</v>
      </c>
      <c r="AG259" s="58" t="e">
        <f aca="false">AF259/S259%</f>
        <v>#N/A</v>
      </c>
      <c r="AH259" s="58" t="n">
        <f aca="false">W259</f>
        <v>11.25</v>
      </c>
      <c r="AI259" s="58" t="n">
        <f aca="false">J259</f>
        <v>0</v>
      </c>
      <c r="AJ259" s="58" t="n">
        <f aca="false">AH259-AI259</f>
        <v>11.25</v>
      </c>
      <c r="AK259" s="58" t="e">
        <f aca="false">AA259</f>
        <v>#N/A</v>
      </c>
      <c r="AL259" s="58" t="e">
        <f aca="false">AJ259-AK259</f>
        <v>#N/A</v>
      </c>
      <c r="AM259" s="58" t="e">
        <f aca="false">AL259/AH259%</f>
        <v>#N/A</v>
      </c>
      <c r="AQ259" s="59" t="e">
        <f aca="false">_xlfn.xlookup(A259,'SYS Allocations'!A:A,'SYS Allocations'!B:B)</f>
        <v>#NAME?</v>
      </c>
      <c r="AR259" s="59" t="e">
        <f aca="false">_xlfn.xlookup(A259,'SYS Allocations'!A:A,'SYS Allocations'!C:C)</f>
        <v>#NAME?</v>
      </c>
      <c r="AS259" s="59" t="e">
        <f aca="false">_xlfn.xlookup(A259,'SYS Allocations'!A:A,'SYS Allocations'!D:D)</f>
        <v>#NAME?</v>
      </c>
      <c r="AT259" s="59" t="e">
        <f aca="false">_xlfn.xlookup(A259,'SYS Allocations'!A:A,'SYS Allocations'!E:E)</f>
        <v>#NAME?</v>
      </c>
      <c r="AU259" s="59" t="e">
        <f aca="false">_xlfn.xlookup(A259,'SYS Allocations'!A:A,'SYS Allocations'!F:F)</f>
        <v>#NAME?</v>
      </c>
    </row>
    <row r="260" customFormat="false" ht="13.15" hidden="false" customHeight="false" outlineLevel="0" collapsed="false">
      <c r="A260" s="20"/>
      <c r="B260" s="20" t="s">
        <v>394</v>
      </c>
      <c r="C260" s="20" t="s">
        <v>639</v>
      </c>
      <c r="D260" s="20" t="s">
        <v>313</v>
      </c>
      <c r="E260" s="20" t="s">
        <v>846</v>
      </c>
      <c r="F260" s="20" t="s">
        <v>839</v>
      </c>
      <c r="G260" s="63"/>
      <c r="H260" s="63"/>
      <c r="I260" s="63"/>
      <c r="J260" s="63"/>
      <c r="K260" s="64"/>
      <c r="L260" s="63"/>
      <c r="M260" s="63"/>
      <c r="N260" s="63"/>
      <c r="O260" s="63"/>
      <c r="P260" s="20"/>
      <c r="Q260" s="20"/>
      <c r="R260" s="20"/>
      <c r="S260" s="63"/>
      <c r="T260" s="63"/>
      <c r="U260" s="20" t="s">
        <v>322</v>
      </c>
      <c r="V260" s="20" t="s">
        <v>847</v>
      </c>
      <c r="W260" s="63" t="n">
        <v>48</v>
      </c>
      <c r="X260" s="63" t="n">
        <v>48</v>
      </c>
      <c r="Y260" s="63" t="n">
        <v>0</v>
      </c>
      <c r="Z260" s="20"/>
      <c r="AA260" s="0" t="e">
        <f aca="false">VLOOKUP(A260,Cover!A:R,18,0)</f>
        <v>#N/A</v>
      </c>
      <c r="AB260" s="58" t="e">
        <f aca="false">M260-AA260</f>
        <v>#N/A</v>
      </c>
      <c r="AC260" s="58" t="e">
        <f aca="false">O260-AA260</f>
        <v>#N/A</v>
      </c>
      <c r="AD260" s="58" t="e">
        <f aca="false">AB260/L260%</f>
        <v>#N/A</v>
      </c>
      <c r="AE260" s="58" t="e">
        <f aca="false">AC260/N260%</f>
        <v>#N/A</v>
      </c>
      <c r="AF260" s="58" t="e">
        <f aca="false">T260-AA260</f>
        <v>#N/A</v>
      </c>
      <c r="AG260" s="58" t="e">
        <f aca="false">AF260/S260%</f>
        <v>#N/A</v>
      </c>
      <c r="AH260" s="58" t="n">
        <f aca="false">W260</f>
        <v>48</v>
      </c>
      <c r="AI260" s="58" t="n">
        <f aca="false">J260</f>
        <v>0</v>
      </c>
      <c r="AJ260" s="58" t="n">
        <f aca="false">AH260-AI260</f>
        <v>48</v>
      </c>
      <c r="AK260" s="58" t="e">
        <f aca="false">AA260</f>
        <v>#N/A</v>
      </c>
      <c r="AL260" s="58" t="e">
        <f aca="false">AJ260-AK260</f>
        <v>#N/A</v>
      </c>
      <c r="AM260" s="58" t="e">
        <f aca="false">AL260/AH260%</f>
        <v>#N/A</v>
      </c>
      <c r="AQ260" s="59" t="e">
        <f aca="false">_xlfn.xlookup(A260,'SYS Allocations'!A:A,'SYS Allocations'!B:B)</f>
        <v>#NAME?</v>
      </c>
      <c r="AR260" s="59" t="e">
        <f aca="false">_xlfn.xlookup(A260,'SYS Allocations'!A:A,'SYS Allocations'!C:C)</f>
        <v>#NAME?</v>
      </c>
      <c r="AS260" s="59" t="e">
        <f aca="false">_xlfn.xlookup(A260,'SYS Allocations'!A:A,'SYS Allocations'!D:D)</f>
        <v>#NAME?</v>
      </c>
      <c r="AT260" s="59" t="e">
        <f aca="false">_xlfn.xlookup(A260,'SYS Allocations'!A:A,'SYS Allocations'!E:E)</f>
        <v>#NAME?</v>
      </c>
      <c r="AU260" s="59" t="e">
        <f aca="false">_xlfn.xlookup(A260,'SYS Allocations'!A:A,'SYS Allocations'!F:F)</f>
        <v>#NAME?</v>
      </c>
    </row>
    <row r="261" customFormat="false" ht="13.15" hidden="false" customHeight="false" outlineLevel="0" collapsed="false">
      <c r="A261" s="20"/>
      <c r="B261" s="20" t="s">
        <v>394</v>
      </c>
      <c r="C261" s="20" t="s">
        <v>639</v>
      </c>
      <c r="D261" s="20" t="s">
        <v>433</v>
      </c>
      <c r="E261" s="20" t="s">
        <v>848</v>
      </c>
      <c r="F261" s="20" t="s">
        <v>839</v>
      </c>
      <c r="G261" s="63"/>
      <c r="H261" s="63"/>
      <c r="I261" s="63"/>
      <c r="J261" s="63"/>
      <c r="K261" s="64"/>
      <c r="L261" s="63"/>
      <c r="M261" s="63"/>
      <c r="N261" s="63"/>
      <c r="O261" s="63"/>
      <c r="P261" s="20"/>
      <c r="Q261" s="20"/>
      <c r="R261" s="20"/>
      <c r="S261" s="63"/>
      <c r="T261" s="63"/>
      <c r="U261" s="20" t="s">
        <v>337</v>
      </c>
      <c r="V261" s="20" t="s">
        <v>358</v>
      </c>
      <c r="W261" s="63" t="n">
        <v>6.75</v>
      </c>
      <c r="X261" s="63" t="n">
        <v>6.75</v>
      </c>
      <c r="Y261" s="63" t="n">
        <v>3</v>
      </c>
      <c r="Z261" s="20"/>
      <c r="AA261" s="0" t="e">
        <f aca="false">VLOOKUP(A261,Cover!A:R,18,0)</f>
        <v>#N/A</v>
      </c>
      <c r="AB261" s="58" t="e">
        <f aca="false">M261-AA261</f>
        <v>#N/A</v>
      </c>
      <c r="AC261" s="58" t="e">
        <f aca="false">O261-AA261</f>
        <v>#N/A</v>
      </c>
      <c r="AD261" s="58" t="e">
        <f aca="false">AB261/L261%</f>
        <v>#N/A</v>
      </c>
      <c r="AE261" s="58" t="e">
        <f aca="false">AC261/N261%</f>
        <v>#N/A</v>
      </c>
      <c r="AF261" s="58" t="e">
        <f aca="false">T261-AA261</f>
        <v>#N/A</v>
      </c>
      <c r="AG261" s="58" t="e">
        <f aca="false">AF261/S261%</f>
        <v>#N/A</v>
      </c>
      <c r="AH261" s="58" t="n">
        <f aca="false">W261</f>
        <v>6.75</v>
      </c>
      <c r="AI261" s="58" t="n">
        <f aca="false">J261</f>
        <v>0</v>
      </c>
      <c r="AJ261" s="58" t="n">
        <f aca="false">AH261-AI261</f>
        <v>6.75</v>
      </c>
      <c r="AK261" s="58" t="e">
        <f aca="false">AA261</f>
        <v>#N/A</v>
      </c>
      <c r="AL261" s="58" t="e">
        <f aca="false">AJ261-AK261</f>
        <v>#N/A</v>
      </c>
      <c r="AM261" s="58" t="e">
        <f aca="false">AL261/AH261%</f>
        <v>#N/A</v>
      </c>
      <c r="AQ261" s="59" t="e">
        <f aca="false">_xlfn.xlookup(A261,'SYS Allocations'!A:A,'SYS Allocations'!B:B)</f>
        <v>#NAME?</v>
      </c>
      <c r="AR261" s="59" t="e">
        <f aca="false">_xlfn.xlookup(A261,'SYS Allocations'!A:A,'SYS Allocations'!C:C)</f>
        <v>#NAME?</v>
      </c>
      <c r="AS261" s="59" t="e">
        <f aca="false">_xlfn.xlookup(A261,'SYS Allocations'!A:A,'SYS Allocations'!D:D)</f>
        <v>#NAME?</v>
      </c>
      <c r="AT261" s="59" t="e">
        <f aca="false">_xlfn.xlookup(A261,'SYS Allocations'!A:A,'SYS Allocations'!E:E)</f>
        <v>#NAME?</v>
      </c>
      <c r="AU261" s="59" t="e">
        <f aca="false">_xlfn.xlookup(A261,'SYS Allocations'!A:A,'SYS Allocations'!F:F)</f>
        <v>#NAME?</v>
      </c>
    </row>
    <row r="262" customFormat="false" ht="13.15" hidden="false" customHeight="false" outlineLevel="0" collapsed="false">
      <c r="A262" s="20"/>
      <c r="B262" s="20" t="s">
        <v>400</v>
      </c>
      <c r="C262" s="20" t="s">
        <v>479</v>
      </c>
      <c r="D262" s="20" t="s">
        <v>433</v>
      </c>
      <c r="E262" s="20" t="s">
        <v>849</v>
      </c>
      <c r="F262" s="20" t="s">
        <v>839</v>
      </c>
      <c r="G262" s="63"/>
      <c r="H262" s="63"/>
      <c r="I262" s="63"/>
      <c r="J262" s="63"/>
      <c r="K262" s="64"/>
      <c r="L262" s="63"/>
      <c r="M262" s="63"/>
      <c r="N262" s="63"/>
      <c r="O262" s="63"/>
      <c r="P262" s="20"/>
      <c r="Q262" s="20"/>
      <c r="R262" s="20"/>
      <c r="S262" s="63"/>
      <c r="T262" s="63"/>
      <c r="U262" s="20" t="s">
        <v>561</v>
      </c>
      <c r="V262" s="20" t="s">
        <v>561</v>
      </c>
      <c r="W262" s="63"/>
      <c r="X262" s="63"/>
      <c r="Y262" s="63" t="n">
        <v>0</v>
      </c>
      <c r="Z262" s="20"/>
      <c r="AA262" s="0" t="e">
        <f aca="false">VLOOKUP(A262,Cover!A:R,18,0)</f>
        <v>#N/A</v>
      </c>
      <c r="AB262" s="58" t="e">
        <f aca="false">M262-AA262</f>
        <v>#N/A</v>
      </c>
      <c r="AC262" s="58" t="e">
        <f aca="false">O262-AA262</f>
        <v>#N/A</v>
      </c>
      <c r="AD262" s="58" t="e">
        <f aca="false">AB262/L262%</f>
        <v>#N/A</v>
      </c>
      <c r="AE262" s="58" t="e">
        <f aca="false">AC262/N262%</f>
        <v>#N/A</v>
      </c>
      <c r="AF262" s="58" t="e">
        <f aca="false">T262-AA262</f>
        <v>#N/A</v>
      </c>
      <c r="AG262" s="58" t="e">
        <f aca="false">AF262/S262%</f>
        <v>#N/A</v>
      </c>
      <c r="AH262" s="58" t="n">
        <f aca="false">W262</f>
        <v>0</v>
      </c>
      <c r="AI262" s="58" t="n">
        <f aca="false">J262</f>
        <v>0</v>
      </c>
      <c r="AJ262" s="58" t="n">
        <f aca="false">AH262-AI262</f>
        <v>0</v>
      </c>
      <c r="AK262" s="58" t="e">
        <f aca="false">AA262</f>
        <v>#N/A</v>
      </c>
      <c r="AL262" s="58" t="e">
        <f aca="false">AJ262-AK262</f>
        <v>#N/A</v>
      </c>
      <c r="AM262" s="58" t="e">
        <f aca="false">AL262/AH262%</f>
        <v>#N/A</v>
      </c>
      <c r="AQ262" s="59" t="e">
        <f aca="false">_xlfn.xlookup(A262,'SYS Allocations'!A:A,'SYS Allocations'!B:B)</f>
        <v>#NAME?</v>
      </c>
      <c r="AR262" s="59" t="e">
        <f aca="false">_xlfn.xlookup(A262,'SYS Allocations'!A:A,'SYS Allocations'!C:C)</f>
        <v>#NAME?</v>
      </c>
      <c r="AS262" s="59" t="e">
        <f aca="false">_xlfn.xlookup(A262,'SYS Allocations'!A:A,'SYS Allocations'!D:D)</f>
        <v>#NAME?</v>
      </c>
      <c r="AT262" s="59" t="e">
        <f aca="false">_xlfn.xlookup(A262,'SYS Allocations'!A:A,'SYS Allocations'!E:E)</f>
        <v>#NAME?</v>
      </c>
      <c r="AU262" s="59" t="e">
        <f aca="false">_xlfn.xlookup(A262,'SYS Allocations'!A:A,'SYS Allocations'!F:F)</f>
        <v>#NAME?</v>
      </c>
    </row>
    <row r="263" customFormat="false" ht="13.15" hidden="false" customHeight="false" outlineLevel="0" collapsed="false">
      <c r="A263" s="20"/>
      <c r="B263" s="20" t="s">
        <v>328</v>
      </c>
      <c r="C263" s="20" t="s">
        <v>329</v>
      </c>
      <c r="D263" s="20" t="s">
        <v>433</v>
      </c>
      <c r="E263" s="20" t="s">
        <v>561</v>
      </c>
      <c r="F263" s="20" t="s">
        <v>839</v>
      </c>
      <c r="G263" s="63"/>
      <c r="H263" s="63"/>
      <c r="I263" s="63"/>
      <c r="J263" s="63"/>
      <c r="K263" s="64"/>
      <c r="L263" s="63"/>
      <c r="M263" s="63"/>
      <c r="N263" s="63"/>
      <c r="O263" s="63"/>
      <c r="P263" s="20"/>
      <c r="Q263" s="20"/>
      <c r="R263" s="20"/>
      <c r="S263" s="63"/>
      <c r="T263" s="63"/>
      <c r="U263" s="20" t="s">
        <v>561</v>
      </c>
      <c r="V263" s="20" t="s">
        <v>561</v>
      </c>
      <c r="W263" s="63" t="n">
        <v>0</v>
      </c>
      <c r="X263" s="63" t="n">
        <v>0</v>
      </c>
      <c r="Y263" s="63" t="n">
        <v>1</v>
      </c>
      <c r="Z263" s="20"/>
      <c r="AA263" s="0" t="e">
        <f aca="false">VLOOKUP(A263,Cover!A:R,18,0)</f>
        <v>#N/A</v>
      </c>
      <c r="AB263" s="58" t="e">
        <f aca="false">M263-AA263</f>
        <v>#N/A</v>
      </c>
      <c r="AC263" s="58" t="e">
        <f aca="false">O263-AA263</f>
        <v>#N/A</v>
      </c>
      <c r="AD263" s="58" t="e">
        <f aca="false">AB263/L263%</f>
        <v>#N/A</v>
      </c>
      <c r="AE263" s="58" t="e">
        <f aca="false">AC263/N263%</f>
        <v>#N/A</v>
      </c>
      <c r="AF263" s="58" t="e">
        <f aca="false">T263-AA263</f>
        <v>#N/A</v>
      </c>
      <c r="AG263" s="58" t="e">
        <f aca="false">AF263/S263%</f>
        <v>#N/A</v>
      </c>
      <c r="AH263" s="58" t="n">
        <f aca="false">W263</f>
        <v>0</v>
      </c>
      <c r="AI263" s="58" t="n">
        <f aca="false">J263</f>
        <v>0</v>
      </c>
      <c r="AJ263" s="58" t="n">
        <f aca="false">AH263-AI263</f>
        <v>0</v>
      </c>
      <c r="AK263" s="58" t="e">
        <f aca="false">AA263</f>
        <v>#N/A</v>
      </c>
      <c r="AL263" s="58" t="e">
        <f aca="false">AJ263-AK263</f>
        <v>#N/A</v>
      </c>
      <c r="AM263" s="58" t="e">
        <f aca="false">AL263/AH263%</f>
        <v>#N/A</v>
      </c>
      <c r="AQ263" s="59" t="e">
        <f aca="false">_xlfn.xlookup(A263,'SYS Allocations'!A:A,'SYS Allocations'!B:B)</f>
        <v>#NAME?</v>
      </c>
      <c r="AR263" s="59" t="e">
        <f aca="false">_xlfn.xlookup(A263,'SYS Allocations'!A:A,'SYS Allocations'!C:C)</f>
        <v>#NAME?</v>
      </c>
      <c r="AS263" s="59" t="e">
        <f aca="false">_xlfn.xlookup(A263,'SYS Allocations'!A:A,'SYS Allocations'!D:D)</f>
        <v>#NAME?</v>
      </c>
      <c r="AT263" s="59" t="e">
        <f aca="false">_xlfn.xlookup(A263,'SYS Allocations'!A:A,'SYS Allocations'!E:E)</f>
        <v>#NAME?</v>
      </c>
      <c r="AU263" s="59" t="e">
        <f aca="false">_xlfn.xlookup(A263,'SYS Allocations'!A:A,'SYS Allocations'!F:F)</f>
        <v>#NAME?</v>
      </c>
    </row>
    <row r="264" customFormat="false" ht="13.15" hidden="false" customHeight="false" outlineLevel="0" collapsed="false">
      <c r="A264" s="20"/>
      <c r="B264" s="20" t="s">
        <v>328</v>
      </c>
      <c r="C264" s="20" t="s">
        <v>850</v>
      </c>
      <c r="D264" s="20" t="s">
        <v>433</v>
      </c>
      <c r="E264" s="20" t="s">
        <v>851</v>
      </c>
      <c r="F264" s="20" t="s">
        <v>839</v>
      </c>
      <c r="G264" s="63"/>
      <c r="H264" s="63"/>
      <c r="I264" s="63"/>
      <c r="J264" s="63"/>
      <c r="K264" s="64"/>
      <c r="L264" s="63"/>
      <c r="M264" s="63"/>
      <c r="N264" s="63"/>
      <c r="O264" s="63"/>
      <c r="P264" s="20"/>
      <c r="Q264" s="20"/>
      <c r="R264" s="20"/>
      <c r="S264" s="63"/>
      <c r="T264" s="63"/>
      <c r="U264" s="20" t="s">
        <v>325</v>
      </c>
      <c r="V264" s="20" t="s">
        <v>326</v>
      </c>
      <c r="W264" s="63" t="n">
        <v>7.5</v>
      </c>
      <c r="X264" s="63" t="n">
        <v>7.5</v>
      </c>
      <c r="Y264" s="63" t="n">
        <v>0</v>
      </c>
      <c r="Z264" s="20"/>
      <c r="AA264" s="0" t="e">
        <f aca="false">VLOOKUP(A264,Cover!A:R,18,0)</f>
        <v>#N/A</v>
      </c>
      <c r="AB264" s="58" t="e">
        <f aca="false">M264-AA264</f>
        <v>#N/A</v>
      </c>
      <c r="AC264" s="58" t="e">
        <f aca="false">O264-AA264</f>
        <v>#N/A</v>
      </c>
      <c r="AD264" s="58" t="e">
        <f aca="false">AB264/L264%</f>
        <v>#N/A</v>
      </c>
      <c r="AE264" s="58" t="e">
        <f aca="false">AC264/N264%</f>
        <v>#N/A</v>
      </c>
      <c r="AF264" s="58" t="e">
        <f aca="false">T264-AA264</f>
        <v>#N/A</v>
      </c>
      <c r="AG264" s="58" t="e">
        <f aca="false">AF264/S264%</f>
        <v>#N/A</v>
      </c>
      <c r="AH264" s="58" t="n">
        <f aca="false">W264</f>
        <v>7.5</v>
      </c>
      <c r="AI264" s="58" t="n">
        <f aca="false">J264</f>
        <v>0</v>
      </c>
      <c r="AJ264" s="58" t="n">
        <f aca="false">AH264-AI264</f>
        <v>7.5</v>
      </c>
      <c r="AK264" s="58" t="e">
        <f aca="false">AA264</f>
        <v>#N/A</v>
      </c>
      <c r="AL264" s="58" t="e">
        <f aca="false">AJ264-AK264</f>
        <v>#N/A</v>
      </c>
      <c r="AM264" s="58" t="e">
        <f aca="false">AL264/AH264%</f>
        <v>#N/A</v>
      </c>
      <c r="AQ264" s="59" t="e">
        <f aca="false">_xlfn.xlookup(A264,'SYS Allocations'!A:A,'SYS Allocations'!B:B)</f>
        <v>#NAME?</v>
      </c>
      <c r="AR264" s="59" t="e">
        <f aca="false">_xlfn.xlookup(A264,'SYS Allocations'!A:A,'SYS Allocations'!C:C)</f>
        <v>#NAME?</v>
      </c>
      <c r="AS264" s="59" t="e">
        <f aca="false">_xlfn.xlookup(A264,'SYS Allocations'!A:A,'SYS Allocations'!D:D)</f>
        <v>#NAME?</v>
      </c>
      <c r="AT264" s="59" t="e">
        <f aca="false">_xlfn.xlookup(A264,'SYS Allocations'!A:A,'SYS Allocations'!E:E)</f>
        <v>#NAME?</v>
      </c>
      <c r="AU264" s="59" t="e">
        <f aca="false">_xlfn.xlookup(A264,'SYS Allocations'!A:A,'SYS Allocations'!F:F)</f>
        <v>#NAME?</v>
      </c>
    </row>
    <row r="265" customFormat="false" ht="13.15" hidden="false" customHeight="false" outlineLevel="0" collapsed="false">
      <c r="A265" s="20"/>
      <c r="B265" s="20" t="s">
        <v>328</v>
      </c>
      <c r="C265" s="20" t="s">
        <v>566</v>
      </c>
      <c r="D265" s="20" t="s">
        <v>433</v>
      </c>
      <c r="E265" s="20" t="s">
        <v>852</v>
      </c>
      <c r="F265" s="20" t="s">
        <v>839</v>
      </c>
      <c r="G265" s="63"/>
      <c r="H265" s="63"/>
      <c r="I265" s="63"/>
      <c r="J265" s="63"/>
      <c r="K265" s="64"/>
      <c r="L265" s="63"/>
      <c r="M265" s="63"/>
      <c r="N265" s="63"/>
      <c r="O265" s="63"/>
      <c r="P265" s="20"/>
      <c r="Q265" s="20"/>
      <c r="R265" s="20"/>
      <c r="S265" s="63"/>
      <c r="T265" s="63"/>
      <c r="U265" s="20" t="s">
        <v>561</v>
      </c>
      <c r="V265" s="20" t="s">
        <v>561</v>
      </c>
      <c r="W265" s="63"/>
      <c r="X265" s="63"/>
      <c r="Y265" s="63" t="n">
        <v>210</v>
      </c>
      <c r="Z265" s="20" t="s">
        <v>853</v>
      </c>
      <c r="AA265" s="0" t="e">
        <f aca="false">VLOOKUP(A265,Cover!A:R,18,0)</f>
        <v>#N/A</v>
      </c>
      <c r="AB265" s="58" t="e">
        <f aca="false">M265-AA265</f>
        <v>#N/A</v>
      </c>
      <c r="AC265" s="58" t="e">
        <f aca="false">O265-AA265</f>
        <v>#N/A</v>
      </c>
      <c r="AD265" s="58" t="e">
        <f aca="false">AB265/L265%</f>
        <v>#N/A</v>
      </c>
      <c r="AE265" s="58" t="e">
        <f aca="false">AC265/N265%</f>
        <v>#N/A</v>
      </c>
      <c r="AF265" s="58" t="e">
        <f aca="false">T265-AA265</f>
        <v>#N/A</v>
      </c>
      <c r="AG265" s="58" t="e">
        <f aca="false">AF265/S265%</f>
        <v>#N/A</v>
      </c>
      <c r="AH265" s="58" t="n">
        <f aca="false">W265</f>
        <v>0</v>
      </c>
      <c r="AI265" s="58" t="n">
        <f aca="false">J265</f>
        <v>0</v>
      </c>
      <c r="AJ265" s="58" t="n">
        <f aca="false">AH265-AI265</f>
        <v>0</v>
      </c>
      <c r="AK265" s="58" t="e">
        <f aca="false">AA265</f>
        <v>#N/A</v>
      </c>
      <c r="AL265" s="58" t="e">
        <f aca="false">AJ265-AK265</f>
        <v>#N/A</v>
      </c>
      <c r="AM265" s="58" t="e">
        <f aca="false">AL265/AH265%</f>
        <v>#N/A</v>
      </c>
      <c r="AQ265" s="59" t="e">
        <f aca="false">_xlfn.xlookup(A265,'SYS Allocations'!A:A,'SYS Allocations'!B:B)</f>
        <v>#NAME?</v>
      </c>
      <c r="AR265" s="59" t="e">
        <f aca="false">_xlfn.xlookup(A265,'SYS Allocations'!A:A,'SYS Allocations'!C:C)</f>
        <v>#NAME?</v>
      </c>
      <c r="AS265" s="59" t="e">
        <f aca="false">_xlfn.xlookup(A265,'SYS Allocations'!A:A,'SYS Allocations'!D:D)</f>
        <v>#NAME?</v>
      </c>
      <c r="AT265" s="59" t="e">
        <f aca="false">_xlfn.xlookup(A265,'SYS Allocations'!A:A,'SYS Allocations'!E:E)</f>
        <v>#NAME?</v>
      </c>
      <c r="AU265" s="59" t="e">
        <f aca="false">_xlfn.xlookup(A265,'SYS Allocations'!A:A,'SYS Allocations'!F:F)</f>
        <v>#NAME?</v>
      </c>
    </row>
    <row r="266" customFormat="false" ht="13.15" hidden="false" customHeight="false" outlineLevel="0" collapsed="false">
      <c r="A266" s="20"/>
      <c r="B266" s="20" t="s">
        <v>328</v>
      </c>
      <c r="C266" s="20" t="s">
        <v>854</v>
      </c>
      <c r="D266" s="20" t="s">
        <v>433</v>
      </c>
      <c r="E266" s="20" t="s">
        <v>855</v>
      </c>
      <c r="F266" s="20" t="s">
        <v>839</v>
      </c>
      <c r="G266" s="63"/>
      <c r="H266" s="63"/>
      <c r="I266" s="63"/>
      <c r="J266" s="63"/>
      <c r="K266" s="64"/>
      <c r="L266" s="63"/>
      <c r="M266" s="63"/>
      <c r="N266" s="63"/>
      <c r="O266" s="63"/>
      <c r="P266" s="20"/>
      <c r="Q266" s="20"/>
      <c r="R266" s="20"/>
      <c r="S266" s="63"/>
      <c r="T266" s="63"/>
      <c r="U266" s="20" t="s">
        <v>326</v>
      </c>
      <c r="V266" s="20" t="s">
        <v>436</v>
      </c>
      <c r="W266" s="63" t="n">
        <v>67.5</v>
      </c>
      <c r="X266" s="63" t="n">
        <v>67.5</v>
      </c>
      <c r="Y266" s="63" t="n">
        <v>2</v>
      </c>
      <c r="Z266" s="20" t="s">
        <v>8</v>
      </c>
      <c r="AA266" s="0" t="e">
        <f aca="false">VLOOKUP(A266,Cover!A:R,18,0)</f>
        <v>#N/A</v>
      </c>
      <c r="AB266" s="58" t="e">
        <f aca="false">M266-AA266</f>
        <v>#N/A</v>
      </c>
      <c r="AC266" s="58" t="e">
        <f aca="false">O266-AA266</f>
        <v>#N/A</v>
      </c>
      <c r="AD266" s="58" t="e">
        <f aca="false">AB266/L266%</f>
        <v>#N/A</v>
      </c>
      <c r="AE266" s="58" t="e">
        <f aca="false">AC266/N266%</f>
        <v>#N/A</v>
      </c>
      <c r="AF266" s="58" t="e">
        <f aca="false">T266-AA266</f>
        <v>#N/A</v>
      </c>
      <c r="AG266" s="58" t="e">
        <f aca="false">AF266/S266%</f>
        <v>#N/A</v>
      </c>
      <c r="AH266" s="58" t="n">
        <f aca="false">W266</f>
        <v>67.5</v>
      </c>
      <c r="AI266" s="58" t="n">
        <f aca="false">J266</f>
        <v>0</v>
      </c>
      <c r="AJ266" s="58" t="n">
        <f aca="false">AH266-AI266</f>
        <v>67.5</v>
      </c>
      <c r="AK266" s="58" t="e">
        <f aca="false">AA266</f>
        <v>#N/A</v>
      </c>
      <c r="AL266" s="58" t="e">
        <f aca="false">AJ266-AK266</f>
        <v>#N/A</v>
      </c>
      <c r="AM266" s="58" t="e">
        <f aca="false">AL266/AH266%</f>
        <v>#N/A</v>
      </c>
      <c r="AQ266" s="59" t="e">
        <f aca="false">_xlfn.xlookup(A266,'SYS Allocations'!A:A,'SYS Allocations'!B:B)</f>
        <v>#NAME?</v>
      </c>
      <c r="AR266" s="59" t="e">
        <f aca="false">_xlfn.xlookup(A266,'SYS Allocations'!A:A,'SYS Allocations'!C:C)</f>
        <v>#NAME?</v>
      </c>
      <c r="AS266" s="59" t="e">
        <f aca="false">_xlfn.xlookup(A266,'SYS Allocations'!A:A,'SYS Allocations'!D:D)</f>
        <v>#NAME?</v>
      </c>
      <c r="AT266" s="59" t="e">
        <f aca="false">_xlfn.xlookup(A266,'SYS Allocations'!A:A,'SYS Allocations'!E:E)</f>
        <v>#NAME?</v>
      </c>
      <c r="AU266" s="59" t="e">
        <f aca="false">_xlfn.xlookup(A266,'SYS Allocations'!A:A,'SYS Allocations'!F:F)</f>
        <v>#NAME?</v>
      </c>
    </row>
    <row r="267" customFormat="false" ht="13.15" hidden="false" customHeight="false" outlineLevel="0" collapsed="false">
      <c r="A267" s="20"/>
      <c r="B267" s="20" t="s">
        <v>371</v>
      </c>
      <c r="C267" s="20" t="s">
        <v>372</v>
      </c>
      <c r="D267" s="20" t="s">
        <v>313</v>
      </c>
      <c r="E267" s="20" t="s">
        <v>856</v>
      </c>
      <c r="F267" s="20" t="s">
        <v>839</v>
      </c>
      <c r="G267" s="63"/>
      <c r="H267" s="63"/>
      <c r="I267" s="63"/>
      <c r="J267" s="63"/>
      <c r="K267" s="64"/>
      <c r="L267" s="63"/>
      <c r="M267" s="63"/>
      <c r="N267" s="63"/>
      <c r="O267" s="63"/>
      <c r="P267" s="20"/>
      <c r="Q267" s="20"/>
      <c r="R267" s="20"/>
      <c r="S267" s="63"/>
      <c r="T267" s="63"/>
      <c r="U267" s="20" t="s">
        <v>428</v>
      </c>
      <c r="V267" s="20" t="s">
        <v>857</v>
      </c>
      <c r="W267" s="63" t="n">
        <v>445.5</v>
      </c>
      <c r="X267" s="63" t="n">
        <v>445.5</v>
      </c>
      <c r="Y267" s="63" t="n">
        <v>9</v>
      </c>
      <c r="Z267" s="20" t="s">
        <v>8</v>
      </c>
      <c r="AA267" s="0" t="e">
        <f aca="false">VLOOKUP(A267,Cover!A:R,18,0)</f>
        <v>#N/A</v>
      </c>
      <c r="AB267" s="58" t="e">
        <f aca="false">M267-AA267</f>
        <v>#N/A</v>
      </c>
      <c r="AC267" s="58" t="e">
        <f aca="false">O267-AA267</f>
        <v>#N/A</v>
      </c>
      <c r="AD267" s="58" t="e">
        <f aca="false">AB267/L267%</f>
        <v>#N/A</v>
      </c>
      <c r="AE267" s="58" t="e">
        <f aca="false">AC267/N267%</f>
        <v>#N/A</v>
      </c>
      <c r="AF267" s="58" t="e">
        <f aca="false">T267-AA267</f>
        <v>#N/A</v>
      </c>
      <c r="AG267" s="58" t="e">
        <f aca="false">AF267/S267%</f>
        <v>#N/A</v>
      </c>
      <c r="AH267" s="58" t="n">
        <f aca="false">W267</f>
        <v>445.5</v>
      </c>
      <c r="AI267" s="58" t="n">
        <f aca="false">J267</f>
        <v>0</v>
      </c>
      <c r="AJ267" s="58" t="n">
        <f aca="false">AH267-AI267</f>
        <v>445.5</v>
      </c>
      <c r="AK267" s="58" t="e">
        <f aca="false">AA267</f>
        <v>#N/A</v>
      </c>
      <c r="AL267" s="58" t="e">
        <f aca="false">AJ267-AK267</f>
        <v>#N/A</v>
      </c>
      <c r="AM267" s="58" t="e">
        <f aca="false">AL267/AH267%</f>
        <v>#N/A</v>
      </c>
      <c r="AQ267" s="59" t="e">
        <f aca="false">_xlfn.xlookup(A267,'SYS Allocations'!A:A,'SYS Allocations'!B:B)</f>
        <v>#NAME?</v>
      </c>
      <c r="AR267" s="59" t="e">
        <f aca="false">_xlfn.xlookup(A267,'SYS Allocations'!A:A,'SYS Allocations'!C:C)</f>
        <v>#NAME?</v>
      </c>
      <c r="AS267" s="59" t="e">
        <f aca="false">_xlfn.xlookup(A267,'SYS Allocations'!A:A,'SYS Allocations'!D:D)</f>
        <v>#NAME?</v>
      </c>
      <c r="AT267" s="59" t="e">
        <f aca="false">_xlfn.xlookup(A267,'SYS Allocations'!A:A,'SYS Allocations'!E:E)</f>
        <v>#NAME?</v>
      </c>
      <c r="AU267" s="59" t="e">
        <f aca="false">_xlfn.xlookup(A267,'SYS Allocations'!A:A,'SYS Allocations'!F:F)</f>
        <v>#NAME?</v>
      </c>
    </row>
    <row r="268" customFormat="false" ht="13.15" hidden="false" customHeight="false" outlineLevel="0" collapsed="false">
      <c r="A268" s="65"/>
      <c r="B268" s="20" t="s">
        <v>371</v>
      </c>
      <c r="C268" s="20" t="s">
        <v>748</v>
      </c>
      <c r="D268" s="20" t="s">
        <v>313</v>
      </c>
      <c r="E268" s="20" t="s">
        <v>858</v>
      </c>
      <c r="F268" s="65" t="s">
        <v>839</v>
      </c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 t="s">
        <v>428</v>
      </c>
      <c r="V268" s="65" t="s">
        <v>857</v>
      </c>
      <c r="W268" s="65" t="n">
        <v>445.5</v>
      </c>
      <c r="X268" s="65" t="n">
        <v>445.5</v>
      </c>
      <c r="Y268" s="65" t="n">
        <v>9</v>
      </c>
      <c r="Z268" s="65" t="s">
        <v>8</v>
      </c>
      <c r="AQ268" s="0" t="e">
        <f aca="false">_xlfn.xlookup(A268,'SYS Allocations'!A:A,'SYS Allocations'!B:B)</f>
        <v>#NAME?</v>
      </c>
      <c r="AR268" s="0" t="e">
        <f aca="false">_xlfn.xlookup(A268,'SYS Allocations'!A:A,'SYS Allocations'!C:C)</f>
        <v>#NAME?</v>
      </c>
      <c r="AS268" s="0" t="e">
        <f aca="false">_xlfn.xlookup(A268,'SYS Allocations'!A:A,'SYS Allocations'!D:D)</f>
        <v>#NAME?</v>
      </c>
      <c r="AT268" s="0" t="e">
        <f aca="false">_xlfn.xlookup(A268,'SYS Allocations'!A:A,'SYS Allocations'!E:E)</f>
        <v>#NAME?</v>
      </c>
    </row>
  </sheetData>
  <sheetProtection algorithmName="SHA-512" hashValue="cj7GUbPairwviBm7JFjXF9UuatgiJzI3X2Lpf4JrKHyorG2cKklvEASDwe6dZOufyX96I7ifF7uPnecG8zQaug==" saltValue="NyLnbRAm8kTxHCgVjJKrjw==" spinCount="100000" sheet="true" autoFilter="false"/>
  <autoFilter ref="A7:BA268"/>
  <mergeCells count="204">
    <mergeCell ref="AH12:AH13"/>
    <mergeCell ref="AI12:AI13"/>
    <mergeCell ref="AJ12:AJ13"/>
    <mergeCell ref="AK12:AK13"/>
    <mergeCell ref="AL12:AL13"/>
    <mergeCell ref="AM12:AM13"/>
    <mergeCell ref="AH22:AH23"/>
    <mergeCell ref="AI22:AI23"/>
    <mergeCell ref="AJ22:AJ23"/>
    <mergeCell ref="AK22:AK23"/>
    <mergeCell ref="AL22:AL23"/>
    <mergeCell ref="AM22:AM23"/>
    <mergeCell ref="AH37:AH39"/>
    <mergeCell ref="AI37:AI39"/>
    <mergeCell ref="AJ37:AJ39"/>
    <mergeCell ref="AK37:AK39"/>
    <mergeCell ref="AL37:AL39"/>
    <mergeCell ref="AM37:AM39"/>
    <mergeCell ref="AH41:AH42"/>
    <mergeCell ref="AI41:AI42"/>
    <mergeCell ref="AJ41:AJ42"/>
    <mergeCell ref="AK41:AK42"/>
    <mergeCell ref="AL41:AL42"/>
    <mergeCell ref="AM41:AM42"/>
    <mergeCell ref="AH48:AH49"/>
    <mergeCell ref="AI48:AI49"/>
    <mergeCell ref="AJ48:AJ49"/>
    <mergeCell ref="AK48:AK49"/>
    <mergeCell ref="AL48:AL49"/>
    <mergeCell ref="AM48:AM49"/>
    <mergeCell ref="AH50:AH51"/>
    <mergeCell ref="AI50:AI51"/>
    <mergeCell ref="AJ50:AJ51"/>
    <mergeCell ref="AK50:AK51"/>
    <mergeCell ref="AL50:AL51"/>
    <mergeCell ref="AM50:AM51"/>
    <mergeCell ref="AH69:AH70"/>
    <mergeCell ref="AI69:AI70"/>
    <mergeCell ref="AJ69:AJ70"/>
    <mergeCell ref="AK69:AK70"/>
    <mergeCell ref="AL69:AL70"/>
    <mergeCell ref="AM69:AM70"/>
    <mergeCell ref="AH71:AH72"/>
    <mergeCell ref="AI71:AI72"/>
    <mergeCell ref="AJ71:AJ72"/>
    <mergeCell ref="AK71:AK72"/>
    <mergeCell ref="AL71:AL72"/>
    <mergeCell ref="AM71:AM72"/>
    <mergeCell ref="AH75:AH76"/>
    <mergeCell ref="AI75:AI76"/>
    <mergeCell ref="AJ75:AJ76"/>
    <mergeCell ref="AK75:AK76"/>
    <mergeCell ref="AL75:AL76"/>
    <mergeCell ref="AM75:AM76"/>
    <mergeCell ref="AH79:AH80"/>
    <mergeCell ref="AI79:AI80"/>
    <mergeCell ref="AJ79:AJ80"/>
    <mergeCell ref="AK79:AK80"/>
    <mergeCell ref="AL79:AL80"/>
    <mergeCell ref="AM79:AM80"/>
    <mergeCell ref="AH103:AH104"/>
    <mergeCell ref="AI103:AI104"/>
    <mergeCell ref="AJ103:AJ104"/>
    <mergeCell ref="AK103:AK104"/>
    <mergeCell ref="AL103:AL104"/>
    <mergeCell ref="AM103:AM104"/>
    <mergeCell ref="AH108:AH109"/>
    <mergeCell ref="AI108:AI109"/>
    <mergeCell ref="AJ108:AJ109"/>
    <mergeCell ref="AK108:AK109"/>
    <mergeCell ref="AL108:AL109"/>
    <mergeCell ref="AM108:AM109"/>
    <mergeCell ref="AH113:AH114"/>
    <mergeCell ref="AI113:AI114"/>
    <mergeCell ref="AJ113:AJ114"/>
    <mergeCell ref="AK113:AK114"/>
    <mergeCell ref="AL113:AL114"/>
    <mergeCell ref="AM113:AM114"/>
    <mergeCell ref="AH116:AH117"/>
    <mergeCell ref="AI116:AI117"/>
    <mergeCell ref="AJ116:AJ117"/>
    <mergeCell ref="AK116:AK117"/>
    <mergeCell ref="AL116:AL117"/>
    <mergeCell ref="AM116:AM117"/>
    <mergeCell ref="AH118:AH119"/>
    <mergeCell ref="AI118:AI119"/>
    <mergeCell ref="AJ118:AJ119"/>
    <mergeCell ref="AK118:AK119"/>
    <mergeCell ref="AL118:AL119"/>
    <mergeCell ref="AM118:AM119"/>
    <mergeCell ref="AH140:AH141"/>
    <mergeCell ref="AI140:AI141"/>
    <mergeCell ref="AJ140:AJ141"/>
    <mergeCell ref="AK140:AK141"/>
    <mergeCell ref="AL140:AL141"/>
    <mergeCell ref="AM140:AM141"/>
    <mergeCell ref="AH142:AH143"/>
    <mergeCell ref="AI142:AI143"/>
    <mergeCell ref="AJ142:AJ143"/>
    <mergeCell ref="AK142:AK143"/>
    <mergeCell ref="AL142:AL143"/>
    <mergeCell ref="AM142:AM143"/>
    <mergeCell ref="AH153:AH154"/>
    <mergeCell ref="AI153:AI154"/>
    <mergeCell ref="AJ153:AJ154"/>
    <mergeCell ref="AK153:AK154"/>
    <mergeCell ref="AL153:AL154"/>
    <mergeCell ref="AM153:AM154"/>
    <mergeCell ref="AH156:AH157"/>
    <mergeCell ref="AI156:AI157"/>
    <mergeCell ref="AJ156:AJ157"/>
    <mergeCell ref="AK156:AK157"/>
    <mergeCell ref="AL156:AL157"/>
    <mergeCell ref="AM156:AM157"/>
    <mergeCell ref="AH158:AH159"/>
    <mergeCell ref="AI158:AI159"/>
    <mergeCell ref="AJ158:AJ159"/>
    <mergeCell ref="AK158:AK159"/>
    <mergeCell ref="AL158:AL159"/>
    <mergeCell ref="AM158:AM159"/>
    <mergeCell ref="AH171:AH172"/>
    <mergeCell ref="AI171:AI172"/>
    <mergeCell ref="AJ171:AJ172"/>
    <mergeCell ref="AK171:AK172"/>
    <mergeCell ref="AL171:AL172"/>
    <mergeCell ref="AM171:AM172"/>
    <mergeCell ref="AH175:AH176"/>
    <mergeCell ref="AI175:AI176"/>
    <mergeCell ref="AJ175:AJ176"/>
    <mergeCell ref="AK175:AK176"/>
    <mergeCell ref="AL175:AL176"/>
    <mergeCell ref="AM175:AM176"/>
    <mergeCell ref="AH177:AH178"/>
    <mergeCell ref="AI177:AI178"/>
    <mergeCell ref="AJ177:AJ178"/>
    <mergeCell ref="AK177:AK178"/>
    <mergeCell ref="AL177:AL178"/>
    <mergeCell ref="AM177:AM178"/>
    <mergeCell ref="AH179:AH182"/>
    <mergeCell ref="AI179:AI182"/>
    <mergeCell ref="AJ179:AJ182"/>
    <mergeCell ref="AK179:AK182"/>
    <mergeCell ref="AL179:AL182"/>
    <mergeCell ref="AM179:AM182"/>
    <mergeCell ref="AH186:AH187"/>
    <mergeCell ref="AI186:AI187"/>
    <mergeCell ref="AJ186:AJ187"/>
    <mergeCell ref="AK186:AK187"/>
    <mergeCell ref="AL186:AL187"/>
    <mergeCell ref="AM186:AM187"/>
    <mergeCell ref="AH194:AH195"/>
    <mergeCell ref="AI194:AI195"/>
    <mergeCell ref="AJ194:AJ195"/>
    <mergeCell ref="AK194:AK195"/>
    <mergeCell ref="AL194:AL195"/>
    <mergeCell ref="AM194:AM195"/>
    <mergeCell ref="AH202:AH203"/>
    <mergeCell ref="AI202:AI203"/>
    <mergeCell ref="AJ202:AJ203"/>
    <mergeCell ref="AK202:AK203"/>
    <mergeCell ref="AL202:AL203"/>
    <mergeCell ref="AM202:AM203"/>
    <mergeCell ref="AH215:AH217"/>
    <mergeCell ref="AI215:AI217"/>
    <mergeCell ref="AJ215:AJ217"/>
    <mergeCell ref="AK215:AK217"/>
    <mergeCell ref="AL215:AL217"/>
    <mergeCell ref="AM215:AM217"/>
    <mergeCell ref="AH218:AH219"/>
    <mergeCell ref="AI218:AI219"/>
    <mergeCell ref="AJ218:AJ219"/>
    <mergeCell ref="AK218:AK219"/>
    <mergeCell ref="AL218:AL219"/>
    <mergeCell ref="AM218:AM219"/>
    <mergeCell ref="AH220:AH221"/>
    <mergeCell ref="AI220:AI221"/>
    <mergeCell ref="AJ220:AJ221"/>
    <mergeCell ref="AK220:AK221"/>
    <mergeCell ref="AL220:AL221"/>
    <mergeCell ref="AM220:AM221"/>
    <mergeCell ref="AH226:AH229"/>
    <mergeCell ref="AI226:AI229"/>
    <mergeCell ref="AJ226:AJ229"/>
    <mergeCell ref="AK226:AK229"/>
    <mergeCell ref="AL226:AL229"/>
    <mergeCell ref="AM226:AM229"/>
    <mergeCell ref="AH231:AH232"/>
    <mergeCell ref="AI231:AI232"/>
    <mergeCell ref="AJ231:AJ232"/>
    <mergeCell ref="AK231:AK232"/>
    <mergeCell ref="AL231:AL232"/>
    <mergeCell ref="AM231:AM232"/>
    <mergeCell ref="AH239:AH240"/>
    <mergeCell ref="AI239:AI240"/>
    <mergeCell ref="AJ239:AJ240"/>
    <mergeCell ref="AK239:AK240"/>
    <mergeCell ref="AL239:AL240"/>
    <mergeCell ref="AM239:AM240"/>
    <mergeCell ref="AH241:AH242"/>
    <mergeCell ref="AI241:AI242"/>
    <mergeCell ref="AJ241:AJ242"/>
    <mergeCell ref="AK241:AK242"/>
    <mergeCell ref="AL241:AL242"/>
    <mergeCell ref="AM241:AM242"/>
  </mergeCells>
  <conditionalFormatting sqref="AD8:AE267">
    <cfRule type="cellIs" priority="2" operator="greaterThanOrEqual" aboveAverage="0" equalAverage="0" bottom="0" percent="0" rank="0" text="" dxfId="18">
      <formula>25</formula>
    </cfRule>
    <cfRule type="cellIs" priority="3" operator="between" aboveAverage="0" equalAverage="0" bottom="0" percent="0" rank="0" text="" dxfId="19">
      <formula>10</formula>
      <formula>24.9999999999</formula>
    </cfRule>
    <cfRule type="cellIs" priority="4" operator="between" aboveAverage="0" equalAverage="0" bottom="0" percent="0" rank="0" text="" dxfId="20">
      <formula>0</formula>
      <formula>9.99999999</formula>
    </cfRule>
    <cfRule type="cellIs" priority="5" operator="lessThan" aboveAverage="0" equalAverage="0" bottom="0" percent="0" rank="0" text="" dxfId="21">
      <formula>0</formula>
    </cfRule>
  </conditionalFormatting>
  <conditionalFormatting sqref="AG8:AG267">
    <cfRule type="cellIs" priority="6" operator="greaterThanOrEqual" aboveAverage="0" equalAverage="0" bottom="0" percent="0" rank="0" text="" dxfId="22">
      <formula>25</formula>
    </cfRule>
    <cfRule type="cellIs" priority="7" operator="between" aboveAverage="0" equalAverage="0" bottom="0" percent="0" rank="0" text="" dxfId="23">
      <formula>10</formula>
      <formula>24.99999999</formula>
    </cfRule>
    <cfRule type="cellIs" priority="8" operator="between" aboveAverage="0" equalAverage="0" bottom="0" percent="0" rank="0" text="" dxfId="24">
      <formula>0</formula>
      <formula>9.999999999</formula>
    </cfRule>
    <cfRule type="cellIs" priority="9" operator="lessThan" aboveAverage="0" equalAverage="0" bottom="0" percent="0" rank="0" text="" dxfId="25">
      <formula>0</formula>
    </cfRule>
  </conditionalFormatting>
  <conditionalFormatting sqref="AM8:AM12 AM14:AM22 AM24:AM36 AM40:AM41 AM43:AM48 AM50 AM52:AM69 AM71 AM73:AM75 AM77:AM79 AM81:AM103 AM105:AM108 AM110:AM113 AM115:AM116 AM118 AM120:AM140 AM142 AM144:AM153 AM156 AM158 AM160:AM171 AM173:AM175 AM177 AM179 AM183:AM186 AM188:AM194 AM196:AM202 AM204:AM215 AM218 AM220 AM222:AM226 AM230:AM231 AM233:AM239 AM241 AM243:AM267">
    <cfRule type="cellIs" priority="10" operator="greaterThanOrEqual" aboveAverage="0" equalAverage="0" bottom="0" percent="0" rank="0" text="" dxfId="26">
      <formula>25</formula>
    </cfRule>
    <cfRule type="cellIs" priority="11" operator="between" aboveAverage="0" equalAverage="0" bottom="0" percent="0" rank="0" text="" dxfId="27">
      <formula>10</formula>
      <formula>24.9999999</formula>
    </cfRule>
    <cfRule type="cellIs" priority="12" operator="between" aboveAverage="0" equalAverage="0" bottom="0" percent="0" rank="0" text="" dxfId="28">
      <formula>0</formula>
      <formula>9.99999999</formula>
    </cfRule>
    <cfRule type="cellIs" priority="13" operator="lessThan" aboveAverage="0" equalAverage="0" bottom="0" percent="0" rank="0" text="" dxfId="29">
      <formula>0</formula>
    </cfRule>
  </conditionalFormatting>
  <conditionalFormatting sqref="AQ8:AU267">
    <cfRule type="cellIs" priority="14" operator="equal" aboveAverage="0" equalAverage="0" bottom="0" percent="0" rank="0" text="" dxfId="3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6875" defaultRowHeight="13.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30.57"/>
    <col collapsed="false" customWidth="true" hidden="false" outlineLevel="0" max="3" min="3" style="0" width="14.28"/>
    <col collapsed="false" customWidth="true" hidden="false" outlineLevel="0" max="4" min="4" style="0" width="22.7"/>
    <col collapsed="false" customWidth="true" hidden="false" outlineLevel="0" max="5" min="5" style="0" width="16.71"/>
    <col collapsed="false" customWidth="true" hidden="false" outlineLevel="0" max="6" min="6" style="0" width="13.57"/>
    <col collapsed="false" customWidth="true" hidden="false" outlineLevel="0" max="7" min="7" style="0" width="10.29"/>
    <col collapsed="false" customWidth="true" hidden="false" outlineLevel="0" max="8" min="8" style="0" width="12.42"/>
    <col collapsed="false" customWidth="true" hidden="false" outlineLevel="0" max="9" min="9" style="0" width="12.71"/>
    <col collapsed="false" customWidth="true" hidden="false" outlineLevel="0" max="12" min="12" style="0" width="7.71"/>
    <col collapsed="false" customWidth="true" hidden="false" outlineLevel="0" max="13" min="13" style="0" width="9.58"/>
    <col collapsed="false" customWidth="true" hidden="false" outlineLevel="0" max="14" min="14" style="0" width="14.43"/>
    <col collapsed="false" customWidth="true" hidden="false" outlineLevel="0" max="15" min="15" style="0" width="11.71"/>
    <col collapsed="false" customWidth="true" hidden="false" outlineLevel="0" max="16" min="16" style="0" width="10.99"/>
    <col collapsed="false" customWidth="true" hidden="false" outlineLevel="0" max="17" min="17" style="0" width="18.42"/>
    <col collapsed="false" customWidth="true" hidden="false" outlineLevel="0" max="18" min="18" style="0" width="4.71"/>
    <col collapsed="false" customWidth="true" hidden="false" outlineLevel="0" max="19" min="19" style="0" width="3.71"/>
    <col collapsed="false" customWidth="true" hidden="false" outlineLevel="0" max="23" min="23" style="0" width="11.71"/>
  </cols>
  <sheetData>
    <row r="1" customFormat="false" ht="26.45" hidden="false" customHeight="false" outlineLevel="0" collapsed="false">
      <c r="A1" s="66" t="s">
        <v>859</v>
      </c>
      <c r="B1" s="66" t="s">
        <v>860</v>
      </c>
      <c r="C1" s="67" t="s">
        <v>861</v>
      </c>
      <c r="F1" s="68"/>
      <c r="G1" s="0" t="s">
        <v>862</v>
      </c>
    </row>
    <row r="2" customFormat="false" ht="15" hidden="false" customHeight="false" outlineLevel="0" collapsed="false">
      <c r="A2" s="69" t="s">
        <v>731</v>
      </c>
      <c r="B2" s="70" t="n">
        <f aca="false">VLOOKUP(A2,Space!A:D,4,0)</f>
        <v>1</v>
      </c>
      <c r="C2" s="71"/>
      <c r="F2" s="72"/>
      <c r="G2" s="44" t="s">
        <v>863</v>
      </c>
    </row>
    <row r="3" customFormat="false" ht="13.15" hidden="false" customHeight="false" outlineLevel="0" collapsed="false">
      <c r="F3" s="73" t="s">
        <v>864</v>
      </c>
      <c r="G3" s="44" t="s">
        <v>865</v>
      </c>
    </row>
    <row r="5" customFormat="false" ht="59.65" hidden="false" customHeight="true" outlineLevel="0" collapsed="false">
      <c r="A5" s="66" t="s">
        <v>866</v>
      </c>
      <c r="B5" s="74" t="s">
        <v>9</v>
      </c>
      <c r="C5" s="74" t="s">
        <v>10</v>
      </c>
      <c r="D5" s="74" t="s">
        <v>11</v>
      </c>
      <c r="E5" s="74" t="s">
        <v>12</v>
      </c>
      <c r="F5" s="74" t="s">
        <v>13</v>
      </c>
      <c r="G5" s="74" t="s">
        <v>14</v>
      </c>
      <c r="H5" s="74" t="s">
        <v>15</v>
      </c>
      <c r="I5" s="74" t="s">
        <v>16</v>
      </c>
      <c r="J5" s="66" t="s">
        <v>17</v>
      </c>
      <c r="K5" s="66" t="s">
        <v>18</v>
      </c>
      <c r="L5" s="66" t="s">
        <v>19</v>
      </c>
      <c r="M5" s="74" t="s">
        <v>867</v>
      </c>
      <c r="N5" s="67" t="s">
        <v>868</v>
      </c>
      <c r="O5" s="75" t="s">
        <v>314</v>
      </c>
      <c r="P5" s="76" t="s">
        <v>869</v>
      </c>
      <c r="Q5" s="66" t="s">
        <v>870</v>
      </c>
    </row>
    <row r="6" customFormat="false" ht="13.15" hidden="false" customHeight="false" outlineLevel="0" collapsed="false">
      <c r="A6" s="70" t="str">
        <f aca="false" t="array" ref="A6:A6">IFERROR(INDEX(All!A$1:A$263,SMALL(IF(All!E$1:E$263='Site check'!A$2,ROW(All!A$1:A$263)),ROWS(A$2:A2))),"")</f>
        <v>PTMDN1;DC SYS01</v>
      </c>
      <c r="B6" s="77" t="n">
        <f aca="false">VLOOKUP(A6,All!A:AM,30,0)</f>
        <v>59.6373571783408</v>
      </c>
      <c r="C6" s="78" t="n">
        <f aca="false">VLOOKUP(A6,All!A:AM,28,0)</f>
        <v>10.46836</v>
      </c>
      <c r="D6" s="78" t="n">
        <f aca="false">VLOOKUP(A6,All!A:AM,31,0)</f>
        <v>37.1980630819853</v>
      </c>
      <c r="E6" s="78" t="n">
        <f aca="false">VLOOKUP(A6,All!A:AM,29,0)</f>
        <v>4.1964991825</v>
      </c>
      <c r="F6" s="79" t="n">
        <f aca="false">VLOOKUP(A6,All!A:AM,33,0)</f>
        <v>60.0961971704064</v>
      </c>
      <c r="G6" s="79" t="n">
        <f aca="false">VLOOKUP(A6,All!A:AM,32,0)</f>
        <v>10.6702</v>
      </c>
      <c r="H6" s="36" t="n">
        <f aca="false">VLOOKUP(A6,All!A:AM,39,0)</f>
        <v>40.9583333333333</v>
      </c>
      <c r="I6" s="36" t="n">
        <f aca="false">VLOOKUP(A6,All!A:AM,38,0)</f>
        <v>4.915</v>
      </c>
      <c r="J6" s="80" t="n">
        <f aca="false">VLOOKUP(A6,'SYS Allocations'!A:G,2,0)</f>
        <v>0</v>
      </c>
      <c r="K6" s="80" t="n">
        <f aca="false">VLOOKUP(A6,'SYS Allocations'!A:G,3,0)</f>
        <v>0</v>
      </c>
      <c r="L6" s="80" t="n">
        <f aca="false">VLOOKUP(A6,'SYS Allocations'!A:G,4,0)</f>
        <v>0</v>
      </c>
      <c r="M6" s="29" t="n">
        <f aca="false">VLOOKUP(A6,'SYS Allocations'!A:G,7,0)</f>
        <v>0</v>
      </c>
      <c r="N6" s="71"/>
      <c r="O6" s="81" t="str">
        <f aca="false">IF(VLOOKUP(A6,All!A:AO,41,0)="","",VLOOKUP(A6,All!A:AO,41,0))</f>
        <v>Single</v>
      </c>
      <c r="P6" s="81" t="str">
        <f aca="false">IF(VLOOKUP(A6,All!A:AN,40,0)="","",VLOOKUP(A6,All!A:AN,40,0))</f>
        <v/>
      </c>
      <c r="Q6" s="81" t="str">
        <f aca="false">IF(VLOOKUP(A6,All!A:AN,26,0)="","",VLOOKUP(A6,All!A:AN,26,0))</f>
        <v/>
      </c>
    </row>
    <row r="7" customFormat="false" ht="13.15" hidden="false" customHeight="false" outlineLevel="0" collapsed="false">
      <c r="A7" s="70" t="str">
        <f aca="false" t="array" ref="A7:A7">IFERROR(INDEX(All!A$1:A$263,SMALL(IF(All!E$1:E$263='Site check'!A$2,ROW(All!A$1:A$263)),ROWS(A$2:A3))),"")</f>
        <v/>
      </c>
      <c r="B7" s="77" t="e">
        <f aca="false">VLOOKUP(A7,All!A:AM,30,0)</f>
        <v>#N/A</v>
      </c>
      <c r="C7" s="78" t="e">
        <f aca="false">VLOOKUP(A7,All!A:AM,28,0)</f>
        <v>#N/A</v>
      </c>
      <c r="D7" s="78" t="e">
        <f aca="false">VLOOKUP(A7,All!A:AM,31,0)</f>
        <v>#N/A</v>
      </c>
      <c r="E7" s="78" t="e">
        <f aca="false">VLOOKUP(A7,All!A:AM,29,0)</f>
        <v>#N/A</v>
      </c>
      <c r="F7" s="79" t="e">
        <f aca="false">VLOOKUP(A7,All!A:AM,33,0)</f>
        <v>#N/A</v>
      </c>
      <c r="G7" s="79" t="e">
        <f aca="false">VLOOKUP(A7,All!A:AM,32,0)</f>
        <v>#N/A</v>
      </c>
      <c r="H7" s="36" t="e">
        <f aca="false">VLOOKUP(A7,All!A:AM,39,0)</f>
        <v>#N/A</v>
      </c>
      <c r="I7" s="36" t="e">
        <f aca="false">VLOOKUP(A7,All!A:AM,38,0)</f>
        <v>#N/A</v>
      </c>
      <c r="J7" s="82" t="e">
        <f aca="false">VLOOKUP(A7,'SYS Allocations'!A:G,2,0)</f>
        <v>#N/A</v>
      </c>
      <c r="K7" s="82" t="e">
        <f aca="false">VLOOKUP(A7,'SYS Allocations'!A:G,3,0)</f>
        <v>#N/A</v>
      </c>
      <c r="L7" s="80" t="e">
        <f aca="false">VLOOKUP(A7,'SYS Allocations'!A:G,4,0)</f>
        <v>#N/A</v>
      </c>
      <c r="M7" s="29" t="e">
        <f aca="false">VLOOKUP(A7,'SYS Allocations'!A:G,7,0)</f>
        <v>#N/A</v>
      </c>
      <c r="N7" s="71"/>
      <c r="O7" s="81" t="e">
        <f aca="false">IF(VLOOKUP(A7,All!A:AO,41,0)="","",VLOOKUP(A7,All!A:AO,41,0))</f>
        <v>#N/A</v>
      </c>
      <c r="P7" s="81" t="e">
        <f aca="false">IF(VLOOKUP(A7,All!A:AN,40,0)="","",VLOOKUP(A7,All!A:AN,40,0))</f>
        <v>#N/A</v>
      </c>
      <c r="Q7" s="81" t="e">
        <f aca="false">IF(VLOOKUP(A7,All!A:AN,26,0)="","",VLOOKUP(A7,All!A:AN,26,0))</f>
        <v>#N/A</v>
      </c>
    </row>
    <row r="8" customFormat="false" ht="13.15" hidden="false" customHeight="false" outlineLevel="0" collapsed="false">
      <c r="A8" s="70" t="str">
        <f aca="false" t="array" ref="A8:A8">IFERROR(INDEX(All!A$1:A$263,SMALL(IF(All!E$1:E$263='Site check'!A$2,ROW(All!A$1:A$263)),ROWS(A$2:A4))),"")</f>
        <v/>
      </c>
      <c r="B8" s="77" t="e">
        <f aca="false">VLOOKUP(A8,All!A:AM,30,0)</f>
        <v>#N/A</v>
      </c>
      <c r="C8" s="78" t="e">
        <f aca="false">VLOOKUP(A8,All!A:AM,28,0)</f>
        <v>#N/A</v>
      </c>
      <c r="D8" s="78" t="e">
        <f aca="false">VLOOKUP(A8,All!A:AM,31,0)</f>
        <v>#N/A</v>
      </c>
      <c r="E8" s="78" t="e">
        <f aca="false">VLOOKUP(A8,All!A:AM,29,0)</f>
        <v>#N/A</v>
      </c>
      <c r="F8" s="79" t="e">
        <f aca="false">VLOOKUP(A8,All!A:AM,33,0)</f>
        <v>#N/A</v>
      </c>
      <c r="G8" s="79" t="e">
        <f aca="false">VLOOKUP(A8,All!A:AM,32,0)</f>
        <v>#N/A</v>
      </c>
      <c r="H8" s="36" t="e">
        <f aca="false">VLOOKUP(A8,All!A:AM,39,0)</f>
        <v>#N/A</v>
      </c>
      <c r="I8" s="36" t="e">
        <f aca="false">VLOOKUP(A8,All!A:AM,38,0)</f>
        <v>#N/A</v>
      </c>
      <c r="J8" s="82" t="e">
        <f aca="false">VLOOKUP(A8,'SYS Allocations'!A:G,2,0)</f>
        <v>#N/A</v>
      </c>
      <c r="K8" s="82" t="e">
        <f aca="false">VLOOKUP(A8,'SYS Allocations'!A:G,3,0)</f>
        <v>#N/A</v>
      </c>
      <c r="L8" s="80" t="e">
        <f aca="false">VLOOKUP(A8,'SYS Allocations'!A:G,4,0)</f>
        <v>#N/A</v>
      </c>
      <c r="M8" s="29" t="e">
        <f aca="false">VLOOKUP(A8,'SYS Allocations'!A:G,7,0)</f>
        <v>#N/A</v>
      </c>
      <c r="N8" s="71"/>
      <c r="O8" s="81" t="e">
        <f aca="false">IF(VLOOKUP(A8,All!A:AO,41,0)="","",VLOOKUP(A8,All!A:AO,41,0))</f>
        <v>#N/A</v>
      </c>
      <c r="P8" s="81" t="e">
        <f aca="false">IF(VLOOKUP(A8,All!A:AN,40,0)="","",VLOOKUP(A8,All!A:AN,40,0))</f>
        <v>#N/A</v>
      </c>
      <c r="Q8" s="81" t="e">
        <f aca="false">IF(VLOOKUP(A8,All!A:AN,26,0)="","",VLOOKUP(A8,All!A:AN,26,0))</f>
        <v>#N/A</v>
      </c>
    </row>
    <row r="9" customFormat="false" ht="13.15" hidden="false" customHeight="false" outlineLevel="0" collapsed="false">
      <c r="A9" s="70" t="str">
        <f aca="false" t="array" ref="A9:A9">IFERROR(INDEX(All!A$1:A$263,SMALL(IF(All!E$1:E$263='Site check'!A$2,ROW(All!A$1:A$263)),ROWS(A$2:A5))),"")</f>
        <v/>
      </c>
      <c r="B9" s="77" t="e">
        <f aca="false">VLOOKUP(A9,All!A:AM,30,0)</f>
        <v>#N/A</v>
      </c>
      <c r="C9" s="78" t="e">
        <f aca="false">VLOOKUP(A9,All!A:AM,28,0)</f>
        <v>#N/A</v>
      </c>
      <c r="D9" s="78" t="e">
        <f aca="false">VLOOKUP(A9,All!A:AM,31,0)</f>
        <v>#N/A</v>
      </c>
      <c r="E9" s="78" t="e">
        <f aca="false">VLOOKUP(A9,All!A:AM,29,0)</f>
        <v>#N/A</v>
      </c>
      <c r="F9" s="79" t="e">
        <f aca="false">VLOOKUP(A9,All!A:AM,33,0)</f>
        <v>#N/A</v>
      </c>
      <c r="G9" s="79" t="e">
        <f aca="false">VLOOKUP(A9,All!A:AM,32,0)</f>
        <v>#N/A</v>
      </c>
      <c r="H9" s="36" t="e">
        <f aca="false">VLOOKUP(A9,All!A:AM,39,0)</f>
        <v>#N/A</v>
      </c>
      <c r="I9" s="36" t="e">
        <f aca="false">VLOOKUP(A9,All!A:AM,38,0)</f>
        <v>#N/A</v>
      </c>
      <c r="J9" s="82" t="e">
        <f aca="false">VLOOKUP(A9,'SYS Allocations'!A:G,2,0)</f>
        <v>#N/A</v>
      </c>
      <c r="K9" s="82" t="e">
        <f aca="false">VLOOKUP(A9,'SYS Allocations'!A:G,3,0)</f>
        <v>#N/A</v>
      </c>
      <c r="L9" s="80" t="e">
        <f aca="false">VLOOKUP(A9,'SYS Allocations'!A:G,4,0)</f>
        <v>#N/A</v>
      </c>
      <c r="M9" s="29" t="e">
        <f aca="false">VLOOKUP(A9,'SYS Allocations'!A:G,7,0)</f>
        <v>#N/A</v>
      </c>
      <c r="N9" s="71"/>
      <c r="O9" s="81" t="e">
        <f aca="false">IF(VLOOKUP(A9,All!A:AO,41,0)="","",VLOOKUP(A9,All!A:AO,41,0))</f>
        <v>#N/A</v>
      </c>
      <c r="P9" s="81" t="e">
        <f aca="false">IF(VLOOKUP(A9,All!A:AN,40,0)="","",VLOOKUP(A9,All!A:AN,40,0))</f>
        <v>#N/A</v>
      </c>
      <c r="Q9" s="81" t="e">
        <f aca="false">IF(VLOOKUP(A9,All!A:AN,26,0)="","",VLOOKUP(A9,All!A:AN,26,0))</f>
        <v>#N/A</v>
      </c>
    </row>
    <row r="11" customFormat="false" ht="13.15" hidden="false" customHeight="false" outlineLevel="0" collapsed="false">
      <c r="M11" s="83"/>
      <c r="N11" s="83"/>
      <c r="O11" s="83"/>
      <c r="P11" s="83"/>
    </row>
    <row r="12" customFormat="false" ht="13.15" hidden="false" customHeight="false" outlineLevel="0" collapsed="false">
      <c r="A12" s="84" t="s">
        <v>871</v>
      </c>
      <c r="B12" s="84" t="s">
        <v>872</v>
      </c>
      <c r="C12" s="84" t="s">
        <v>859</v>
      </c>
      <c r="D12" s="85" t="s">
        <v>873</v>
      </c>
      <c r="E12" s="85" t="s">
        <v>874</v>
      </c>
      <c r="F12" s="85" t="s">
        <v>286</v>
      </c>
      <c r="G12" s="85" t="s">
        <v>875</v>
      </c>
      <c r="H12" s="85" t="s">
        <v>876</v>
      </c>
      <c r="I12" s="84" t="s">
        <v>877</v>
      </c>
      <c r="J12" s="84"/>
      <c r="K12" s="84"/>
      <c r="L12" s="84"/>
      <c r="M12" s="84"/>
      <c r="N12" s="84"/>
      <c r="O12" s="86"/>
      <c r="P12" s="85" t="s">
        <v>878</v>
      </c>
      <c r="Q12" s="85"/>
    </row>
    <row r="13" customFormat="false" ht="26.45" hidden="false" customHeight="false" outlineLevel="0" collapsed="false">
      <c r="A13" s="84"/>
      <c r="B13" s="84"/>
      <c r="C13" s="84"/>
      <c r="D13" s="84"/>
      <c r="E13" s="84"/>
      <c r="F13" s="85"/>
      <c r="G13" s="85"/>
      <c r="H13" s="85"/>
      <c r="I13" s="66" t="n">
        <v>100</v>
      </c>
      <c r="J13" s="66" t="n">
        <v>80</v>
      </c>
      <c r="K13" s="66" t="n">
        <v>63</v>
      </c>
      <c r="L13" s="66" t="n">
        <v>40</v>
      </c>
      <c r="M13" s="66" t="n">
        <v>20</v>
      </c>
      <c r="N13" s="66" t="s">
        <v>879</v>
      </c>
      <c r="O13" s="74" t="s">
        <v>880</v>
      </c>
      <c r="P13" s="87" t="s">
        <v>881</v>
      </c>
      <c r="Q13" s="87" t="s">
        <v>882</v>
      </c>
      <c r="T13" s="87" t="s">
        <v>875</v>
      </c>
      <c r="U13" s="87" t="s">
        <v>876</v>
      </c>
      <c r="V13" s="87" t="s">
        <v>883</v>
      </c>
      <c r="W13" s="87" t="s">
        <v>884</v>
      </c>
      <c r="X13" s="87" t="s">
        <v>885</v>
      </c>
      <c r="Y13" s="44"/>
    </row>
    <row r="14" customFormat="false" ht="13.15" hidden="false" customHeight="false" outlineLevel="0" collapsed="false">
      <c r="A14" s="70" t="str">
        <f aca="false" t="array" ref="A14:A14">IFERROR(INDEX('DC Dist Allocations'!$A$1:$A$555,SMALL(IF('DC Dist Allocations'!$C$1:$C$555='Site check'!$A$2,ROW('DC Dist Allocations'!$A$1:$A$555)),ROWS($A$2:$A2))),"")</f>
        <v/>
      </c>
      <c r="B14" s="70" t="e">
        <f aca="false">VLOOKUP($A14,'DC Dist Allocations'!$A:$X,2,0)</f>
        <v>#N/A</v>
      </c>
      <c r="C14" s="70" t="e">
        <f aca="false">VLOOKUP($A14,'DC Dist Allocations'!$A:$X,3,0)</f>
        <v>#N/A</v>
      </c>
      <c r="D14" s="70" t="e">
        <f aca="false">VLOOKUP($A14,'DC Dist Allocations'!$A:$X,5,0)</f>
        <v>#N/A</v>
      </c>
      <c r="E14" s="70" t="e">
        <f aca="false">VLOOKUP($A14,'DC Dist Allocations'!$A:$X,6,0)</f>
        <v>#N/A</v>
      </c>
      <c r="F14" s="88" t="e">
        <f aca="false">VLOOKUP($A14,'DC Dist Allocations'!$A:$X,7,0)</f>
        <v>#N/A</v>
      </c>
      <c r="G14" s="70" t="e">
        <f aca="false">VLOOKUP($A14,'DC Dist Allocations'!$A:$X,8,0)</f>
        <v>#N/A</v>
      </c>
      <c r="H14" s="70" t="e">
        <f aca="false">VLOOKUP($A14,'DC Dist Allocations'!$A:$X,9,0)</f>
        <v>#N/A</v>
      </c>
      <c r="I14" s="70" t="e">
        <f aca="false">VLOOKUP($A14,'DC Dist Allocations'!$A:$X,10,0)</f>
        <v>#N/A</v>
      </c>
      <c r="J14" s="70" t="e">
        <f aca="false">VLOOKUP($A14,'DC Dist Allocations'!$A:$X,11,0)</f>
        <v>#N/A</v>
      </c>
      <c r="K14" s="70" t="e">
        <f aca="false">VLOOKUP($A14,'DC Dist Allocations'!$A:$X,12,0)</f>
        <v>#N/A</v>
      </c>
      <c r="L14" s="70" t="e">
        <f aca="false">VLOOKUP($A14,'DC Dist Allocations'!$A:$X,13,0)</f>
        <v>#N/A</v>
      </c>
      <c r="M14" s="70" t="e">
        <f aca="false">VLOOKUP($A14,'DC Dist Allocations'!$A:$X,14,0)</f>
        <v>#N/A</v>
      </c>
      <c r="N14" s="70" t="e">
        <f aca="false">VLOOKUP($A14,'DC Dist Allocations'!$A:$X,15,0)</f>
        <v>#N/A</v>
      </c>
      <c r="O14" s="70" t="n">
        <f aca="false">IFERROR(VLOOKUP(B14,$A$6:$N$9,14,0),0)</f>
        <v>0</v>
      </c>
      <c r="P14" s="89" t="e">
        <f aca="false">VLOOKUP(A14,'DC Dist Allocations'!$A:$BC,50,0)</f>
        <v>#N/A</v>
      </c>
      <c r="Q14" s="89" t="e">
        <f aca="false">VLOOKUP(A14,'DC Dist Allocations'!$A:$BC,51,0)</f>
        <v>#N/A</v>
      </c>
      <c r="T14" s="70" t="e">
        <f aca="false">G14</f>
        <v>#N/A</v>
      </c>
      <c r="U14" s="70" t="e">
        <f aca="false">H14</f>
        <v>#N/A</v>
      </c>
      <c r="V14" s="89" t="e">
        <f aca="false">SUM(G14/100)*90</f>
        <v>#N/A</v>
      </c>
      <c r="W14" s="89" t="e">
        <f aca="false">SUM(G14/100)*75</f>
        <v>#N/A</v>
      </c>
      <c r="X14" s="89" t="e">
        <f aca="false">SUM(G14/100)*74.99</f>
        <v>#N/A</v>
      </c>
      <c r="Y14" s="90"/>
    </row>
    <row r="15" customFormat="false" ht="13.15" hidden="false" customHeight="false" outlineLevel="0" collapsed="false">
      <c r="A15" s="70" t="str">
        <f aca="false" t="array" ref="A15:A15">IFERROR(INDEX('DC Dist Allocations'!$A$1:$A$555,SMALL(IF('DC Dist Allocations'!$C$1:$C$555='Site check'!$A$2,ROW('DC Dist Allocations'!$A$1:$A$555)),ROWS($A$2:$A3))),"")</f>
        <v/>
      </c>
      <c r="B15" s="70" t="e">
        <f aca="false">VLOOKUP($A15,'DC Dist Allocations'!$A:$X,2,0)</f>
        <v>#N/A</v>
      </c>
      <c r="C15" s="70" t="e">
        <f aca="false">VLOOKUP($A15,'DC Dist Allocations'!$A:$X,3,0)</f>
        <v>#N/A</v>
      </c>
      <c r="D15" s="70" t="e">
        <f aca="false">VLOOKUP($A15,'DC Dist Allocations'!$A:$X,5,0)</f>
        <v>#N/A</v>
      </c>
      <c r="E15" s="70" t="e">
        <f aca="false">VLOOKUP($A15,'DC Dist Allocations'!$A:$X,6,0)</f>
        <v>#N/A</v>
      </c>
      <c r="F15" s="88" t="e">
        <f aca="false">VLOOKUP($A15,'DC Dist Allocations'!$A:$X,7,0)</f>
        <v>#N/A</v>
      </c>
      <c r="G15" s="70" t="e">
        <f aca="false">VLOOKUP($A15,'DC Dist Allocations'!$A:$X,8,0)</f>
        <v>#N/A</v>
      </c>
      <c r="H15" s="70" t="e">
        <f aca="false">VLOOKUP($A15,'DC Dist Allocations'!$A:$X,9,0)</f>
        <v>#N/A</v>
      </c>
      <c r="I15" s="70" t="e">
        <f aca="false">VLOOKUP($A15,'DC Dist Allocations'!$A:$X,10,0)</f>
        <v>#N/A</v>
      </c>
      <c r="J15" s="70" t="e">
        <f aca="false">VLOOKUP($A15,'DC Dist Allocations'!$A:$X,11,0)</f>
        <v>#N/A</v>
      </c>
      <c r="K15" s="70" t="e">
        <f aca="false">VLOOKUP($A15,'DC Dist Allocations'!$A:$X,12,0)</f>
        <v>#N/A</v>
      </c>
      <c r="L15" s="70" t="e">
        <f aca="false">VLOOKUP($A15,'DC Dist Allocations'!$A:$X,13,0)</f>
        <v>#N/A</v>
      </c>
      <c r="M15" s="70" t="e">
        <f aca="false">VLOOKUP($A15,'DC Dist Allocations'!$A:$X,14,0)</f>
        <v>#N/A</v>
      </c>
      <c r="N15" s="70" t="e">
        <f aca="false">VLOOKUP($A15,'DC Dist Allocations'!$A:$X,15,0)</f>
        <v>#N/A</v>
      </c>
      <c r="O15" s="70" t="n">
        <f aca="false">IFERROR(VLOOKUP(B15,$A$6:$N$9,14,0),0)</f>
        <v>0</v>
      </c>
      <c r="P15" s="89" t="e">
        <f aca="false">VLOOKUP(A15,'DC Dist Allocations'!$A:$BC,50,0)</f>
        <v>#N/A</v>
      </c>
      <c r="Q15" s="89" t="e">
        <f aca="false">VLOOKUP(A15,'DC Dist Allocations'!$A:$BC,51,0)</f>
        <v>#N/A</v>
      </c>
      <c r="T15" s="70" t="e">
        <f aca="false">G15</f>
        <v>#N/A</v>
      </c>
      <c r="U15" s="70" t="e">
        <f aca="false">H15</f>
        <v>#N/A</v>
      </c>
      <c r="V15" s="89" t="e">
        <f aca="false">SUM(G15/100)*90</f>
        <v>#N/A</v>
      </c>
      <c r="W15" s="89" t="e">
        <f aca="false">SUM(G15/100)*75</f>
        <v>#N/A</v>
      </c>
      <c r="X15" s="89" t="e">
        <f aca="false">SUM(G15/100)*74.99</f>
        <v>#N/A</v>
      </c>
      <c r="Y15" s="90"/>
    </row>
    <row r="16" customFormat="false" ht="13.15" hidden="false" customHeight="false" outlineLevel="0" collapsed="false">
      <c r="A16" s="70" t="str">
        <f aca="false" t="array" ref="A16:A16">IFERROR(INDEX('DC Dist Allocations'!$A$1:$A$555,SMALL(IF('DC Dist Allocations'!$C$1:$C$555='Site check'!$A$2,ROW('DC Dist Allocations'!$A$1:$A$555)),ROWS($A$2:$A4))),"")</f>
        <v/>
      </c>
      <c r="B16" s="70" t="e">
        <f aca="false">VLOOKUP($A16,'DC Dist Allocations'!$A:$X,2,0)</f>
        <v>#N/A</v>
      </c>
      <c r="C16" s="70" t="e">
        <f aca="false">VLOOKUP($A16,'DC Dist Allocations'!$A:$X,3,0)</f>
        <v>#N/A</v>
      </c>
      <c r="D16" s="70" t="e">
        <f aca="false">VLOOKUP($A16,'DC Dist Allocations'!$A:$X,5,0)</f>
        <v>#N/A</v>
      </c>
      <c r="E16" s="70" t="e">
        <f aca="false">VLOOKUP($A16,'DC Dist Allocations'!$A:$X,6,0)</f>
        <v>#N/A</v>
      </c>
      <c r="F16" s="88" t="e">
        <f aca="false">VLOOKUP($A16,'DC Dist Allocations'!$A:$X,7,0)</f>
        <v>#N/A</v>
      </c>
      <c r="G16" s="70" t="e">
        <f aca="false">VLOOKUP($A16,'DC Dist Allocations'!$A:$X,8,0)</f>
        <v>#N/A</v>
      </c>
      <c r="H16" s="70" t="e">
        <f aca="false">VLOOKUP($A16,'DC Dist Allocations'!$A:$X,9,0)</f>
        <v>#N/A</v>
      </c>
      <c r="I16" s="70" t="e">
        <f aca="false">VLOOKUP($A16,'DC Dist Allocations'!$A:$X,10,0)</f>
        <v>#N/A</v>
      </c>
      <c r="J16" s="70" t="e">
        <f aca="false">VLOOKUP($A16,'DC Dist Allocations'!$A:$X,11,0)</f>
        <v>#N/A</v>
      </c>
      <c r="K16" s="70" t="e">
        <f aca="false">VLOOKUP($A16,'DC Dist Allocations'!$A:$X,12,0)</f>
        <v>#N/A</v>
      </c>
      <c r="L16" s="70" t="e">
        <f aca="false">VLOOKUP($A16,'DC Dist Allocations'!$A:$X,13,0)</f>
        <v>#N/A</v>
      </c>
      <c r="M16" s="70" t="e">
        <f aca="false">VLOOKUP($A16,'DC Dist Allocations'!$A:$X,14,0)</f>
        <v>#N/A</v>
      </c>
      <c r="N16" s="70" t="e">
        <f aca="false">VLOOKUP($A16,'DC Dist Allocations'!$A:$X,15,0)</f>
        <v>#N/A</v>
      </c>
      <c r="O16" s="70" t="n">
        <f aca="false">IFERROR(VLOOKUP(B16,$A$6:$N$9,14,0),0)</f>
        <v>0</v>
      </c>
      <c r="P16" s="89" t="e">
        <f aca="false">VLOOKUP(A16,'DC Dist Allocations'!$A:$BC,50,0)</f>
        <v>#N/A</v>
      </c>
      <c r="Q16" s="89" t="e">
        <f aca="false">VLOOKUP(A16,'DC Dist Allocations'!$A:$BC,51,0)</f>
        <v>#N/A</v>
      </c>
      <c r="T16" s="70" t="e">
        <f aca="false">G16</f>
        <v>#N/A</v>
      </c>
      <c r="U16" s="70" t="e">
        <f aca="false">H16</f>
        <v>#N/A</v>
      </c>
      <c r="V16" s="89" t="e">
        <f aca="false">SUM(G16/100)*90</f>
        <v>#N/A</v>
      </c>
      <c r="W16" s="89" t="e">
        <f aca="false">SUM(G16/100)*75</f>
        <v>#N/A</v>
      </c>
      <c r="X16" s="89" t="e">
        <f aca="false">SUM(G16/100)*74.99</f>
        <v>#N/A</v>
      </c>
      <c r="Y16" s="90"/>
    </row>
    <row r="17" customFormat="false" ht="13.15" hidden="false" customHeight="false" outlineLevel="0" collapsed="false">
      <c r="A17" s="70" t="str">
        <f aca="false" t="array" ref="A17:A17">IFERROR(INDEX('DC Dist Allocations'!$A$1:$A$555,SMALL(IF('DC Dist Allocations'!$C$1:$C$555='Site check'!$A$2,ROW('DC Dist Allocations'!$A$1:$A$555)),ROWS($A$2:$A5))),"")</f>
        <v/>
      </c>
      <c r="B17" s="70" t="e">
        <f aca="false">VLOOKUP($A17,'DC Dist Allocations'!$A:$X,2,0)</f>
        <v>#N/A</v>
      </c>
      <c r="C17" s="70" t="e">
        <f aca="false">VLOOKUP($A17,'DC Dist Allocations'!$A:$X,3,0)</f>
        <v>#N/A</v>
      </c>
      <c r="D17" s="70" t="e">
        <f aca="false">VLOOKUP($A17,'DC Dist Allocations'!$A:$X,5,0)</f>
        <v>#N/A</v>
      </c>
      <c r="E17" s="70" t="e">
        <f aca="false">VLOOKUP($A17,'DC Dist Allocations'!$A:$X,6,0)</f>
        <v>#N/A</v>
      </c>
      <c r="F17" s="88" t="e">
        <f aca="false">VLOOKUP($A17,'DC Dist Allocations'!$A:$X,7,0)</f>
        <v>#N/A</v>
      </c>
      <c r="G17" s="70" t="e">
        <f aca="false">VLOOKUP($A17,'DC Dist Allocations'!$A:$X,8,0)</f>
        <v>#N/A</v>
      </c>
      <c r="H17" s="70" t="e">
        <f aca="false">VLOOKUP($A17,'DC Dist Allocations'!$A:$X,9,0)</f>
        <v>#N/A</v>
      </c>
      <c r="I17" s="70" t="e">
        <f aca="false">VLOOKUP($A17,'DC Dist Allocations'!$A:$X,10,0)</f>
        <v>#N/A</v>
      </c>
      <c r="J17" s="70" t="e">
        <f aca="false">VLOOKUP($A17,'DC Dist Allocations'!$A:$X,11,0)</f>
        <v>#N/A</v>
      </c>
      <c r="K17" s="70" t="e">
        <f aca="false">VLOOKUP($A17,'DC Dist Allocations'!$A:$X,12,0)</f>
        <v>#N/A</v>
      </c>
      <c r="L17" s="70" t="e">
        <f aca="false">VLOOKUP($A17,'DC Dist Allocations'!$A:$X,13,0)</f>
        <v>#N/A</v>
      </c>
      <c r="M17" s="70" t="e">
        <f aca="false">VLOOKUP($A17,'DC Dist Allocations'!$A:$X,14,0)</f>
        <v>#N/A</v>
      </c>
      <c r="N17" s="70" t="e">
        <f aca="false">VLOOKUP($A17,'DC Dist Allocations'!$A:$X,15,0)</f>
        <v>#N/A</v>
      </c>
      <c r="O17" s="70" t="n">
        <f aca="false">IFERROR(VLOOKUP(B17,$A$6:$N$9,14,0),0)</f>
        <v>0</v>
      </c>
      <c r="P17" s="89" t="e">
        <f aca="false">VLOOKUP(A17,'DC Dist Allocations'!$A:$BC,50,0)</f>
        <v>#N/A</v>
      </c>
      <c r="Q17" s="89" t="e">
        <f aca="false">VLOOKUP(A17,'DC Dist Allocations'!$A:$BC,51,0)</f>
        <v>#N/A</v>
      </c>
      <c r="T17" s="70" t="e">
        <f aca="false">G17</f>
        <v>#N/A</v>
      </c>
      <c r="U17" s="70" t="e">
        <f aca="false">H17</f>
        <v>#N/A</v>
      </c>
      <c r="V17" s="89" t="e">
        <f aca="false">SUM(G17/100)*90</f>
        <v>#N/A</v>
      </c>
      <c r="W17" s="89" t="e">
        <f aca="false">SUM(G17/100)*75</f>
        <v>#N/A</v>
      </c>
      <c r="X17" s="89" t="e">
        <f aca="false">SUM(G17/100)*74.99</f>
        <v>#N/A</v>
      </c>
      <c r="Y17" s="90"/>
    </row>
    <row r="18" customFormat="false" ht="13.15" hidden="false" customHeight="false" outlineLevel="0" collapsed="false">
      <c r="A18" s="70" t="str">
        <f aca="false" t="array" ref="A18:A18">IFERROR(INDEX('DC Dist Allocations'!$A$1:$A$555,SMALL(IF('DC Dist Allocations'!$C$1:$C$555='Site check'!$A$2,ROW('DC Dist Allocations'!$A$1:$A$555)),ROWS($A$2:$A6))),"")</f>
        <v/>
      </c>
      <c r="B18" s="70" t="e">
        <f aca="false">VLOOKUP($A18,'DC Dist Allocations'!$A:$X,2,0)</f>
        <v>#N/A</v>
      </c>
      <c r="C18" s="70" t="e">
        <f aca="false">VLOOKUP($A18,'DC Dist Allocations'!$A:$X,3,0)</f>
        <v>#N/A</v>
      </c>
      <c r="D18" s="70" t="e">
        <f aca="false">VLOOKUP($A18,'DC Dist Allocations'!$A:$X,5,0)</f>
        <v>#N/A</v>
      </c>
      <c r="E18" s="70" t="e">
        <f aca="false">VLOOKUP($A18,'DC Dist Allocations'!$A:$X,6,0)</f>
        <v>#N/A</v>
      </c>
      <c r="F18" s="88" t="e">
        <f aca="false">VLOOKUP($A18,'DC Dist Allocations'!$A:$X,7,0)</f>
        <v>#N/A</v>
      </c>
      <c r="G18" s="70" t="e">
        <f aca="false">VLOOKUP($A18,'DC Dist Allocations'!$A:$X,8,0)</f>
        <v>#N/A</v>
      </c>
      <c r="H18" s="70" t="e">
        <f aca="false">VLOOKUP($A18,'DC Dist Allocations'!$A:$X,9,0)</f>
        <v>#N/A</v>
      </c>
      <c r="I18" s="70" t="e">
        <f aca="false">VLOOKUP($A18,'DC Dist Allocations'!$A:$X,10,0)</f>
        <v>#N/A</v>
      </c>
      <c r="J18" s="70" t="e">
        <f aca="false">VLOOKUP($A18,'DC Dist Allocations'!$A:$X,11,0)</f>
        <v>#N/A</v>
      </c>
      <c r="K18" s="70" t="e">
        <f aca="false">VLOOKUP($A18,'DC Dist Allocations'!$A:$X,12,0)</f>
        <v>#N/A</v>
      </c>
      <c r="L18" s="70" t="e">
        <f aca="false">VLOOKUP($A18,'DC Dist Allocations'!$A:$X,13,0)</f>
        <v>#N/A</v>
      </c>
      <c r="M18" s="70" t="e">
        <f aca="false">VLOOKUP($A18,'DC Dist Allocations'!$A:$X,14,0)</f>
        <v>#N/A</v>
      </c>
      <c r="N18" s="70" t="e">
        <f aca="false">VLOOKUP($A18,'DC Dist Allocations'!$A:$X,15,0)</f>
        <v>#N/A</v>
      </c>
      <c r="O18" s="70" t="n">
        <f aca="false">IFERROR(VLOOKUP(B18,$A$6:$N$9,14,0),0)</f>
        <v>0</v>
      </c>
      <c r="P18" s="89" t="e">
        <f aca="false">VLOOKUP(A18,'DC Dist Allocations'!$A:$BC,50,0)</f>
        <v>#N/A</v>
      </c>
      <c r="Q18" s="89" t="e">
        <f aca="false">VLOOKUP(A18,'DC Dist Allocations'!$A:$BC,51,0)</f>
        <v>#N/A</v>
      </c>
      <c r="T18" s="70" t="e">
        <f aca="false">G18</f>
        <v>#N/A</v>
      </c>
      <c r="U18" s="70" t="e">
        <f aca="false">H18</f>
        <v>#N/A</v>
      </c>
      <c r="V18" s="89" t="e">
        <f aca="false">SUM(G18/100)*90</f>
        <v>#N/A</v>
      </c>
      <c r="W18" s="89" t="e">
        <f aca="false">SUM(G18/100)*75</f>
        <v>#N/A</v>
      </c>
      <c r="X18" s="89" t="e">
        <f aca="false">SUM(G18/100)*74.99</f>
        <v>#N/A</v>
      </c>
      <c r="Y18" s="90"/>
    </row>
    <row r="19" customFormat="false" ht="13.15" hidden="false" customHeight="false" outlineLevel="0" collapsed="false">
      <c r="A19" s="70" t="str">
        <f aca="false" t="array" ref="A19:A19">IFERROR(INDEX('DC Dist Allocations'!$A$1:$A$555,SMALL(IF('DC Dist Allocations'!$C$1:$C$555='Site check'!$A$2,ROW('DC Dist Allocations'!$A$1:$A$555)),ROWS($A$2:$A7))),"")</f>
        <v/>
      </c>
      <c r="B19" s="70" t="e">
        <f aca="false">VLOOKUP($A19,'DC Dist Allocations'!$A:$X,2,0)</f>
        <v>#N/A</v>
      </c>
      <c r="C19" s="70" t="e">
        <f aca="false">VLOOKUP($A19,'DC Dist Allocations'!$A:$X,3,0)</f>
        <v>#N/A</v>
      </c>
      <c r="D19" s="70" t="e">
        <f aca="false">VLOOKUP($A19,'DC Dist Allocations'!$A:$X,5,0)</f>
        <v>#N/A</v>
      </c>
      <c r="E19" s="70" t="e">
        <f aca="false">VLOOKUP($A19,'DC Dist Allocations'!$A:$X,6,0)</f>
        <v>#N/A</v>
      </c>
      <c r="F19" s="88" t="e">
        <f aca="false">VLOOKUP($A19,'DC Dist Allocations'!$A:$X,7,0)</f>
        <v>#N/A</v>
      </c>
      <c r="G19" s="70" t="e">
        <f aca="false">VLOOKUP($A19,'DC Dist Allocations'!$A:$X,8,0)</f>
        <v>#N/A</v>
      </c>
      <c r="H19" s="70" t="e">
        <f aca="false">VLOOKUP($A19,'DC Dist Allocations'!$A:$X,9,0)</f>
        <v>#N/A</v>
      </c>
      <c r="I19" s="70" t="e">
        <f aca="false">VLOOKUP($A19,'DC Dist Allocations'!$A:$X,10,0)</f>
        <v>#N/A</v>
      </c>
      <c r="J19" s="70" t="e">
        <f aca="false">VLOOKUP($A19,'DC Dist Allocations'!$A:$X,11,0)</f>
        <v>#N/A</v>
      </c>
      <c r="K19" s="70" t="e">
        <f aca="false">VLOOKUP($A19,'DC Dist Allocations'!$A:$X,12,0)</f>
        <v>#N/A</v>
      </c>
      <c r="L19" s="70" t="e">
        <f aca="false">VLOOKUP($A19,'DC Dist Allocations'!$A:$X,13,0)</f>
        <v>#N/A</v>
      </c>
      <c r="M19" s="70" t="e">
        <f aca="false">VLOOKUP($A19,'DC Dist Allocations'!$A:$X,14,0)</f>
        <v>#N/A</v>
      </c>
      <c r="N19" s="70" t="e">
        <f aca="false">VLOOKUP($A19,'DC Dist Allocations'!$A:$X,15,0)</f>
        <v>#N/A</v>
      </c>
      <c r="O19" s="70" t="n">
        <f aca="false">IFERROR(VLOOKUP(B19,$A$6:$N$9,14,0),0)</f>
        <v>0</v>
      </c>
      <c r="P19" s="89" t="e">
        <f aca="false">VLOOKUP(A19,'DC Dist Allocations'!$A:$BC,50,0)</f>
        <v>#N/A</v>
      </c>
      <c r="Q19" s="89" t="e">
        <f aca="false">VLOOKUP(A19,'DC Dist Allocations'!$A:$BC,51,0)</f>
        <v>#N/A</v>
      </c>
      <c r="T19" s="70" t="e">
        <f aca="false">G19</f>
        <v>#N/A</v>
      </c>
      <c r="U19" s="70" t="e">
        <f aca="false">H19</f>
        <v>#N/A</v>
      </c>
      <c r="V19" s="89" t="e">
        <f aca="false">SUM(G19/100)*90</f>
        <v>#N/A</v>
      </c>
      <c r="W19" s="89" t="e">
        <f aca="false">SUM(G19/100)*75</f>
        <v>#N/A</v>
      </c>
      <c r="X19" s="89" t="e">
        <f aca="false">SUM(G19/100)*74.99</f>
        <v>#N/A</v>
      </c>
      <c r="Y19" s="90"/>
    </row>
    <row r="20" customFormat="false" ht="13.15" hidden="false" customHeight="false" outlineLevel="0" collapsed="false">
      <c r="A20" s="70" t="str">
        <f aca="false" t="array" ref="A20:A20">IFERROR(INDEX('DC Dist Allocations'!$A$1:$A$555,SMALL(IF('DC Dist Allocations'!$C$1:$C$555='Site check'!$A$2,ROW('DC Dist Allocations'!$A$1:$A$555)),ROWS($A$2:$A8))),"")</f>
        <v/>
      </c>
      <c r="B20" s="70" t="e">
        <f aca="false">VLOOKUP($A20,'DC Dist Allocations'!$A:$X,2,0)</f>
        <v>#N/A</v>
      </c>
      <c r="C20" s="70" t="e">
        <f aca="false">VLOOKUP($A20,'DC Dist Allocations'!$A:$X,3,0)</f>
        <v>#N/A</v>
      </c>
      <c r="D20" s="70" t="e">
        <f aca="false">VLOOKUP($A20,'DC Dist Allocations'!$A:$X,5,0)</f>
        <v>#N/A</v>
      </c>
      <c r="E20" s="70" t="e">
        <f aca="false">VLOOKUP($A20,'DC Dist Allocations'!$A:$X,6,0)</f>
        <v>#N/A</v>
      </c>
      <c r="F20" s="88" t="e">
        <f aca="false">VLOOKUP($A20,'DC Dist Allocations'!$A:$X,7,0)</f>
        <v>#N/A</v>
      </c>
      <c r="G20" s="70" t="e">
        <f aca="false">VLOOKUP($A20,'DC Dist Allocations'!$A:$X,8,0)</f>
        <v>#N/A</v>
      </c>
      <c r="H20" s="70" t="e">
        <f aca="false">VLOOKUP($A20,'DC Dist Allocations'!$A:$X,9,0)</f>
        <v>#N/A</v>
      </c>
      <c r="I20" s="70" t="e">
        <f aca="false">VLOOKUP($A20,'DC Dist Allocations'!$A:$X,10,0)</f>
        <v>#N/A</v>
      </c>
      <c r="J20" s="70" t="e">
        <f aca="false">VLOOKUP($A20,'DC Dist Allocations'!$A:$X,11,0)</f>
        <v>#N/A</v>
      </c>
      <c r="K20" s="70" t="e">
        <f aca="false">VLOOKUP($A20,'DC Dist Allocations'!$A:$X,12,0)</f>
        <v>#N/A</v>
      </c>
      <c r="L20" s="70" t="e">
        <f aca="false">VLOOKUP($A20,'DC Dist Allocations'!$A:$X,13,0)</f>
        <v>#N/A</v>
      </c>
      <c r="M20" s="70" t="e">
        <f aca="false">VLOOKUP($A20,'DC Dist Allocations'!$A:$X,14,0)</f>
        <v>#N/A</v>
      </c>
      <c r="N20" s="70" t="e">
        <f aca="false">VLOOKUP($A20,'DC Dist Allocations'!$A:$X,15,0)</f>
        <v>#N/A</v>
      </c>
      <c r="O20" s="70" t="n">
        <f aca="false">IFERROR(VLOOKUP(B20,$A$6:$N$9,14,0),0)</f>
        <v>0</v>
      </c>
      <c r="P20" s="89" t="e">
        <f aca="false">VLOOKUP(A20,'DC Dist Allocations'!$A:$BC,50,0)</f>
        <v>#N/A</v>
      </c>
      <c r="Q20" s="89" t="e">
        <f aca="false">VLOOKUP(A20,'DC Dist Allocations'!$A:$BC,51,0)</f>
        <v>#N/A</v>
      </c>
      <c r="T20" s="70" t="e">
        <f aca="false">G20</f>
        <v>#N/A</v>
      </c>
      <c r="U20" s="70" t="e">
        <f aca="false">H20</f>
        <v>#N/A</v>
      </c>
      <c r="V20" s="89" t="e">
        <f aca="false">SUM(G20/100)*90</f>
        <v>#N/A</v>
      </c>
      <c r="W20" s="89" t="e">
        <f aca="false">SUM(G20/100)*75</f>
        <v>#N/A</v>
      </c>
      <c r="X20" s="89" t="e">
        <f aca="false">SUM(G20/100)*74.99</f>
        <v>#N/A</v>
      </c>
      <c r="Y20" s="90"/>
    </row>
    <row r="21" customFormat="false" ht="13.15" hidden="false" customHeight="false" outlineLevel="0" collapsed="false">
      <c r="A21" s="70" t="str">
        <f aca="false" t="array" ref="A21:A21">IFERROR(INDEX('DC Dist Allocations'!$A$1:$A$555,SMALL(IF('DC Dist Allocations'!$C$1:$C$555='Site check'!$A$2,ROW('DC Dist Allocations'!$A$1:$A$555)),ROWS($A$2:$A9))),"")</f>
        <v/>
      </c>
      <c r="B21" s="70" t="e">
        <f aca="false">VLOOKUP($A21,'DC Dist Allocations'!$A:$X,2,0)</f>
        <v>#N/A</v>
      </c>
      <c r="C21" s="70" t="e">
        <f aca="false">VLOOKUP($A21,'DC Dist Allocations'!$A:$X,3,0)</f>
        <v>#N/A</v>
      </c>
      <c r="D21" s="70" t="e">
        <f aca="false">VLOOKUP($A21,'DC Dist Allocations'!$A:$X,5,0)</f>
        <v>#N/A</v>
      </c>
      <c r="E21" s="70" t="e">
        <f aca="false">VLOOKUP($A21,'DC Dist Allocations'!$A:$X,6,0)</f>
        <v>#N/A</v>
      </c>
      <c r="F21" s="88" t="e">
        <f aca="false">VLOOKUP($A21,'DC Dist Allocations'!$A:$X,7,0)</f>
        <v>#N/A</v>
      </c>
      <c r="G21" s="70" t="e">
        <f aca="false">VLOOKUP($A21,'DC Dist Allocations'!$A:$X,8,0)</f>
        <v>#N/A</v>
      </c>
      <c r="H21" s="70" t="e">
        <f aca="false">VLOOKUP($A21,'DC Dist Allocations'!$A:$X,9,0)</f>
        <v>#N/A</v>
      </c>
      <c r="I21" s="70" t="e">
        <f aca="false">VLOOKUP($A21,'DC Dist Allocations'!$A:$X,10,0)</f>
        <v>#N/A</v>
      </c>
      <c r="J21" s="70" t="e">
        <f aca="false">VLOOKUP($A21,'DC Dist Allocations'!$A:$X,11,0)</f>
        <v>#N/A</v>
      </c>
      <c r="K21" s="70" t="e">
        <f aca="false">VLOOKUP($A21,'DC Dist Allocations'!$A:$X,12,0)</f>
        <v>#N/A</v>
      </c>
      <c r="L21" s="70" t="e">
        <f aca="false">VLOOKUP($A21,'DC Dist Allocations'!$A:$X,13,0)</f>
        <v>#N/A</v>
      </c>
      <c r="M21" s="70" t="e">
        <f aca="false">VLOOKUP($A21,'DC Dist Allocations'!$A:$X,14,0)</f>
        <v>#N/A</v>
      </c>
      <c r="N21" s="70" t="e">
        <f aca="false">VLOOKUP($A21,'DC Dist Allocations'!$A:$X,15,0)</f>
        <v>#N/A</v>
      </c>
      <c r="O21" s="70" t="n">
        <f aca="false">IFERROR(VLOOKUP(B21,$A$6:$N$9,14,0),0)</f>
        <v>0</v>
      </c>
      <c r="P21" s="89" t="e">
        <f aca="false">VLOOKUP(A21,'DC Dist Allocations'!$A:$BC,50,0)</f>
        <v>#N/A</v>
      </c>
      <c r="Q21" s="89" t="e">
        <f aca="false">VLOOKUP(A21,'DC Dist Allocations'!$A:$BC,51,0)</f>
        <v>#N/A</v>
      </c>
      <c r="T21" s="70" t="e">
        <f aca="false">G21</f>
        <v>#N/A</v>
      </c>
      <c r="U21" s="70" t="e">
        <f aca="false">H21</f>
        <v>#N/A</v>
      </c>
      <c r="V21" s="89" t="e">
        <f aca="false">SUM(G21/100)*90</f>
        <v>#N/A</v>
      </c>
      <c r="W21" s="89" t="e">
        <f aca="false">SUM(G21/100)*75</f>
        <v>#N/A</v>
      </c>
      <c r="X21" s="89" t="e">
        <f aca="false">SUM(G21/100)*74.99</f>
        <v>#N/A</v>
      </c>
      <c r="Y21" s="90"/>
    </row>
    <row r="22" customFormat="false" ht="13.15" hidden="false" customHeight="false" outlineLevel="0" collapsed="false">
      <c r="A22" s="70" t="str">
        <f aca="false" t="array" ref="A22:A22">IFERROR(INDEX('DC Dist Allocations'!$A$1:$A$555,SMALL(IF('DC Dist Allocations'!$C$1:$C$555='Site check'!$A$2,ROW('DC Dist Allocations'!$A$1:$A$555)),ROWS($A$2:$A10))),"")</f>
        <v/>
      </c>
      <c r="B22" s="70" t="e">
        <f aca="false">VLOOKUP($A22,'DC Dist Allocations'!$A:$X,2,0)</f>
        <v>#N/A</v>
      </c>
      <c r="C22" s="70" t="e">
        <f aca="false">VLOOKUP($A22,'DC Dist Allocations'!$A:$X,3,0)</f>
        <v>#N/A</v>
      </c>
      <c r="D22" s="70" t="e">
        <f aca="false">VLOOKUP($A22,'DC Dist Allocations'!$A:$X,5,0)</f>
        <v>#N/A</v>
      </c>
      <c r="E22" s="70" t="e">
        <f aca="false">VLOOKUP($A22,'DC Dist Allocations'!$A:$X,6,0)</f>
        <v>#N/A</v>
      </c>
      <c r="F22" s="88" t="e">
        <f aca="false">VLOOKUP($A22,'DC Dist Allocations'!$A:$X,7,0)</f>
        <v>#N/A</v>
      </c>
      <c r="G22" s="70" t="e">
        <f aca="false">VLOOKUP($A22,'DC Dist Allocations'!$A:$X,8,0)</f>
        <v>#N/A</v>
      </c>
      <c r="H22" s="70" t="e">
        <f aca="false">VLOOKUP($A22,'DC Dist Allocations'!$A:$X,9,0)</f>
        <v>#N/A</v>
      </c>
      <c r="I22" s="70" t="e">
        <f aca="false">VLOOKUP($A22,'DC Dist Allocations'!$A:$X,10,0)</f>
        <v>#N/A</v>
      </c>
      <c r="J22" s="70" t="e">
        <f aca="false">VLOOKUP($A22,'DC Dist Allocations'!$A:$X,11,0)</f>
        <v>#N/A</v>
      </c>
      <c r="K22" s="70" t="e">
        <f aca="false">VLOOKUP($A22,'DC Dist Allocations'!$A:$X,12,0)</f>
        <v>#N/A</v>
      </c>
      <c r="L22" s="70" t="e">
        <f aca="false">VLOOKUP($A22,'DC Dist Allocations'!$A:$X,13,0)</f>
        <v>#N/A</v>
      </c>
      <c r="M22" s="70" t="e">
        <f aca="false">VLOOKUP($A22,'DC Dist Allocations'!$A:$X,14,0)</f>
        <v>#N/A</v>
      </c>
      <c r="N22" s="70" t="e">
        <f aca="false">VLOOKUP($A22,'DC Dist Allocations'!$A:$X,15,0)</f>
        <v>#N/A</v>
      </c>
      <c r="O22" s="70" t="n">
        <f aca="false">IFERROR(VLOOKUP(B22,$A$6:$N$9,14,0),0)</f>
        <v>0</v>
      </c>
      <c r="P22" s="89" t="e">
        <f aca="false">VLOOKUP(A22,'DC Dist Allocations'!$A:$BC,50,0)</f>
        <v>#N/A</v>
      </c>
      <c r="Q22" s="89" t="e">
        <f aca="false">VLOOKUP(A22,'DC Dist Allocations'!$A:$BC,51,0)</f>
        <v>#N/A</v>
      </c>
      <c r="T22" s="70" t="e">
        <f aca="false">G22</f>
        <v>#N/A</v>
      </c>
      <c r="U22" s="70" t="e">
        <f aca="false">H22</f>
        <v>#N/A</v>
      </c>
      <c r="V22" s="89" t="e">
        <f aca="false">SUM(G22/100)*90</f>
        <v>#N/A</v>
      </c>
      <c r="W22" s="89" t="e">
        <f aca="false">SUM(G22/100)*75</f>
        <v>#N/A</v>
      </c>
      <c r="X22" s="89" t="e">
        <f aca="false">SUM(G22/100)*74.99</f>
        <v>#N/A</v>
      </c>
      <c r="Y22" s="90"/>
    </row>
    <row r="23" customFormat="false" ht="13.15" hidden="false" customHeight="false" outlineLevel="0" collapsed="false">
      <c r="A23" s="70" t="str">
        <f aca="false" t="array" ref="A23:A23">IFERROR(INDEX('DC Dist Allocations'!$A$1:$A$555,SMALL(IF('DC Dist Allocations'!$C$1:$C$555='Site check'!$A$2,ROW('DC Dist Allocations'!$A$1:$A$555)),ROWS($A$2:$A11))),"")</f>
        <v/>
      </c>
      <c r="B23" s="70" t="e">
        <f aca="false">VLOOKUP($A23,'DC Dist Allocations'!$A:$X,2,0)</f>
        <v>#N/A</v>
      </c>
      <c r="C23" s="70" t="e">
        <f aca="false">VLOOKUP($A23,'DC Dist Allocations'!$A:$X,3,0)</f>
        <v>#N/A</v>
      </c>
      <c r="D23" s="70" t="e">
        <f aca="false">VLOOKUP($A23,'DC Dist Allocations'!$A:$X,5,0)</f>
        <v>#N/A</v>
      </c>
      <c r="E23" s="70" t="e">
        <f aca="false">VLOOKUP($A23,'DC Dist Allocations'!$A:$X,6,0)</f>
        <v>#N/A</v>
      </c>
      <c r="F23" s="88" t="e">
        <f aca="false">VLOOKUP($A23,'DC Dist Allocations'!$A:$X,7,0)</f>
        <v>#N/A</v>
      </c>
      <c r="G23" s="70" t="e">
        <f aca="false">VLOOKUP($A23,'DC Dist Allocations'!$A:$X,8,0)</f>
        <v>#N/A</v>
      </c>
      <c r="H23" s="70" t="e">
        <f aca="false">VLOOKUP($A23,'DC Dist Allocations'!$A:$X,9,0)</f>
        <v>#N/A</v>
      </c>
      <c r="I23" s="70" t="e">
        <f aca="false">VLOOKUP($A23,'DC Dist Allocations'!$A:$X,10,0)</f>
        <v>#N/A</v>
      </c>
      <c r="J23" s="70" t="e">
        <f aca="false">VLOOKUP($A23,'DC Dist Allocations'!$A:$X,11,0)</f>
        <v>#N/A</v>
      </c>
      <c r="K23" s="70" t="e">
        <f aca="false">VLOOKUP($A23,'DC Dist Allocations'!$A:$X,12,0)</f>
        <v>#N/A</v>
      </c>
      <c r="L23" s="70" t="e">
        <f aca="false">VLOOKUP($A23,'DC Dist Allocations'!$A:$X,13,0)</f>
        <v>#N/A</v>
      </c>
      <c r="M23" s="70" t="e">
        <f aca="false">VLOOKUP($A23,'DC Dist Allocations'!$A:$X,14,0)</f>
        <v>#N/A</v>
      </c>
      <c r="N23" s="70" t="e">
        <f aca="false">VLOOKUP($A23,'DC Dist Allocations'!$A:$X,15,0)</f>
        <v>#N/A</v>
      </c>
      <c r="O23" s="70" t="n">
        <f aca="false">IFERROR(VLOOKUP(B23,$A$6:$N$9,14,0),0)</f>
        <v>0</v>
      </c>
      <c r="P23" s="89" t="e">
        <f aca="false">VLOOKUP(A23,'DC Dist Allocations'!$A:$BC,50,0)</f>
        <v>#N/A</v>
      </c>
      <c r="Q23" s="89" t="e">
        <f aca="false">VLOOKUP(A23,'DC Dist Allocations'!$A:$BC,51,0)</f>
        <v>#N/A</v>
      </c>
      <c r="T23" s="70" t="e">
        <f aca="false">G23</f>
        <v>#N/A</v>
      </c>
      <c r="U23" s="70" t="e">
        <f aca="false">H23</f>
        <v>#N/A</v>
      </c>
      <c r="V23" s="89" t="e">
        <f aca="false">SUM(G23/100)*90</f>
        <v>#N/A</v>
      </c>
      <c r="W23" s="89" t="e">
        <f aca="false">SUM(G23/100)*75</f>
        <v>#N/A</v>
      </c>
      <c r="X23" s="89" t="e">
        <f aca="false">SUM(G23/100)*74.99</f>
        <v>#N/A</v>
      </c>
      <c r="Y23" s="90"/>
    </row>
    <row r="24" customFormat="false" ht="13.15" hidden="false" customHeight="false" outlineLevel="0" collapsed="false">
      <c r="A24" s="70" t="str">
        <f aca="false" t="array" ref="A24:A24">IFERROR(INDEX('DC Dist Allocations'!$A$1:$A$555,SMALL(IF('DC Dist Allocations'!$C$1:$C$555='Site check'!$A$2,ROW('DC Dist Allocations'!$A$1:$A$555)),ROWS($A$2:$A12))),"")</f>
        <v/>
      </c>
      <c r="B24" s="70" t="e">
        <f aca="false">VLOOKUP($A24,'DC Dist Allocations'!$A:$X,2,0)</f>
        <v>#N/A</v>
      </c>
      <c r="C24" s="70" t="e">
        <f aca="false">VLOOKUP($A24,'DC Dist Allocations'!$A:$X,3,0)</f>
        <v>#N/A</v>
      </c>
      <c r="D24" s="70" t="e">
        <f aca="false">VLOOKUP($A24,'DC Dist Allocations'!$A:$X,5,0)</f>
        <v>#N/A</v>
      </c>
      <c r="E24" s="70" t="e">
        <f aca="false">VLOOKUP($A24,'DC Dist Allocations'!$A:$X,6,0)</f>
        <v>#N/A</v>
      </c>
      <c r="F24" s="88" t="e">
        <f aca="false">VLOOKUP($A24,'DC Dist Allocations'!$A:$X,7,0)</f>
        <v>#N/A</v>
      </c>
      <c r="G24" s="70" t="e">
        <f aca="false">VLOOKUP($A24,'DC Dist Allocations'!$A:$X,8,0)</f>
        <v>#N/A</v>
      </c>
      <c r="H24" s="70" t="e">
        <f aca="false">VLOOKUP($A24,'DC Dist Allocations'!$A:$X,9,0)</f>
        <v>#N/A</v>
      </c>
      <c r="I24" s="70" t="e">
        <f aca="false">VLOOKUP($A24,'DC Dist Allocations'!$A:$X,10,0)</f>
        <v>#N/A</v>
      </c>
      <c r="J24" s="70" t="e">
        <f aca="false">VLOOKUP($A24,'DC Dist Allocations'!$A:$X,11,0)</f>
        <v>#N/A</v>
      </c>
      <c r="K24" s="70" t="e">
        <f aca="false">VLOOKUP($A24,'DC Dist Allocations'!$A:$X,12,0)</f>
        <v>#N/A</v>
      </c>
      <c r="L24" s="70" t="e">
        <f aca="false">VLOOKUP($A24,'DC Dist Allocations'!$A:$X,13,0)</f>
        <v>#N/A</v>
      </c>
      <c r="M24" s="70" t="e">
        <f aca="false">VLOOKUP($A24,'DC Dist Allocations'!$A:$X,14,0)</f>
        <v>#N/A</v>
      </c>
      <c r="N24" s="70" t="e">
        <f aca="false">VLOOKUP($A24,'DC Dist Allocations'!$A:$X,15,0)</f>
        <v>#N/A</v>
      </c>
      <c r="O24" s="70" t="n">
        <f aca="false">IFERROR(VLOOKUP(B24,$A$6:$N$9,14,0),0)</f>
        <v>0</v>
      </c>
      <c r="P24" s="89" t="e">
        <f aca="false">VLOOKUP(A24,'DC Dist Allocations'!$A:$BC,50,0)</f>
        <v>#N/A</v>
      </c>
      <c r="Q24" s="89" t="e">
        <f aca="false">VLOOKUP(A24,'DC Dist Allocations'!$A:$BC,51,0)</f>
        <v>#N/A</v>
      </c>
      <c r="T24" s="70" t="e">
        <f aca="false">G24</f>
        <v>#N/A</v>
      </c>
      <c r="U24" s="70" t="e">
        <f aca="false">H24</f>
        <v>#N/A</v>
      </c>
      <c r="V24" s="89" t="e">
        <f aca="false">SUM(G24/100)*90</f>
        <v>#N/A</v>
      </c>
      <c r="W24" s="89" t="e">
        <f aca="false">SUM(G24/100)*75</f>
        <v>#N/A</v>
      </c>
      <c r="X24" s="89" t="e">
        <f aca="false">SUM(G24/100)*74.99</f>
        <v>#N/A</v>
      </c>
      <c r="Y24" s="90"/>
    </row>
    <row r="25" customFormat="false" ht="13.15" hidden="false" customHeight="false" outlineLevel="0" collapsed="false">
      <c r="A25" s="70" t="str">
        <f aca="false" t="array" ref="A25:A25">IFERROR(INDEX('DC Dist Allocations'!$A$1:$A$555,SMALL(IF('DC Dist Allocations'!$C$1:$C$555='Site check'!$A$2,ROW('DC Dist Allocations'!$A$1:$A$555)),ROWS($A$2:$A13))),"")</f>
        <v/>
      </c>
      <c r="B25" s="70" t="e">
        <f aca="false">VLOOKUP($A25,'DC Dist Allocations'!$A:$X,2,0)</f>
        <v>#N/A</v>
      </c>
      <c r="C25" s="70" t="e">
        <f aca="false">VLOOKUP($A25,'DC Dist Allocations'!$A:$X,3,0)</f>
        <v>#N/A</v>
      </c>
      <c r="D25" s="70" t="e">
        <f aca="false">VLOOKUP($A25,'DC Dist Allocations'!$A:$X,5,0)</f>
        <v>#N/A</v>
      </c>
      <c r="E25" s="70" t="e">
        <f aca="false">VLOOKUP($A25,'DC Dist Allocations'!$A:$X,6,0)</f>
        <v>#N/A</v>
      </c>
      <c r="F25" s="88" t="e">
        <f aca="false">VLOOKUP($A25,'DC Dist Allocations'!$A:$X,7,0)</f>
        <v>#N/A</v>
      </c>
      <c r="G25" s="70" t="e">
        <f aca="false">VLOOKUP($A25,'DC Dist Allocations'!$A:$X,8,0)</f>
        <v>#N/A</v>
      </c>
      <c r="H25" s="70" t="e">
        <f aca="false">VLOOKUP($A25,'DC Dist Allocations'!$A:$X,9,0)</f>
        <v>#N/A</v>
      </c>
      <c r="I25" s="70" t="e">
        <f aca="false">VLOOKUP($A25,'DC Dist Allocations'!$A:$X,10,0)</f>
        <v>#N/A</v>
      </c>
      <c r="J25" s="70" t="e">
        <f aca="false">VLOOKUP($A25,'DC Dist Allocations'!$A:$X,11,0)</f>
        <v>#N/A</v>
      </c>
      <c r="K25" s="70" t="e">
        <f aca="false">VLOOKUP($A25,'DC Dist Allocations'!$A:$X,12,0)</f>
        <v>#N/A</v>
      </c>
      <c r="L25" s="70" t="e">
        <f aca="false">VLOOKUP($A25,'DC Dist Allocations'!$A:$X,13,0)</f>
        <v>#N/A</v>
      </c>
      <c r="M25" s="70" t="e">
        <f aca="false">VLOOKUP($A25,'DC Dist Allocations'!$A:$X,14,0)</f>
        <v>#N/A</v>
      </c>
      <c r="N25" s="70" t="e">
        <f aca="false">VLOOKUP($A25,'DC Dist Allocations'!$A:$X,15,0)</f>
        <v>#N/A</v>
      </c>
      <c r="O25" s="70" t="n">
        <f aca="false">IFERROR(VLOOKUP(B25,$A$6:$N$9,14,0),0)</f>
        <v>0</v>
      </c>
      <c r="P25" s="89" t="e">
        <f aca="false">VLOOKUP(A25,'DC Dist Allocations'!$A:$BC,50,0)</f>
        <v>#N/A</v>
      </c>
      <c r="Q25" s="89" t="e">
        <f aca="false">VLOOKUP(A25,'DC Dist Allocations'!$A:$BC,51,0)</f>
        <v>#N/A</v>
      </c>
      <c r="T25" s="70" t="e">
        <f aca="false">G25</f>
        <v>#N/A</v>
      </c>
      <c r="U25" s="70" t="e">
        <f aca="false">H25</f>
        <v>#N/A</v>
      </c>
      <c r="V25" s="89" t="e">
        <f aca="false">SUM(G25/100)*90</f>
        <v>#N/A</v>
      </c>
      <c r="W25" s="89" t="e">
        <f aca="false">SUM(G25/100)*75</f>
        <v>#N/A</v>
      </c>
      <c r="X25" s="89" t="e">
        <f aca="false">SUM(G25/100)*74.99</f>
        <v>#N/A</v>
      </c>
      <c r="Y25" s="90"/>
    </row>
    <row r="26" customFormat="false" ht="13.15" hidden="false" customHeight="false" outlineLevel="0" collapsed="false">
      <c r="A26" s="70" t="str">
        <f aca="false" t="array" ref="A26:A26">IFERROR(INDEX('DC Dist Allocations'!$A$1:$A$555,SMALL(IF('DC Dist Allocations'!$C$1:$C$555='Site check'!$A$2,ROW('DC Dist Allocations'!$A$1:$A$555)),ROWS($A$2:$A14))),"")</f>
        <v/>
      </c>
      <c r="B26" s="70" t="e">
        <f aca="false">VLOOKUP($A26,'DC Dist Allocations'!$A:$X,2,0)</f>
        <v>#N/A</v>
      </c>
      <c r="C26" s="70" t="e">
        <f aca="false">VLOOKUP($A26,'DC Dist Allocations'!$A:$X,3,0)</f>
        <v>#N/A</v>
      </c>
      <c r="D26" s="70" t="e">
        <f aca="false">VLOOKUP($A26,'DC Dist Allocations'!$A:$X,5,0)</f>
        <v>#N/A</v>
      </c>
      <c r="E26" s="70" t="e">
        <f aca="false">VLOOKUP($A26,'DC Dist Allocations'!$A:$X,6,0)</f>
        <v>#N/A</v>
      </c>
      <c r="F26" s="88" t="e">
        <f aca="false">VLOOKUP($A26,'DC Dist Allocations'!$A:$X,7,0)</f>
        <v>#N/A</v>
      </c>
      <c r="G26" s="70" t="e">
        <f aca="false">VLOOKUP($A26,'DC Dist Allocations'!$A:$X,8,0)</f>
        <v>#N/A</v>
      </c>
      <c r="H26" s="70" t="e">
        <f aca="false">VLOOKUP($A26,'DC Dist Allocations'!$A:$X,9,0)</f>
        <v>#N/A</v>
      </c>
      <c r="I26" s="70" t="e">
        <f aca="false">VLOOKUP($A26,'DC Dist Allocations'!$A:$X,10,0)</f>
        <v>#N/A</v>
      </c>
      <c r="J26" s="70" t="e">
        <f aca="false">VLOOKUP($A26,'DC Dist Allocations'!$A:$X,11,0)</f>
        <v>#N/A</v>
      </c>
      <c r="K26" s="70" t="e">
        <f aca="false">VLOOKUP($A26,'DC Dist Allocations'!$A:$X,12,0)</f>
        <v>#N/A</v>
      </c>
      <c r="L26" s="70" t="e">
        <f aca="false">VLOOKUP($A26,'DC Dist Allocations'!$A:$X,13,0)</f>
        <v>#N/A</v>
      </c>
      <c r="M26" s="70" t="e">
        <f aca="false">VLOOKUP($A26,'DC Dist Allocations'!$A:$X,14,0)</f>
        <v>#N/A</v>
      </c>
      <c r="N26" s="70" t="e">
        <f aca="false">VLOOKUP($A26,'DC Dist Allocations'!$A:$X,15,0)</f>
        <v>#N/A</v>
      </c>
      <c r="O26" s="70" t="n">
        <f aca="false">IFERROR(VLOOKUP(B26,$A$6:$N$9,14,0),0)</f>
        <v>0</v>
      </c>
      <c r="P26" s="89" t="e">
        <f aca="false">VLOOKUP(A26,'DC Dist Allocations'!$A:$BC,50,0)</f>
        <v>#N/A</v>
      </c>
      <c r="Q26" s="89" t="e">
        <f aca="false">VLOOKUP(A26,'DC Dist Allocations'!$A:$BC,51,0)</f>
        <v>#N/A</v>
      </c>
      <c r="T26" s="70" t="e">
        <f aca="false">G26</f>
        <v>#N/A</v>
      </c>
      <c r="U26" s="70" t="e">
        <f aca="false">H26</f>
        <v>#N/A</v>
      </c>
      <c r="V26" s="89" t="e">
        <f aca="false">SUM(G26/100)*90</f>
        <v>#N/A</v>
      </c>
      <c r="W26" s="89" t="e">
        <f aca="false">SUM(G26/100)*75</f>
        <v>#N/A</v>
      </c>
      <c r="X26" s="89" t="e">
        <f aca="false">SUM(G26/100)*74.99</f>
        <v>#N/A</v>
      </c>
      <c r="Y26" s="90"/>
    </row>
    <row r="27" customFormat="false" ht="13.15" hidden="false" customHeight="false" outlineLevel="0" collapsed="false">
      <c r="A27" s="70" t="str">
        <f aca="false" t="array" ref="A27:A27">IFERROR(INDEX('DC Dist Allocations'!$A$1:$A$555,SMALL(IF('DC Dist Allocations'!$C$1:$C$555='Site check'!$A$2,ROW('DC Dist Allocations'!$A$1:$A$555)),ROWS($A$2:$A15))),"")</f>
        <v/>
      </c>
      <c r="B27" s="70" t="e">
        <f aca="false">VLOOKUP($A27,'DC Dist Allocations'!$A:$X,2,0)</f>
        <v>#N/A</v>
      </c>
      <c r="C27" s="70" t="e">
        <f aca="false">VLOOKUP($A27,'DC Dist Allocations'!$A:$X,3,0)</f>
        <v>#N/A</v>
      </c>
      <c r="D27" s="70" t="e">
        <f aca="false">VLOOKUP($A27,'DC Dist Allocations'!$A:$X,5,0)</f>
        <v>#N/A</v>
      </c>
      <c r="E27" s="70" t="e">
        <f aca="false">VLOOKUP($A27,'DC Dist Allocations'!$A:$X,6,0)</f>
        <v>#N/A</v>
      </c>
      <c r="F27" s="88" t="e">
        <f aca="false">VLOOKUP($A27,'DC Dist Allocations'!$A:$X,7,0)</f>
        <v>#N/A</v>
      </c>
      <c r="G27" s="70" t="e">
        <f aca="false">VLOOKUP($A27,'DC Dist Allocations'!$A:$X,8,0)</f>
        <v>#N/A</v>
      </c>
      <c r="H27" s="70" t="e">
        <f aca="false">VLOOKUP($A27,'DC Dist Allocations'!$A:$X,9,0)</f>
        <v>#N/A</v>
      </c>
      <c r="I27" s="70" t="e">
        <f aca="false">VLOOKUP($A27,'DC Dist Allocations'!$A:$X,10,0)</f>
        <v>#N/A</v>
      </c>
      <c r="J27" s="70" t="e">
        <f aca="false">VLOOKUP($A27,'DC Dist Allocations'!$A:$X,11,0)</f>
        <v>#N/A</v>
      </c>
      <c r="K27" s="70" t="e">
        <f aca="false">VLOOKUP($A27,'DC Dist Allocations'!$A:$X,12,0)</f>
        <v>#N/A</v>
      </c>
      <c r="L27" s="70" t="e">
        <f aca="false">VLOOKUP($A27,'DC Dist Allocations'!$A:$X,13,0)</f>
        <v>#N/A</v>
      </c>
      <c r="M27" s="70" t="e">
        <f aca="false">VLOOKUP($A27,'DC Dist Allocations'!$A:$X,14,0)</f>
        <v>#N/A</v>
      </c>
      <c r="N27" s="70" t="e">
        <f aca="false">VLOOKUP($A27,'DC Dist Allocations'!$A:$X,15,0)</f>
        <v>#N/A</v>
      </c>
      <c r="O27" s="70" t="n">
        <f aca="false">IFERROR(VLOOKUP(B27,$A$6:$N$9,14,0),0)</f>
        <v>0</v>
      </c>
      <c r="P27" s="89" t="e">
        <f aca="false">VLOOKUP(A27,'DC Dist Allocations'!$A:$BC,50,0)</f>
        <v>#N/A</v>
      </c>
      <c r="Q27" s="89" t="e">
        <f aca="false">VLOOKUP(A27,'DC Dist Allocations'!$A:$BC,51,0)</f>
        <v>#N/A</v>
      </c>
      <c r="T27" s="70" t="e">
        <f aca="false">G27</f>
        <v>#N/A</v>
      </c>
      <c r="U27" s="70" t="e">
        <f aca="false">H27</f>
        <v>#N/A</v>
      </c>
      <c r="V27" s="89" t="e">
        <f aca="false">SUM(G27/100)*90</f>
        <v>#N/A</v>
      </c>
      <c r="W27" s="89" t="e">
        <f aca="false">SUM(G27/100)*75</f>
        <v>#N/A</v>
      </c>
      <c r="X27" s="89" t="e">
        <f aca="false">SUM(G27/100)*74.99</f>
        <v>#N/A</v>
      </c>
      <c r="Y27" s="90"/>
    </row>
    <row r="28" customFormat="false" ht="13.15" hidden="false" customHeight="false" outlineLevel="0" collapsed="false">
      <c r="A28" s="70" t="str">
        <f aca="false" t="array" ref="A28:A28">IFERROR(INDEX('DC Dist Allocations'!$A$1:$A$555,SMALL(IF('DC Dist Allocations'!$C$1:$C$555='Site check'!$A$2,ROW('DC Dist Allocations'!$A$1:$A$555)),ROWS($A$2:$A16))),"")</f>
        <v/>
      </c>
      <c r="B28" s="70" t="e">
        <f aca="false">VLOOKUP($A28,'DC Dist Allocations'!$A:$X,2,0)</f>
        <v>#N/A</v>
      </c>
      <c r="C28" s="70" t="e">
        <f aca="false">VLOOKUP($A28,'DC Dist Allocations'!$A:$X,3,0)</f>
        <v>#N/A</v>
      </c>
      <c r="D28" s="70" t="e">
        <f aca="false">VLOOKUP($A28,'DC Dist Allocations'!$A:$X,5,0)</f>
        <v>#N/A</v>
      </c>
      <c r="E28" s="70" t="e">
        <f aca="false">VLOOKUP($A28,'DC Dist Allocations'!$A:$X,6,0)</f>
        <v>#N/A</v>
      </c>
      <c r="F28" s="88" t="e">
        <f aca="false">VLOOKUP($A28,'DC Dist Allocations'!$A:$X,7,0)</f>
        <v>#N/A</v>
      </c>
      <c r="G28" s="70" t="e">
        <f aca="false">VLOOKUP($A28,'DC Dist Allocations'!$A:$X,8,0)</f>
        <v>#N/A</v>
      </c>
      <c r="H28" s="70" t="e">
        <f aca="false">VLOOKUP($A28,'DC Dist Allocations'!$A:$X,9,0)</f>
        <v>#N/A</v>
      </c>
      <c r="I28" s="70" t="e">
        <f aca="false">VLOOKUP($A28,'DC Dist Allocations'!$A:$X,10,0)</f>
        <v>#N/A</v>
      </c>
      <c r="J28" s="70" t="e">
        <f aca="false">VLOOKUP($A28,'DC Dist Allocations'!$A:$X,11,0)</f>
        <v>#N/A</v>
      </c>
      <c r="K28" s="70" t="e">
        <f aca="false">VLOOKUP($A28,'DC Dist Allocations'!$A:$X,12,0)</f>
        <v>#N/A</v>
      </c>
      <c r="L28" s="70" t="e">
        <f aca="false">VLOOKUP($A28,'DC Dist Allocations'!$A:$X,13,0)</f>
        <v>#N/A</v>
      </c>
      <c r="M28" s="70" t="e">
        <f aca="false">VLOOKUP($A28,'DC Dist Allocations'!$A:$X,14,0)</f>
        <v>#N/A</v>
      </c>
      <c r="N28" s="70" t="e">
        <f aca="false">VLOOKUP($A28,'DC Dist Allocations'!$A:$X,15,0)</f>
        <v>#N/A</v>
      </c>
      <c r="O28" s="70" t="n">
        <f aca="false">IFERROR(VLOOKUP(B28,$A$6:$N$9,14,0),0)</f>
        <v>0</v>
      </c>
      <c r="P28" s="89" t="e">
        <f aca="false">VLOOKUP(A28,'DC Dist Allocations'!$A:$BC,50,0)</f>
        <v>#N/A</v>
      </c>
      <c r="Q28" s="89" t="e">
        <f aca="false">VLOOKUP(A28,'DC Dist Allocations'!$A:$BC,51,0)</f>
        <v>#N/A</v>
      </c>
      <c r="T28" s="70" t="e">
        <f aca="false">G28</f>
        <v>#N/A</v>
      </c>
      <c r="U28" s="70" t="e">
        <f aca="false">H28</f>
        <v>#N/A</v>
      </c>
      <c r="V28" s="89" t="e">
        <f aca="false">SUM(G28/100)*90</f>
        <v>#N/A</v>
      </c>
      <c r="W28" s="89" t="e">
        <f aca="false">SUM(G28/100)*75</f>
        <v>#N/A</v>
      </c>
      <c r="X28" s="89" t="e">
        <f aca="false">SUM(G28/100)*74.99</f>
        <v>#N/A</v>
      </c>
      <c r="Y28" s="90"/>
    </row>
    <row r="29" customFormat="false" ht="13.15" hidden="false" customHeight="false" outlineLevel="0" collapsed="false">
      <c r="A29" s="70" t="str">
        <f aca="false" t="array" ref="A29:A29">IFERROR(INDEX('DC Dist Allocations'!$A$1:$A$555,SMALL(IF('DC Dist Allocations'!$C$1:$C$555='Site check'!$A$2,ROW('DC Dist Allocations'!$A$1:$A$555)),ROWS($A$2:$A17))),"")</f>
        <v/>
      </c>
      <c r="B29" s="70" t="e">
        <f aca="false">VLOOKUP($A29,'DC Dist Allocations'!$A:$X,2,0)</f>
        <v>#N/A</v>
      </c>
      <c r="C29" s="70" t="e">
        <f aca="false">VLOOKUP($A29,'DC Dist Allocations'!$A:$X,3,0)</f>
        <v>#N/A</v>
      </c>
      <c r="D29" s="70" t="e">
        <f aca="false">VLOOKUP($A29,'DC Dist Allocations'!$A:$X,5,0)</f>
        <v>#N/A</v>
      </c>
      <c r="E29" s="70" t="e">
        <f aca="false">VLOOKUP($A29,'DC Dist Allocations'!$A:$X,6,0)</f>
        <v>#N/A</v>
      </c>
      <c r="F29" s="88" t="e">
        <f aca="false">VLOOKUP($A29,'DC Dist Allocations'!$A:$X,7,0)</f>
        <v>#N/A</v>
      </c>
      <c r="G29" s="70" t="e">
        <f aca="false">VLOOKUP($A29,'DC Dist Allocations'!$A:$X,8,0)</f>
        <v>#N/A</v>
      </c>
      <c r="H29" s="70" t="e">
        <f aca="false">VLOOKUP($A29,'DC Dist Allocations'!$A:$X,9,0)</f>
        <v>#N/A</v>
      </c>
      <c r="I29" s="70" t="e">
        <f aca="false">VLOOKUP($A29,'DC Dist Allocations'!$A:$X,10,0)</f>
        <v>#N/A</v>
      </c>
      <c r="J29" s="70" t="e">
        <f aca="false">VLOOKUP($A29,'DC Dist Allocations'!$A:$X,11,0)</f>
        <v>#N/A</v>
      </c>
      <c r="K29" s="70" t="e">
        <f aca="false">VLOOKUP($A29,'DC Dist Allocations'!$A:$X,12,0)</f>
        <v>#N/A</v>
      </c>
      <c r="L29" s="70" t="e">
        <f aca="false">VLOOKUP($A29,'DC Dist Allocations'!$A:$X,13,0)</f>
        <v>#N/A</v>
      </c>
      <c r="M29" s="70" t="e">
        <f aca="false">VLOOKUP($A29,'DC Dist Allocations'!$A:$X,14,0)</f>
        <v>#N/A</v>
      </c>
      <c r="N29" s="70" t="e">
        <f aca="false">VLOOKUP($A29,'DC Dist Allocations'!$A:$X,15,0)</f>
        <v>#N/A</v>
      </c>
      <c r="O29" s="70" t="n">
        <f aca="false">IFERROR(VLOOKUP(B29,$A$6:$N$9,14,0),0)</f>
        <v>0</v>
      </c>
      <c r="P29" s="89" t="e">
        <f aca="false">VLOOKUP(A29,'DC Dist Allocations'!$A:$BC,50,0)</f>
        <v>#N/A</v>
      </c>
      <c r="Q29" s="89" t="e">
        <f aca="false">VLOOKUP(A29,'DC Dist Allocations'!$A:$BC,51,0)</f>
        <v>#N/A</v>
      </c>
      <c r="T29" s="70" t="e">
        <f aca="false">G29</f>
        <v>#N/A</v>
      </c>
      <c r="U29" s="70" t="e">
        <f aca="false">H29</f>
        <v>#N/A</v>
      </c>
      <c r="V29" s="89" t="e">
        <f aca="false">SUM(G29/100)*90</f>
        <v>#N/A</v>
      </c>
      <c r="W29" s="89" t="e">
        <f aca="false">SUM(G29/100)*75</f>
        <v>#N/A</v>
      </c>
      <c r="X29" s="89" t="e">
        <f aca="false">SUM(G29/100)*74.99</f>
        <v>#N/A</v>
      </c>
    </row>
    <row r="30" customFormat="false" ht="13.15" hidden="false" customHeight="false" outlineLevel="0" collapsed="false">
      <c r="A30" s="70" t="str">
        <f aca="false" t="array" ref="A30:A30">IFERROR(INDEX('DC Dist Allocations'!$A$1:$A$555,SMALL(IF('DC Dist Allocations'!$C$1:$C$555='Site check'!$A$2,ROW('DC Dist Allocations'!$A$1:$A$555)),ROWS($A$2:$A18))),"")</f>
        <v/>
      </c>
      <c r="B30" s="70" t="e">
        <f aca="false">VLOOKUP($A30,'DC Dist Allocations'!$A:$X,2,0)</f>
        <v>#N/A</v>
      </c>
      <c r="C30" s="70" t="e">
        <f aca="false">VLOOKUP($A30,'DC Dist Allocations'!$A:$X,3,0)</f>
        <v>#N/A</v>
      </c>
      <c r="D30" s="70" t="e">
        <f aca="false">VLOOKUP($A30,'DC Dist Allocations'!$A:$X,5,0)</f>
        <v>#N/A</v>
      </c>
      <c r="E30" s="70" t="e">
        <f aca="false">VLOOKUP($A30,'DC Dist Allocations'!$A:$X,6,0)</f>
        <v>#N/A</v>
      </c>
      <c r="F30" s="88" t="e">
        <f aca="false">VLOOKUP($A30,'DC Dist Allocations'!$A:$X,7,0)</f>
        <v>#N/A</v>
      </c>
      <c r="G30" s="70" t="e">
        <f aca="false">VLOOKUP($A30,'DC Dist Allocations'!$A:$X,8,0)</f>
        <v>#N/A</v>
      </c>
      <c r="H30" s="70" t="e">
        <f aca="false">VLOOKUP($A30,'DC Dist Allocations'!$A:$X,9,0)</f>
        <v>#N/A</v>
      </c>
      <c r="I30" s="70" t="e">
        <f aca="false">VLOOKUP($A30,'DC Dist Allocations'!$A:$X,10,0)</f>
        <v>#N/A</v>
      </c>
      <c r="J30" s="70" t="e">
        <f aca="false">VLOOKUP($A30,'DC Dist Allocations'!$A:$X,11,0)</f>
        <v>#N/A</v>
      </c>
      <c r="K30" s="70" t="e">
        <f aca="false">VLOOKUP($A30,'DC Dist Allocations'!$A:$X,12,0)</f>
        <v>#N/A</v>
      </c>
      <c r="L30" s="70" t="e">
        <f aca="false">VLOOKUP($A30,'DC Dist Allocations'!$A:$X,13,0)</f>
        <v>#N/A</v>
      </c>
      <c r="M30" s="70" t="e">
        <f aca="false">VLOOKUP($A30,'DC Dist Allocations'!$A:$X,14,0)</f>
        <v>#N/A</v>
      </c>
      <c r="N30" s="70" t="e">
        <f aca="false">VLOOKUP($A30,'DC Dist Allocations'!$A:$X,15,0)</f>
        <v>#N/A</v>
      </c>
      <c r="O30" s="70" t="n">
        <f aca="false">IFERROR(VLOOKUP(B30,$A$6:$N$9,14,0),0)</f>
        <v>0</v>
      </c>
      <c r="P30" s="89" t="e">
        <f aca="false">VLOOKUP(A30,'DC Dist Allocations'!$A:$BC,50,0)</f>
        <v>#N/A</v>
      </c>
      <c r="Q30" s="89" t="e">
        <f aca="false">VLOOKUP(A30,'DC Dist Allocations'!$A:$BC,51,0)</f>
        <v>#N/A</v>
      </c>
      <c r="T30" s="70" t="e">
        <f aca="false">G30</f>
        <v>#N/A</v>
      </c>
      <c r="U30" s="70" t="e">
        <f aca="false">H30</f>
        <v>#N/A</v>
      </c>
      <c r="V30" s="89" t="e">
        <f aca="false">SUM(G30/100)*90</f>
        <v>#N/A</v>
      </c>
      <c r="W30" s="89" t="e">
        <f aca="false">SUM(G30/100)*75</f>
        <v>#N/A</v>
      </c>
      <c r="X30" s="89" t="e">
        <f aca="false">SUM(G30/100)*74.99</f>
        <v>#N/A</v>
      </c>
    </row>
    <row r="31" customFormat="false" ht="13.15" hidden="false" customHeight="false" outlineLevel="0" collapsed="false">
      <c r="A31" s="70" t="str">
        <f aca="false" t="array" ref="A31:A31">IFERROR(INDEX('DC Dist Allocations'!$A$1:$A$555,SMALL(IF('DC Dist Allocations'!$C$1:$C$555='Site check'!$A$2,ROW('DC Dist Allocations'!$A$1:$A$555)),ROWS($A$2:$A19))),"")</f>
        <v/>
      </c>
      <c r="B31" s="70" t="e">
        <f aca="false">VLOOKUP($A31,'DC Dist Allocations'!$A:$X,2,0)</f>
        <v>#N/A</v>
      </c>
      <c r="C31" s="70" t="e">
        <f aca="false">VLOOKUP($A31,'DC Dist Allocations'!$A:$X,3,0)</f>
        <v>#N/A</v>
      </c>
      <c r="D31" s="70" t="e">
        <f aca="false">VLOOKUP($A31,'DC Dist Allocations'!$A:$X,5,0)</f>
        <v>#N/A</v>
      </c>
      <c r="E31" s="70" t="e">
        <f aca="false">VLOOKUP($A31,'DC Dist Allocations'!$A:$X,6,0)</f>
        <v>#N/A</v>
      </c>
      <c r="F31" s="88" t="e">
        <f aca="false">VLOOKUP($A31,'DC Dist Allocations'!$A:$X,7,0)</f>
        <v>#N/A</v>
      </c>
      <c r="G31" s="70" t="e">
        <f aca="false">VLOOKUP($A31,'DC Dist Allocations'!$A:$X,8,0)</f>
        <v>#N/A</v>
      </c>
      <c r="H31" s="70" t="e">
        <f aca="false">VLOOKUP($A31,'DC Dist Allocations'!$A:$X,9,0)</f>
        <v>#N/A</v>
      </c>
      <c r="I31" s="70" t="e">
        <f aca="false">VLOOKUP($A31,'DC Dist Allocations'!$A:$X,10,0)</f>
        <v>#N/A</v>
      </c>
      <c r="J31" s="70" t="e">
        <f aca="false">VLOOKUP($A31,'DC Dist Allocations'!$A:$X,11,0)</f>
        <v>#N/A</v>
      </c>
      <c r="K31" s="70" t="e">
        <f aca="false">VLOOKUP($A31,'DC Dist Allocations'!$A:$X,12,0)</f>
        <v>#N/A</v>
      </c>
      <c r="L31" s="70" t="e">
        <f aca="false">VLOOKUP($A31,'DC Dist Allocations'!$A:$X,13,0)</f>
        <v>#N/A</v>
      </c>
      <c r="M31" s="70" t="e">
        <f aca="false">VLOOKUP($A31,'DC Dist Allocations'!$A:$X,14,0)</f>
        <v>#N/A</v>
      </c>
      <c r="N31" s="70" t="e">
        <f aca="false">VLOOKUP($A31,'DC Dist Allocations'!$A:$X,15,0)</f>
        <v>#N/A</v>
      </c>
      <c r="O31" s="70" t="n">
        <f aca="false">IFERROR(VLOOKUP(B31,$A$6:$N$9,14,0),0)</f>
        <v>0</v>
      </c>
      <c r="P31" s="89" t="e">
        <f aca="false">VLOOKUP(A31,'DC Dist Allocations'!$A:$BC,50,0)</f>
        <v>#N/A</v>
      </c>
      <c r="Q31" s="89" t="e">
        <f aca="false">VLOOKUP(A31,'DC Dist Allocations'!$A:$BC,51,0)</f>
        <v>#N/A</v>
      </c>
      <c r="T31" s="70" t="e">
        <f aca="false">G31</f>
        <v>#N/A</v>
      </c>
      <c r="U31" s="70" t="e">
        <f aca="false">H31</f>
        <v>#N/A</v>
      </c>
      <c r="V31" s="89" t="e">
        <f aca="false">SUM(G31/100)*90</f>
        <v>#N/A</v>
      </c>
      <c r="W31" s="89" t="e">
        <f aca="false">SUM(G31/100)*75</f>
        <v>#N/A</v>
      </c>
      <c r="X31" s="89" t="e">
        <f aca="false">SUM(G31/100)*74.99</f>
        <v>#N/A</v>
      </c>
    </row>
    <row r="32" customFormat="false" ht="13.15" hidden="false" customHeight="false" outlineLevel="0" collapsed="false">
      <c r="A32" s="70" t="str">
        <f aca="false" t="array" ref="A32:A32">IFERROR(INDEX('DC Dist Allocations'!$A$1:$A$555,SMALL(IF('DC Dist Allocations'!$C$1:$C$555='Site check'!$A$2,ROW('DC Dist Allocations'!$A$1:$A$555)),ROWS($A$2:$A20))),"")</f>
        <v/>
      </c>
      <c r="B32" s="70" t="e">
        <f aca="false">VLOOKUP($A32,'DC Dist Allocations'!$A:$X,2,0)</f>
        <v>#N/A</v>
      </c>
      <c r="C32" s="70" t="e">
        <f aca="false">VLOOKUP($A32,'DC Dist Allocations'!$A:$X,3,0)</f>
        <v>#N/A</v>
      </c>
      <c r="D32" s="70" t="e">
        <f aca="false">VLOOKUP($A32,'DC Dist Allocations'!$A:$X,5,0)</f>
        <v>#N/A</v>
      </c>
      <c r="E32" s="70" t="e">
        <f aca="false">VLOOKUP($A32,'DC Dist Allocations'!$A:$X,6,0)</f>
        <v>#N/A</v>
      </c>
      <c r="F32" s="88" t="e">
        <f aca="false">VLOOKUP($A32,'DC Dist Allocations'!$A:$X,7,0)</f>
        <v>#N/A</v>
      </c>
      <c r="G32" s="70" t="e">
        <f aca="false">VLOOKUP($A32,'DC Dist Allocations'!$A:$X,8,0)</f>
        <v>#N/A</v>
      </c>
      <c r="H32" s="70" t="e">
        <f aca="false">VLOOKUP($A32,'DC Dist Allocations'!$A:$X,9,0)</f>
        <v>#N/A</v>
      </c>
      <c r="I32" s="70" t="e">
        <f aca="false">VLOOKUP($A32,'DC Dist Allocations'!$A:$X,10,0)</f>
        <v>#N/A</v>
      </c>
      <c r="J32" s="70" t="e">
        <f aca="false">VLOOKUP($A32,'DC Dist Allocations'!$A:$X,11,0)</f>
        <v>#N/A</v>
      </c>
      <c r="K32" s="70" t="e">
        <f aca="false">VLOOKUP($A32,'DC Dist Allocations'!$A:$X,12,0)</f>
        <v>#N/A</v>
      </c>
      <c r="L32" s="70" t="e">
        <f aca="false">VLOOKUP($A32,'DC Dist Allocations'!$A:$X,13,0)</f>
        <v>#N/A</v>
      </c>
      <c r="M32" s="70" t="e">
        <f aca="false">VLOOKUP($A32,'DC Dist Allocations'!$A:$X,14,0)</f>
        <v>#N/A</v>
      </c>
      <c r="N32" s="70" t="e">
        <f aca="false">VLOOKUP($A32,'DC Dist Allocations'!$A:$X,15,0)</f>
        <v>#N/A</v>
      </c>
      <c r="O32" s="70" t="n">
        <f aca="false">IFERROR(VLOOKUP(B32,$A$6:$N$9,14,0),0)</f>
        <v>0</v>
      </c>
      <c r="P32" s="89" t="e">
        <f aca="false">VLOOKUP(A32,'DC Dist Allocations'!$A:$BC,50,0)</f>
        <v>#N/A</v>
      </c>
      <c r="Q32" s="89" t="e">
        <f aca="false">VLOOKUP(A32,'DC Dist Allocations'!$A:$BC,51,0)</f>
        <v>#N/A</v>
      </c>
      <c r="T32" s="70" t="e">
        <f aca="false">G32</f>
        <v>#N/A</v>
      </c>
      <c r="U32" s="70" t="e">
        <f aca="false">H32</f>
        <v>#N/A</v>
      </c>
      <c r="V32" s="89" t="e">
        <f aca="false">SUM(G32/100)*90</f>
        <v>#N/A</v>
      </c>
      <c r="W32" s="89" t="e">
        <f aca="false">SUM(G32/100)*75</f>
        <v>#N/A</v>
      </c>
      <c r="X32" s="89" t="e">
        <f aca="false">SUM(G32/100)*74.99</f>
        <v>#N/A</v>
      </c>
    </row>
    <row r="33" customFormat="false" ht="13.15" hidden="false" customHeight="false" outlineLevel="0" collapsed="false">
      <c r="A33" s="70" t="str">
        <f aca="false" t="array" ref="A33:A33">IFERROR(INDEX('DC Dist Allocations'!$A$1:$A$555,SMALL(IF('DC Dist Allocations'!$C$1:$C$555='Site check'!$A$2,ROW('DC Dist Allocations'!$A$1:$A$555)),ROWS($A$2:$A21))),"")</f>
        <v/>
      </c>
      <c r="B33" s="70" t="e">
        <f aca="false">VLOOKUP($A33,'DC Dist Allocations'!$A:$X,2,0)</f>
        <v>#N/A</v>
      </c>
      <c r="C33" s="70" t="e">
        <f aca="false">VLOOKUP($A33,'DC Dist Allocations'!$A:$X,3,0)</f>
        <v>#N/A</v>
      </c>
      <c r="D33" s="70" t="e">
        <f aca="false">VLOOKUP($A33,'DC Dist Allocations'!$A:$X,5,0)</f>
        <v>#N/A</v>
      </c>
      <c r="E33" s="70" t="e">
        <f aca="false">VLOOKUP($A33,'DC Dist Allocations'!$A:$X,6,0)</f>
        <v>#N/A</v>
      </c>
      <c r="F33" s="88" t="e">
        <f aca="false">VLOOKUP($A33,'DC Dist Allocations'!$A:$X,7,0)</f>
        <v>#N/A</v>
      </c>
      <c r="G33" s="70" t="e">
        <f aca="false">VLOOKUP($A33,'DC Dist Allocations'!$A:$X,8,0)</f>
        <v>#N/A</v>
      </c>
      <c r="H33" s="70" t="e">
        <f aca="false">VLOOKUP($A33,'DC Dist Allocations'!$A:$X,9,0)</f>
        <v>#N/A</v>
      </c>
      <c r="I33" s="70" t="e">
        <f aca="false">VLOOKUP($A33,'DC Dist Allocations'!$A:$X,10,0)</f>
        <v>#N/A</v>
      </c>
      <c r="J33" s="70" t="e">
        <f aca="false">VLOOKUP($A33,'DC Dist Allocations'!$A:$X,11,0)</f>
        <v>#N/A</v>
      </c>
      <c r="K33" s="70" t="e">
        <f aca="false">VLOOKUP($A33,'DC Dist Allocations'!$A:$X,12,0)</f>
        <v>#N/A</v>
      </c>
      <c r="L33" s="70" t="e">
        <f aca="false">VLOOKUP($A33,'DC Dist Allocations'!$A:$X,13,0)</f>
        <v>#N/A</v>
      </c>
      <c r="M33" s="70" t="e">
        <f aca="false">VLOOKUP($A33,'DC Dist Allocations'!$A:$X,14,0)</f>
        <v>#N/A</v>
      </c>
      <c r="N33" s="70" t="e">
        <f aca="false">VLOOKUP($A33,'DC Dist Allocations'!$A:$X,15,0)</f>
        <v>#N/A</v>
      </c>
      <c r="O33" s="70" t="n">
        <f aca="false">IFERROR(VLOOKUP(B33,$A$6:$N$9,14,0),0)</f>
        <v>0</v>
      </c>
      <c r="P33" s="89" t="e">
        <f aca="false">VLOOKUP(A33,'DC Dist Allocations'!$A:$BC,50,0)</f>
        <v>#N/A</v>
      </c>
      <c r="Q33" s="89" t="e">
        <f aca="false">VLOOKUP(A33,'DC Dist Allocations'!$A:$BC,51,0)</f>
        <v>#N/A</v>
      </c>
      <c r="T33" s="70" t="e">
        <f aca="false">G33</f>
        <v>#N/A</v>
      </c>
      <c r="U33" s="70" t="e">
        <f aca="false">H33</f>
        <v>#N/A</v>
      </c>
      <c r="V33" s="89" t="e">
        <f aca="false">SUM(G33/100)*90</f>
        <v>#N/A</v>
      </c>
      <c r="W33" s="89" t="e">
        <f aca="false">SUM(G33/100)*75</f>
        <v>#N/A</v>
      </c>
      <c r="X33" s="89" t="e">
        <f aca="false">SUM(G33/100)*74.99</f>
        <v>#N/A</v>
      </c>
    </row>
    <row r="34" customFormat="false" ht="13.15" hidden="false" customHeight="false" outlineLevel="0" collapsed="false">
      <c r="A34" s="70" t="str">
        <f aca="false" t="array" ref="A34:A34">IFERROR(INDEX('DC Dist Allocations'!$A$1:$A$555,SMALL(IF('DC Dist Allocations'!$C$1:$C$555='Site check'!$A$2,ROW('DC Dist Allocations'!$A$1:$A$555)),ROWS($A$2:$A22))),"")</f>
        <v/>
      </c>
      <c r="B34" s="70" t="e">
        <f aca="false">VLOOKUP($A34,'DC Dist Allocations'!$A:$X,2,0)</f>
        <v>#N/A</v>
      </c>
      <c r="C34" s="70" t="e">
        <f aca="false">VLOOKUP($A34,'DC Dist Allocations'!$A:$X,3,0)</f>
        <v>#N/A</v>
      </c>
      <c r="D34" s="70" t="e">
        <f aca="false">VLOOKUP($A34,'DC Dist Allocations'!$A:$X,5,0)</f>
        <v>#N/A</v>
      </c>
      <c r="E34" s="70" t="e">
        <f aca="false">VLOOKUP($A34,'DC Dist Allocations'!$A:$X,6,0)</f>
        <v>#N/A</v>
      </c>
      <c r="F34" s="88" t="e">
        <f aca="false">VLOOKUP($A34,'DC Dist Allocations'!$A:$X,7,0)</f>
        <v>#N/A</v>
      </c>
      <c r="G34" s="70" t="e">
        <f aca="false">VLOOKUP($A34,'DC Dist Allocations'!$A:$X,8,0)</f>
        <v>#N/A</v>
      </c>
      <c r="H34" s="70" t="e">
        <f aca="false">VLOOKUP($A34,'DC Dist Allocations'!$A:$X,9,0)</f>
        <v>#N/A</v>
      </c>
      <c r="I34" s="70" t="e">
        <f aca="false">VLOOKUP($A34,'DC Dist Allocations'!$A:$X,10,0)</f>
        <v>#N/A</v>
      </c>
      <c r="J34" s="70" t="e">
        <f aca="false">VLOOKUP($A34,'DC Dist Allocations'!$A:$X,11,0)</f>
        <v>#N/A</v>
      </c>
      <c r="K34" s="70" t="e">
        <f aca="false">VLOOKUP($A34,'DC Dist Allocations'!$A:$X,12,0)</f>
        <v>#N/A</v>
      </c>
      <c r="L34" s="70" t="e">
        <f aca="false">VLOOKUP($A34,'DC Dist Allocations'!$A:$X,13,0)</f>
        <v>#N/A</v>
      </c>
      <c r="M34" s="70" t="e">
        <f aca="false">VLOOKUP($A34,'DC Dist Allocations'!$A:$X,14,0)</f>
        <v>#N/A</v>
      </c>
      <c r="N34" s="70" t="e">
        <f aca="false">VLOOKUP($A34,'DC Dist Allocations'!$A:$X,15,0)</f>
        <v>#N/A</v>
      </c>
      <c r="O34" s="70" t="n">
        <f aca="false">IFERROR(VLOOKUP(B34,$A$6:$N$9,14,0),0)</f>
        <v>0</v>
      </c>
      <c r="P34" s="89" t="e">
        <f aca="false">VLOOKUP(A34,'DC Dist Allocations'!$A:$BC,50,0)</f>
        <v>#N/A</v>
      </c>
      <c r="Q34" s="89" t="e">
        <f aca="false">VLOOKUP(A34,'DC Dist Allocations'!$A:$BC,51,0)</f>
        <v>#N/A</v>
      </c>
      <c r="T34" s="70" t="e">
        <f aca="false">G34</f>
        <v>#N/A</v>
      </c>
      <c r="U34" s="70" t="e">
        <f aca="false">H34</f>
        <v>#N/A</v>
      </c>
      <c r="V34" s="89" t="e">
        <f aca="false">SUM(G34/100)*90</f>
        <v>#N/A</v>
      </c>
      <c r="W34" s="89" t="e">
        <f aca="false">SUM(G34/100)*75</f>
        <v>#N/A</v>
      </c>
      <c r="X34" s="89" t="e">
        <f aca="false">SUM(G34/100)*74.99</f>
        <v>#N/A</v>
      </c>
    </row>
    <row r="35" customFormat="false" ht="13.15" hidden="false" customHeight="false" outlineLevel="0" collapsed="false">
      <c r="A35" s="70" t="str">
        <f aca="false" t="array" ref="A35:A35">IFERROR(INDEX('DC Dist Allocations'!$A$1:$A$555,SMALL(IF('DC Dist Allocations'!$C$1:$C$555='Site check'!$A$2,ROW('DC Dist Allocations'!$A$1:$A$555)),ROWS($A$2:$A23))),"")</f>
        <v/>
      </c>
      <c r="B35" s="70" t="e">
        <f aca="false">VLOOKUP($A35,'DC Dist Allocations'!$A:$X,2,0)</f>
        <v>#N/A</v>
      </c>
      <c r="C35" s="70" t="e">
        <f aca="false">VLOOKUP($A35,'DC Dist Allocations'!$A:$X,3,0)</f>
        <v>#N/A</v>
      </c>
      <c r="D35" s="70" t="e">
        <f aca="false">VLOOKUP($A35,'DC Dist Allocations'!$A:$X,5,0)</f>
        <v>#N/A</v>
      </c>
      <c r="E35" s="70" t="e">
        <f aca="false">VLOOKUP($A35,'DC Dist Allocations'!$A:$X,6,0)</f>
        <v>#N/A</v>
      </c>
      <c r="F35" s="88" t="e">
        <f aca="false">VLOOKUP($A35,'DC Dist Allocations'!$A:$X,7,0)</f>
        <v>#N/A</v>
      </c>
      <c r="G35" s="70" t="e">
        <f aca="false">VLOOKUP($A35,'DC Dist Allocations'!$A:$X,8,0)</f>
        <v>#N/A</v>
      </c>
      <c r="H35" s="70" t="e">
        <f aca="false">VLOOKUP($A35,'DC Dist Allocations'!$A:$X,9,0)</f>
        <v>#N/A</v>
      </c>
      <c r="I35" s="70" t="e">
        <f aca="false">VLOOKUP($A35,'DC Dist Allocations'!$A:$X,10,0)</f>
        <v>#N/A</v>
      </c>
      <c r="J35" s="70" t="e">
        <f aca="false">VLOOKUP($A35,'DC Dist Allocations'!$A:$X,11,0)</f>
        <v>#N/A</v>
      </c>
      <c r="K35" s="70" t="e">
        <f aca="false">VLOOKUP($A35,'DC Dist Allocations'!$A:$X,12,0)</f>
        <v>#N/A</v>
      </c>
      <c r="L35" s="70" t="e">
        <f aca="false">VLOOKUP($A35,'DC Dist Allocations'!$A:$X,13,0)</f>
        <v>#N/A</v>
      </c>
      <c r="M35" s="70" t="e">
        <f aca="false">VLOOKUP($A35,'DC Dist Allocations'!$A:$X,14,0)</f>
        <v>#N/A</v>
      </c>
      <c r="N35" s="70" t="e">
        <f aca="false">VLOOKUP($A35,'DC Dist Allocations'!$A:$X,15,0)</f>
        <v>#N/A</v>
      </c>
      <c r="O35" s="70" t="n">
        <f aca="false">IFERROR(VLOOKUP(B35,$A$6:$N$9,14,0),0)</f>
        <v>0</v>
      </c>
      <c r="P35" s="89" t="e">
        <f aca="false">VLOOKUP(A35,'DC Dist Allocations'!$A:$BC,50,0)</f>
        <v>#N/A</v>
      </c>
      <c r="Q35" s="89" t="e">
        <f aca="false">VLOOKUP(A35,'DC Dist Allocations'!$A:$BC,51,0)</f>
        <v>#N/A</v>
      </c>
      <c r="T35" s="70" t="e">
        <f aca="false">G35</f>
        <v>#N/A</v>
      </c>
      <c r="U35" s="70" t="e">
        <f aca="false">H35</f>
        <v>#N/A</v>
      </c>
      <c r="V35" s="89" t="e">
        <f aca="false">SUM(G35/100)*90</f>
        <v>#N/A</v>
      </c>
      <c r="W35" s="89" t="e">
        <f aca="false">SUM(G35/100)*75</f>
        <v>#N/A</v>
      </c>
      <c r="X35" s="89" t="e">
        <f aca="false">SUM(G35/100)*74.99</f>
        <v>#N/A</v>
      </c>
    </row>
    <row r="36" customFormat="false" ht="13.15" hidden="false" customHeight="false" outlineLevel="0" collapsed="false">
      <c r="A36" s="70" t="str">
        <f aca="false" t="array" ref="A36:A36">IFERROR(INDEX('DC Dist Allocations'!$A$1:$A$555,SMALL(IF('DC Dist Allocations'!$C$1:$C$555='Site check'!$A$2,ROW('DC Dist Allocations'!$A$1:$A$555)),ROWS($A$2:$A24))),"")</f>
        <v/>
      </c>
      <c r="B36" s="70" t="e">
        <f aca="false">VLOOKUP($A36,'DC Dist Allocations'!$A:$X,2,0)</f>
        <v>#N/A</v>
      </c>
      <c r="C36" s="70" t="e">
        <f aca="false">VLOOKUP($A36,'DC Dist Allocations'!$A:$X,3,0)</f>
        <v>#N/A</v>
      </c>
      <c r="D36" s="70" t="e">
        <f aca="false">VLOOKUP($A36,'DC Dist Allocations'!$A:$X,5,0)</f>
        <v>#N/A</v>
      </c>
      <c r="E36" s="70" t="e">
        <f aca="false">VLOOKUP($A36,'DC Dist Allocations'!$A:$X,6,0)</f>
        <v>#N/A</v>
      </c>
      <c r="F36" s="88" t="e">
        <f aca="false">VLOOKUP($A36,'DC Dist Allocations'!$A:$X,7,0)</f>
        <v>#N/A</v>
      </c>
      <c r="G36" s="70" t="e">
        <f aca="false">VLOOKUP($A36,'DC Dist Allocations'!$A:$X,8,0)</f>
        <v>#N/A</v>
      </c>
      <c r="H36" s="70" t="e">
        <f aca="false">VLOOKUP($A36,'DC Dist Allocations'!$A:$X,9,0)</f>
        <v>#N/A</v>
      </c>
      <c r="I36" s="70" t="e">
        <f aca="false">VLOOKUP($A36,'DC Dist Allocations'!$A:$X,10,0)</f>
        <v>#N/A</v>
      </c>
      <c r="J36" s="70" t="e">
        <f aca="false">VLOOKUP($A36,'DC Dist Allocations'!$A:$X,11,0)</f>
        <v>#N/A</v>
      </c>
      <c r="K36" s="70" t="e">
        <f aca="false">VLOOKUP($A36,'DC Dist Allocations'!$A:$X,12,0)</f>
        <v>#N/A</v>
      </c>
      <c r="L36" s="70" t="e">
        <f aca="false">VLOOKUP($A36,'DC Dist Allocations'!$A:$X,13,0)</f>
        <v>#N/A</v>
      </c>
      <c r="M36" s="70" t="e">
        <f aca="false">VLOOKUP($A36,'DC Dist Allocations'!$A:$X,14,0)</f>
        <v>#N/A</v>
      </c>
      <c r="N36" s="70" t="e">
        <f aca="false">VLOOKUP($A36,'DC Dist Allocations'!$A:$X,15,0)</f>
        <v>#N/A</v>
      </c>
      <c r="O36" s="70" t="n">
        <f aca="false">IFERROR(VLOOKUP(B36,$A$6:$N$9,14,0),0)</f>
        <v>0</v>
      </c>
      <c r="P36" s="89" t="e">
        <f aca="false">VLOOKUP(A36,'DC Dist Allocations'!$A:$BC,50,0)</f>
        <v>#N/A</v>
      </c>
      <c r="Q36" s="89" t="e">
        <f aca="false">VLOOKUP(A36,'DC Dist Allocations'!$A:$BC,51,0)</f>
        <v>#N/A</v>
      </c>
      <c r="T36" s="70" t="e">
        <f aca="false">G36</f>
        <v>#N/A</v>
      </c>
      <c r="U36" s="70" t="e">
        <f aca="false">H36</f>
        <v>#N/A</v>
      </c>
      <c r="V36" s="89" t="e">
        <f aca="false">SUM(G36/100)*90</f>
        <v>#N/A</v>
      </c>
      <c r="W36" s="89" t="e">
        <f aca="false">SUM(G36/100)*75</f>
        <v>#N/A</v>
      </c>
      <c r="X36" s="89" t="e">
        <f aca="false">SUM(G36/100)*74.99</f>
        <v>#N/A</v>
      </c>
    </row>
    <row r="37" customFormat="false" ht="13.15" hidden="false" customHeight="false" outlineLevel="0" collapsed="false">
      <c r="A37" s="70" t="str">
        <f aca="false" t="array" ref="A37:A37">IFERROR(INDEX('DC Dist Allocations'!$A$1:$A$555,SMALL(IF('DC Dist Allocations'!$C$1:$C$555='Site check'!$A$2,ROW('DC Dist Allocations'!$A$1:$A$555)),ROWS($A$2:$A25))),"")</f>
        <v/>
      </c>
      <c r="B37" s="70" t="e">
        <f aca="false">VLOOKUP($A37,'DC Dist Allocations'!$A:$X,2,0)</f>
        <v>#N/A</v>
      </c>
      <c r="C37" s="70" t="e">
        <f aca="false">VLOOKUP($A37,'DC Dist Allocations'!$A:$X,3,0)</f>
        <v>#N/A</v>
      </c>
      <c r="D37" s="70" t="e">
        <f aca="false">VLOOKUP($A37,'DC Dist Allocations'!$A:$X,5,0)</f>
        <v>#N/A</v>
      </c>
      <c r="E37" s="70" t="e">
        <f aca="false">VLOOKUP($A37,'DC Dist Allocations'!$A:$X,6,0)</f>
        <v>#N/A</v>
      </c>
      <c r="F37" s="88" t="e">
        <f aca="false">VLOOKUP($A37,'DC Dist Allocations'!$A:$X,7,0)</f>
        <v>#N/A</v>
      </c>
      <c r="G37" s="70" t="e">
        <f aca="false">VLOOKUP($A37,'DC Dist Allocations'!$A:$X,8,0)</f>
        <v>#N/A</v>
      </c>
      <c r="H37" s="70" t="e">
        <f aca="false">VLOOKUP($A37,'DC Dist Allocations'!$A:$X,9,0)</f>
        <v>#N/A</v>
      </c>
      <c r="I37" s="70" t="e">
        <f aca="false">VLOOKUP($A37,'DC Dist Allocations'!$A:$X,10,0)</f>
        <v>#N/A</v>
      </c>
      <c r="J37" s="70" t="e">
        <f aca="false">VLOOKUP($A37,'DC Dist Allocations'!$A:$X,11,0)</f>
        <v>#N/A</v>
      </c>
      <c r="K37" s="70" t="e">
        <f aca="false">VLOOKUP($A37,'DC Dist Allocations'!$A:$X,12,0)</f>
        <v>#N/A</v>
      </c>
      <c r="L37" s="70" t="e">
        <f aca="false">VLOOKUP($A37,'DC Dist Allocations'!$A:$X,13,0)</f>
        <v>#N/A</v>
      </c>
      <c r="M37" s="70" t="e">
        <f aca="false">VLOOKUP($A37,'DC Dist Allocations'!$A:$X,14,0)</f>
        <v>#N/A</v>
      </c>
      <c r="N37" s="70" t="e">
        <f aca="false">VLOOKUP($A37,'DC Dist Allocations'!$A:$X,15,0)</f>
        <v>#N/A</v>
      </c>
      <c r="O37" s="70" t="n">
        <f aca="false">IFERROR(VLOOKUP(B37,$A$6:$N$9,14,0),0)</f>
        <v>0</v>
      </c>
      <c r="P37" s="89" t="e">
        <f aca="false">VLOOKUP(A37,'DC Dist Allocations'!$A:$BC,50,0)</f>
        <v>#N/A</v>
      </c>
      <c r="Q37" s="89" t="e">
        <f aca="false">VLOOKUP(A37,'DC Dist Allocations'!$A:$BC,51,0)</f>
        <v>#N/A</v>
      </c>
      <c r="T37" s="70" t="e">
        <f aca="false">G37</f>
        <v>#N/A</v>
      </c>
      <c r="U37" s="70" t="e">
        <f aca="false">H37</f>
        <v>#N/A</v>
      </c>
      <c r="V37" s="89" t="e">
        <f aca="false">SUM(G37/100)*90</f>
        <v>#N/A</v>
      </c>
      <c r="W37" s="89" t="e">
        <f aca="false">SUM(G37/100)*75</f>
        <v>#N/A</v>
      </c>
      <c r="X37" s="89" t="e">
        <f aca="false">SUM(G37/100)*74.99</f>
        <v>#N/A</v>
      </c>
    </row>
    <row r="38" customFormat="false" ht="13.15" hidden="false" customHeight="false" outlineLevel="0" collapsed="false">
      <c r="A38" s="70" t="str">
        <f aca="false" t="array" ref="A38:A38">IFERROR(INDEX('DC Dist Allocations'!$A$1:$A$555,SMALL(IF('DC Dist Allocations'!$C$1:$C$555='Site check'!$A$2,ROW('DC Dist Allocations'!$A$1:$A$555)),ROWS($A$2:$A26))),"")</f>
        <v/>
      </c>
      <c r="B38" s="70" t="e">
        <f aca="false">VLOOKUP($A38,'DC Dist Allocations'!$A:$X,2,0)</f>
        <v>#N/A</v>
      </c>
      <c r="C38" s="70" t="e">
        <f aca="false">VLOOKUP($A38,'DC Dist Allocations'!$A:$X,3,0)</f>
        <v>#N/A</v>
      </c>
      <c r="D38" s="70" t="e">
        <f aca="false">VLOOKUP($A38,'DC Dist Allocations'!$A:$X,5,0)</f>
        <v>#N/A</v>
      </c>
      <c r="E38" s="70" t="e">
        <f aca="false">VLOOKUP($A38,'DC Dist Allocations'!$A:$X,6,0)</f>
        <v>#N/A</v>
      </c>
      <c r="F38" s="88" t="e">
        <f aca="false">VLOOKUP($A38,'DC Dist Allocations'!$A:$X,7,0)</f>
        <v>#N/A</v>
      </c>
      <c r="G38" s="70" t="e">
        <f aca="false">VLOOKUP($A38,'DC Dist Allocations'!$A:$X,8,0)</f>
        <v>#N/A</v>
      </c>
      <c r="H38" s="70" t="e">
        <f aca="false">VLOOKUP($A38,'DC Dist Allocations'!$A:$X,9,0)</f>
        <v>#N/A</v>
      </c>
      <c r="I38" s="70" t="e">
        <f aca="false">VLOOKUP($A38,'DC Dist Allocations'!$A:$X,10,0)</f>
        <v>#N/A</v>
      </c>
      <c r="J38" s="70" t="e">
        <f aca="false">VLOOKUP($A38,'DC Dist Allocations'!$A:$X,11,0)</f>
        <v>#N/A</v>
      </c>
      <c r="K38" s="70" t="e">
        <f aca="false">VLOOKUP($A38,'DC Dist Allocations'!$A:$X,12,0)</f>
        <v>#N/A</v>
      </c>
      <c r="L38" s="70" t="e">
        <f aca="false">VLOOKUP($A38,'DC Dist Allocations'!$A:$X,13,0)</f>
        <v>#N/A</v>
      </c>
      <c r="M38" s="70" t="e">
        <f aca="false">VLOOKUP($A38,'DC Dist Allocations'!$A:$X,14,0)</f>
        <v>#N/A</v>
      </c>
      <c r="N38" s="70" t="e">
        <f aca="false">VLOOKUP($A38,'DC Dist Allocations'!$A:$X,15,0)</f>
        <v>#N/A</v>
      </c>
      <c r="O38" s="70" t="n">
        <f aca="false">IFERROR(VLOOKUP(B38,$A$6:$N$9,14,0),0)</f>
        <v>0</v>
      </c>
      <c r="P38" s="89" t="e">
        <f aca="false">VLOOKUP(A38,'DC Dist Allocations'!$A:$BC,50,0)</f>
        <v>#N/A</v>
      </c>
      <c r="Q38" s="89" t="e">
        <f aca="false">VLOOKUP(A38,'DC Dist Allocations'!$A:$BC,51,0)</f>
        <v>#N/A</v>
      </c>
      <c r="T38" s="70" t="e">
        <f aca="false">G38</f>
        <v>#N/A</v>
      </c>
      <c r="U38" s="70" t="e">
        <f aca="false">H38</f>
        <v>#N/A</v>
      </c>
      <c r="V38" s="89" t="e">
        <f aca="false">SUM(G38/100)*90</f>
        <v>#N/A</v>
      </c>
      <c r="W38" s="89" t="e">
        <f aca="false">SUM(G38/100)*75</f>
        <v>#N/A</v>
      </c>
      <c r="X38" s="89" t="e">
        <f aca="false">SUM(G38/100)*74.99</f>
        <v>#N/A</v>
      </c>
    </row>
    <row r="39" customFormat="false" ht="13.15" hidden="false" customHeight="false" outlineLevel="0" collapsed="false">
      <c r="A39" s="70" t="str">
        <f aca="false" t="array" ref="A39:A39">IFERROR(INDEX('DC Dist Allocations'!$A$1:$A$555,SMALL(IF('DC Dist Allocations'!$C$1:$C$555='Site check'!$A$2,ROW('DC Dist Allocations'!$A$1:$A$555)),ROWS($A$2:$A27))),"")</f>
        <v/>
      </c>
      <c r="B39" s="70" t="e">
        <f aca="false">VLOOKUP($A39,'DC Dist Allocations'!$A:$X,2,0)</f>
        <v>#N/A</v>
      </c>
      <c r="C39" s="70" t="e">
        <f aca="false">VLOOKUP($A39,'DC Dist Allocations'!$A:$X,3,0)</f>
        <v>#N/A</v>
      </c>
      <c r="D39" s="70" t="e">
        <f aca="false">VLOOKUP($A39,'DC Dist Allocations'!$A:$X,5,0)</f>
        <v>#N/A</v>
      </c>
      <c r="E39" s="70" t="e">
        <f aca="false">VLOOKUP($A39,'DC Dist Allocations'!$A:$X,6,0)</f>
        <v>#N/A</v>
      </c>
      <c r="F39" s="88" t="e">
        <f aca="false">VLOOKUP($A39,'DC Dist Allocations'!$A:$X,7,0)</f>
        <v>#N/A</v>
      </c>
      <c r="G39" s="70" t="e">
        <f aca="false">VLOOKUP($A39,'DC Dist Allocations'!$A:$X,8,0)</f>
        <v>#N/A</v>
      </c>
      <c r="H39" s="70" t="e">
        <f aca="false">VLOOKUP($A39,'DC Dist Allocations'!$A:$X,9,0)</f>
        <v>#N/A</v>
      </c>
      <c r="I39" s="70" t="e">
        <f aca="false">VLOOKUP($A39,'DC Dist Allocations'!$A:$X,10,0)</f>
        <v>#N/A</v>
      </c>
      <c r="J39" s="70" t="e">
        <f aca="false">VLOOKUP($A39,'DC Dist Allocations'!$A:$X,11,0)</f>
        <v>#N/A</v>
      </c>
      <c r="K39" s="70" t="e">
        <f aca="false">VLOOKUP($A39,'DC Dist Allocations'!$A:$X,12,0)</f>
        <v>#N/A</v>
      </c>
      <c r="L39" s="70" t="e">
        <f aca="false">VLOOKUP($A39,'DC Dist Allocations'!$A:$X,13,0)</f>
        <v>#N/A</v>
      </c>
      <c r="M39" s="70" t="e">
        <f aca="false">VLOOKUP($A39,'DC Dist Allocations'!$A:$X,14,0)</f>
        <v>#N/A</v>
      </c>
      <c r="N39" s="70" t="e">
        <f aca="false">VLOOKUP($A39,'DC Dist Allocations'!$A:$X,15,0)</f>
        <v>#N/A</v>
      </c>
      <c r="O39" s="70" t="n">
        <f aca="false">IFERROR(VLOOKUP(B39,$A$6:$N$9,14,0),0)</f>
        <v>0</v>
      </c>
      <c r="P39" s="89" t="e">
        <f aca="false">VLOOKUP(A39,'DC Dist Allocations'!$A:$BC,50,0)</f>
        <v>#N/A</v>
      </c>
      <c r="Q39" s="89" t="e">
        <f aca="false">VLOOKUP(A39,'DC Dist Allocations'!$A:$BC,51,0)</f>
        <v>#N/A</v>
      </c>
      <c r="T39" s="70" t="e">
        <f aca="false">G39</f>
        <v>#N/A</v>
      </c>
      <c r="U39" s="70" t="e">
        <f aca="false">H39</f>
        <v>#N/A</v>
      </c>
      <c r="V39" s="89" t="e">
        <f aca="false">SUM(G39/100)*90</f>
        <v>#N/A</v>
      </c>
      <c r="W39" s="89" t="e">
        <f aca="false">SUM(G39/100)*75</f>
        <v>#N/A</v>
      </c>
      <c r="X39" s="89" t="e">
        <f aca="false">SUM(G39/100)*74.99</f>
        <v>#N/A</v>
      </c>
    </row>
    <row r="40" customFormat="false" ht="13.15" hidden="false" customHeight="false" outlineLevel="0" collapsed="false">
      <c r="A40" s="70" t="str">
        <f aca="false" t="array" ref="A40:A40">IFERROR(INDEX('DC Dist Allocations'!$A$1:$A$555,SMALL(IF('DC Dist Allocations'!$C$1:$C$555='Site check'!$A$2,ROW('DC Dist Allocations'!$A$1:$A$555)),ROWS($A$2:$A28))),"")</f>
        <v/>
      </c>
      <c r="B40" s="70" t="e">
        <f aca="false">VLOOKUP($A40,'DC Dist Allocations'!$A:$X,2,0)</f>
        <v>#N/A</v>
      </c>
      <c r="C40" s="70" t="e">
        <f aca="false">VLOOKUP($A40,'DC Dist Allocations'!$A:$X,3,0)</f>
        <v>#N/A</v>
      </c>
      <c r="D40" s="70" t="e">
        <f aca="false">VLOOKUP($A40,'DC Dist Allocations'!$A:$X,5,0)</f>
        <v>#N/A</v>
      </c>
      <c r="E40" s="70" t="e">
        <f aca="false">VLOOKUP($A40,'DC Dist Allocations'!$A:$X,6,0)</f>
        <v>#N/A</v>
      </c>
      <c r="F40" s="88" t="e">
        <f aca="false">VLOOKUP($A40,'DC Dist Allocations'!$A:$X,7,0)</f>
        <v>#N/A</v>
      </c>
      <c r="G40" s="70" t="e">
        <f aca="false">VLOOKUP($A40,'DC Dist Allocations'!$A:$X,8,0)</f>
        <v>#N/A</v>
      </c>
      <c r="H40" s="70" t="e">
        <f aca="false">VLOOKUP($A40,'DC Dist Allocations'!$A:$X,9,0)</f>
        <v>#N/A</v>
      </c>
      <c r="I40" s="70" t="e">
        <f aca="false">VLOOKUP($A40,'DC Dist Allocations'!$A:$X,10,0)</f>
        <v>#N/A</v>
      </c>
      <c r="J40" s="70" t="e">
        <f aca="false">VLOOKUP($A40,'DC Dist Allocations'!$A:$X,11,0)</f>
        <v>#N/A</v>
      </c>
      <c r="K40" s="70" t="e">
        <f aca="false">VLOOKUP($A40,'DC Dist Allocations'!$A:$X,12,0)</f>
        <v>#N/A</v>
      </c>
      <c r="L40" s="70" t="e">
        <f aca="false">VLOOKUP($A40,'DC Dist Allocations'!$A:$X,13,0)</f>
        <v>#N/A</v>
      </c>
      <c r="M40" s="70" t="e">
        <f aca="false">VLOOKUP($A40,'DC Dist Allocations'!$A:$X,14,0)</f>
        <v>#N/A</v>
      </c>
      <c r="N40" s="70" t="e">
        <f aca="false">VLOOKUP($A40,'DC Dist Allocations'!$A:$X,15,0)</f>
        <v>#N/A</v>
      </c>
      <c r="O40" s="70" t="n">
        <f aca="false">IFERROR(VLOOKUP(B40,$A$6:$N$9,14,0),0)</f>
        <v>0</v>
      </c>
      <c r="P40" s="89" t="e">
        <f aca="false">VLOOKUP(A40,'DC Dist Allocations'!$A:$BC,50,0)</f>
        <v>#N/A</v>
      </c>
      <c r="Q40" s="89" t="e">
        <f aca="false">VLOOKUP(A40,'DC Dist Allocations'!$A:$BC,51,0)</f>
        <v>#N/A</v>
      </c>
      <c r="T40" s="70" t="e">
        <f aca="false">G40</f>
        <v>#N/A</v>
      </c>
      <c r="U40" s="70" t="e">
        <f aca="false">H40</f>
        <v>#N/A</v>
      </c>
      <c r="V40" s="89" t="e">
        <f aca="false">SUM(G40/100)*90</f>
        <v>#N/A</v>
      </c>
      <c r="W40" s="89" t="e">
        <f aca="false">SUM(G40/100)*75</f>
        <v>#N/A</v>
      </c>
      <c r="X40" s="89" t="e">
        <f aca="false">SUM(G40/100)*74.99</f>
        <v>#N/A</v>
      </c>
    </row>
    <row r="41" customFormat="false" ht="13.15" hidden="false" customHeight="false" outlineLevel="0" collapsed="false">
      <c r="A41" s="70" t="str">
        <f aca="false" t="array" ref="A41:A41">IFERROR(INDEX('DC Dist Allocations'!$A$1:$A$555,SMALL(IF('DC Dist Allocations'!$C$1:$C$555='Site check'!$A$2,ROW('DC Dist Allocations'!$A$1:$A$555)),ROWS($A$2:$A29))),"")</f>
        <v/>
      </c>
      <c r="B41" s="70" t="e">
        <f aca="false">VLOOKUP($A41,'DC Dist Allocations'!$A:$X,2,0)</f>
        <v>#N/A</v>
      </c>
      <c r="C41" s="70" t="e">
        <f aca="false">VLOOKUP($A41,'DC Dist Allocations'!$A:$X,3,0)</f>
        <v>#N/A</v>
      </c>
      <c r="D41" s="70" t="e">
        <f aca="false">VLOOKUP($A41,'DC Dist Allocations'!$A:$X,5,0)</f>
        <v>#N/A</v>
      </c>
      <c r="E41" s="70" t="e">
        <f aca="false">VLOOKUP($A41,'DC Dist Allocations'!$A:$X,6,0)</f>
        <v>#N/A</v>
      </c>
      <c r="F41" s="88" t="e">
        <f aca="false">VLOOKUP($A41,'DC Dist Allocations'!$A:$X,7,0)</f>
        <v>#N/A</v>
      </c>
      <c r="G41" s="70" t="e">
        <f aca="false">VLOOKUP($A41,'DC Dist Allocations'!$A:$X,8,0)</f>
        <v>#N/A</v>
      </c>
      <c r="H41" s="70" t="e">
        <f aca="false">VLOOKUP($A41,'DC Dist Allocations'!$A:$X,9,0)</f>
        <v>#N/A</v>
      </c>
      <c r="I41" s="70" t="e">
        <f aca="false">VLOOKUP($A41,'DC Dist Allocations'!$A:$X,10,0)</f>
        <v>#N/A</v>
      </c>
      <c r="J41" s="70" t="e">
        <f aca="false">VLOOKUP($A41,'DC Dist Allocations'!$A:$X,11,0)</f>
        <v>#N/A</v>
      </c>
      <c r="K41" s="70" t="e">
        <f aca="false">VLOOKUP($A41,'DC Dist Allocations'!$A:$X,12,0)</f>
        <v>#N/A</v>
      </c>
      <c r="L41" s="70" t="e">
        <f aca="false">VLOOKUP($A41,'DC Dist Allocations'!$A:$X,13,0)</f>
        <v>#N/A</v>
      </c>
      <c r="M41" s="70" t="e">
        <f aca="false">VLOOKUP($A41,'DC Dist Allocations'!$A:$X,14,0)</f>
        <v>#N/A</v>
      </c>
      <c r="N41" s="70" t="e">
        <f aca="false">VLOOKUP($A41,'DC Dist Allocations'!$A:$X,15,0)</f>
        <v>#N/A</v>
      </c>
      <c r="O41" s="70" t="n">
        <f aca="false">IFERROR(VLOOKUP(B41,$A$6:$N$9,14,0),0)</f>
        <v>0</v>
      </c>
      <c r="P41" s="89" t="e">
        <f aca="false">VLOOKUP(A41,'DC Dist Allocations'!$A:$BC,50,0)</f>
        <v>#N/A</v>
      </c>
      <c r="Q41" s="89" t="e">
        <f aca="false">VLOOKUP(A41,'DC Dist Allocations'!$A:$BC,51,0)</f>
        <v>#N/A</v>
      </c>
      <c r="T41" s="70" t="e">
        <f aca="false">G41</f>
        <v>#N/A</v>
      </c>
      <c r="U41" s="70" t="e">
        <f aca="false">H41</f>
        <v>#N/A</v>
      </c>
      <c r="V41" s="89" t="e">
        <f aca="false">SUM(G41/100)*90</f>
        <v>#N/A</v>
      </c>
      <c r="W41" s="89" t="e">
        <f aca="false">SUM(G41/100)*75</f>
        <v>#N/A</v>
      </c>
      <c r="X41" s="89" t="e">
        <f aca="false">SUM(G41/100)*74.99</f>
        <v>#N/A</v>
      </c>
    </row>
    <row r="42" customFormat="false" ht="13.15" hidden="false" customHeight="false" outlineLevel="0" collapsed="false">
      <c r="A42" s="70" t="str">
        <f aca="false" t="array" ref="A42:A42">IFERROR(INDEX('DC Dist Allocations'!$A$1:$A$555,SMALL(IF('DC Dist Allocations'!$C$1:$C$555='Site check'!$A$2,ROW('DC Dist Allocations'!$A$1:$A$555)),ROWS($A$2:$A30))),"")</f>
        <v/>
      </c>
      <c r="B42" s="70" t="e">
        <f aca="false">VLOOKUP($A42,'DC Dist Allocations'!$A:$X,2,0)</f>
        <v>#N/A</v>
      </c>
      <c r="C42" s="70" t="e">
        <f aca="false">VLOOKUP($A42,'DC Dist Allocations'!$A:$X,3,0)</f>
        <v>#N/A</v>
      </c>
      <c r="D42" s="70" t="e">
        <f aca="false">VLOOKUP($A42,'DC Dist Allocations'!$A:$X,5,0)</f>
        <v>#N/A</v>
      </c>
      <c r="E42" s="70" t="e">
        <f aca="false">VLOOKUP($A42,'DC Dist Allocations'!$A:$X,6,0)</f>
        <v>#N/A</v>
      </c>
      <c r="F42" s="88" t="e">
        <f aca="false">VLOOKUP($A42,'DC Dist Allocations'!$A:$X,7,0)</f>
        <v>#N/A</v>
      </c>
      <c r="G42" s="70" t="e">
        <f aca="false">VLOOKUP($A42,'DC Dist Allocations'!$A:$X,8,0)</f>
        <v>#N/A</v>
      </c>
      <c r="H42" s="70" t="e">
        <f aca="false">VLOOKUP($A42,'DC Dist Allocations'!$A:$X,9,0)</f>
        <v>#N/A</v>
      </c>
      <c r="I42" s="70" t="e">
        <f aca="false">VLOOKUP($A42,'DC Dist Allocations'!$A:$X,10,0)</f>
        <v>#N/A</v>
      </c>
      <c r="J42" s="70" t="e">
        <f aca="false">VLOOKUP($A42,'DC Dist Allocations'!$A:$X,11,0)</f>
        <v>#N/A</v>
      </c>
      <c r="K42" s="70" t="e">
        <f aca="false">VLOOKUP($A42,'DC Dist Allocations'!$A:$X,12,0)</f>
        <v>#N/A</v>
      </c>
      <c r="L42" s="70" t="e">
        <f aca="false">VLOOKUP($A42,'DC Dist Allocations'!$A:$X,13,0)</f>
        <v>#N/A</v>
      </c>
      <c r="M42" s="70" t="e">
        <f aca="false">VLOOKUP($A42,'DC Dist Allocations'!$A:$X,14,0)</f>
        <v>#N/A</v>
      </c>
      <c r="N42" s="70" t="e">
        <f aca="false">VLOOKUP($A42,'DC Dist Allocations'!$A:$X,15,0)</f>
        <v>#N/A</v>
      </c>
      <c r="O42" s="70" t="n">
        <f aca="false">IFERROR(VLOOKUP(B42,$A$6:$N$9,14,0),0)</f>
        <v>0</v>
      </c>
      <c r="P42" s="89" t="e">
        <f aca="false">VLOOKUP(A42,'DC Dist Allocations'!$A:$BC,50,0)</f>
        <v>#N/A</v>
      </c>
      <c r="Q42" s="89" t="e">
        <f aca="false">VLOOKUP(A42,'DC Dist Allocations'!$A:$BC,51,0)</f>
        <v>#N/A</v>
      </c>
      <c r="T42" s="70" t="e">
        <f aca="false">G42</f>
        <v>#N/A</v>
      </c>
      <c r="U42" s="70" t="e">
        <f aca="false">H42</f>
        <v>#N/A</v>
      </c>
      <c r="V42" s="89" t="e">
        <f aca="false">SUM(G42/100)*90</f>
        <v>#N/A</v>
      </c>
      <c r="W42" s="89" t="e">
        <f aca="false">SUM(G42/100)*75</f>
        <v>#N/A</v>
      </c>
      <c r="X42" s="89" t="e">
        <f aca="false">SUM(G42/100)*74.99</f>
        <v>#N/A</v>
      </c>
    </row>
    <row r="43" customFormat="false" ht="13.15" hidden="false" customHeight="false" outlineLevel="0" collapsed="false">
      <c r="A43" s="70" t="str">
        <f aca="false" t="array" ref="A43:A43">IFERROR(INDEX('DC Dist Allocations'!$A$1:$A$555,SMALL(IF('DC Dist Allocations'!$C$1:$C$555='Site check'!$A$2,ROW('DC Dist Allocations'!$A$1:$A$555)),ROWS($A$2:$A31))),"")</f>
        <v/>
      </c>
      <c r="B43" s="70" t="e">
        <f aca="false">VLOOKUP($A43,'DC Dist Allocations'!$A:$X,2,0)</f>
        <v>#N/A</v>
      </c>
      <c r="C43" s="70" t="e">
        <f aca="false">VLOOKUP($A43,'DC Dist Allocations'!$A:$X,3,0)</f>
        <v>#N/A</v>
      </c>
      <c r="D43" s="70" t="e">
        <f aca="false">VLOOKUP($A43,'DC Dist Allocations'!$A:$X,5,0)</f>
        <v>#N/A</v>
      </c>
      <c r="E43" s="70" t="e">
        <f aca="false">VLOOKUP($A43,'DC Dist Allocations'!$A:$X,6,0)</f>
        <v>#N/A</v>
      </c>
      <c r="F43" s="88" t="e">
        <f aca="false">VLOOKUP($A43,'DC Dist Allocations'!$A:$X,7,0)</f>
        <v>#N/A</v>
      </c>
      <c r="G43" s="70" t="e">
        <f aca="false">VLOOKUP($A43,'DC Dist Allocations'!$A:$X,8,0)</f>
        <v>#N/A</v>
      </c>
      <c r="H43" s="70" t="e">
        <f aca="false">VLOOKUP($A43,'DC Dist Allocations'!$A:$X,9,0)</f>
        <v>#N/A</v>
      </c>
      <c r="I43" s="70" t="e">
        <f aca="false">VLOOKUP($A43,'DC Dist Allocations'!$A:$X,10,0)</f>
        <v>#N/A</v>
      </c>
      <c r="J43" s="70" t="e">
        <f aca="false">VLOOKUP($A43,'DC Dist Allocations'!$A:$X,11,0)</f>
        <v>#N/A</v>
      </c>
      <c r="K43" s="70" t="e">
        <f aca="false">VLOOKUP($A43,'DC Dist Allocations'!$A:$X,12,0)</f>
        <v>#N/A</v>
      </c>
      <c r="L43" s="70" t="e">
        <f aca="false">VLOOKUP($A43,'DC Dist Allocations'!$A:$X,13,0)</f>
        <v>#N/A</v>
      </c>
      <c r="M43" s="70" t="e">
        <f aca="false">VLOOKUP($A43,'DC Dist Allocations'!$A:$X,14,0)</f>
        <v>#N/A</v>
      </c>
      <c r="N43" s="70" t="e">
        <f aca="false">VLOOKUP($A43,'DC Dist Allocations'!$A:$X,15,0)</f>
        <v>#N/A</v>
      </c>
      <c r="O43" s="70" t="n">
        <f aca="false">IFERROR(VLOOKUP(B43,$A$6:$N$9,14,0),0)</f>
        <v>0</v>
      </c>
      <c r="P43" s="89" t="e">
        <f aca="false">VLOOKUP(A43,'DC Dist Allocations'!$A:$BC,50,0)</f>
        <v>#N/A</v>
      </c>
      <c r="Q43" s="89" t="e">
        <f aca="false">VLOOKUP(A43,'DC Dist Allocations'!$A:$BC,51,0)</f>
        <v>#N/A</v>
      </c>
      <c r="T43" s="70" t="e">
        <f aca="false">G43</f>
        <v>#N/A</v>
      </c>
      <c r="U43" s="70" t="e">
        <f aca="false">H43</f>
        <v>#N/A</v>
      </c>
      <c r="V43" s="89" t="e">
        <f aca="false">SUM(G43/100)*90</f>
        <v>#N/A</v>
      </c>
      <c r="W43" s="89" t="e">
        <f aca="false">SUM(G43/100)*75</f>
        <v>#N/A</v>
      </c>
      <c r="X43" s="89" t="e">
        <f aca="false">SUM(G43/100)*74.99</f>
        <v>#N/A</v>
      </c>
    </row>
    <row r="44" customFormat="false" ht="13.15" hidden="false" customHeight="false" outlineLevel="0" collapsed="false">
      <c r="A44" s="70" t="str">
        <f aca="false" t="array" ref="A44:A44">IFERROR(INDEX('DC Dist Allocations'!$A$1:$A$555,SMALL(IF('DC Dist Allocations'!$C$1:$C$555='Site check'!$A$2,ROW('DC Dist Allocations'!$A$1:$A$555)),ROWS($A$2:$A32))),"")</f>
        <v/>
      </c>
      <c r="B44" s="70" t="e">
        <f aca="false">VLOOKUP($A44,'DC Dist Allocations'!$A:$X,2,0)</f>
        <v>#N/A</v>
      </c>
      <c r="C44" s="70" t="e">
        <f aca="false">VLOOKUP($A44,'DC Dist Allocations'!$A:$X,3,0)</f>
        <v>#N/A</v>
      </c>
      <c r="D44" s="70" t="e">
        <f aca="false">VLOOKUP($A44,'DC Dist Allocations'!$A:$X,5,0)</f>
        <v>#N/A</v>
      </c>
      <c r="E44" s="70" t="e">
        <f aca="false">VLOOKUP($A44,'DC Dist Allocations'!$A:$X,6,0)</f>
        <v>#N/A</v>
      </c>
      <c r="F44" s="88" t="e">
        <f aca="false">VLOOKUP($A44,'DC Dist Allocations'!$A:$X,7,0)</f>
        <v>#N/A</v>
      </c>
      <c r="G44" s="70" t="e">
        <f aca="false">VLOOKUP($A44,'DC Dist Allocations'!$A:$X,8,0)</f>
        <v>#N/A</v>
      </c>
      <c r="H44" s="70" t="e">
        <f aca="false">VLOOKUP($A44,'DC Dist Allocations'!$A:$X,9,0)</f>
        <v>#N/A</v>
      </c>
      <c r="I44" s="70" t="e">
        <f aca="false">VLOOKUP($A44,'DC Dist Allocations'!$A:$X,10,0)</f>
        <v>#N/A</v>
      </c>
      <c r="J44" s="70" t="e">
        <f aca="false">VLOOKUP($A44,'DC Dist Allocations'!$A:$X,11,0)</f>
        <v>#N/A</v>
      </c>
      <c r="K44" s="70" t="e">
        <f aca="false">VLOOKUP($A44,'DC Dist Allocations'!$A:$X,12,0)</f>
        <v>#N/A</v>
      </c>
      <c r="L44" s="70" t="e">
        <f aca="false">VLOOKUP($A44,'DC Dist Allocations'!$A:$X,13,0)</f>
        <v>#N/A</v>
      </c>
      <c r="M44" s="70" t="e">
        <f aca="false">VLOOKUP($A44,'DC Dist Allocations'!$A:$X,14,0)</f>
        <v>#N/A</v>
      </c>
      <c r="N44" s="70" t="e">
        <f aca="false">VLOOKUP($A44,'DC Dist Allocations'!$A:$X,15,0)</f>
        <v>#N/A</v>
      </c>
      <c r="O44" s="70" t="n">
        <f aca="false">IFERROR(VLOOKUP(B44,$A$6:$N$9,14,0),0)</f>
        <v>0</v>
      </c>
      <c r="P44" s="89" t="e">
        <f aca="false">VLOOKUP(A44,'DC Dist Allocations'!$A:$BC,50,0)</f>
        <v>#N/A</v>
      </c>
      <c r="Q44" s="89" t="e">
        <f aca="false">VLOOKUP(A44,'DC Dist Allocations'!$A:$BC,51,0)</f>
        <v>#N/A</v>
      </c>
      <c r="T44" s="70" t="e">
        <f aca="false">G44</f>
        <v>#N/A</v>
      </c>
      <c r="U44" s="70" t="e">
        <f aca="false">H44</f>
        <v>#N/A</v>
      </c>
      <c r="V44" s="89" t="e">
        <f aca="false">SUM(G44/100)*90</f>
        <v>#N/A</v>
      </c>
      <c r="W44" s="89" t="e">
        <f aca="false">SUM(G44/100)*75</f>
        <v>#N/A</v>
      </c>
      <c r="X44" s="89" t="e">
        <f aca="false">SUM(G44/100)*74.99</f>
        <v>#N/A</v>
      </c>
    </row>
    <row r="45" customFormat="false" ht="13.15" hidden="false" customHeight="false" outlineLevel="0" collapsed="false">
      <c r="A45" s="70" t="str">
        <f aca="false" t="array" ref="A45:A45">IFERROR(INDEX('DC Dist Allocations'!$A$1:$A$555,SMALL(IF('DC Dist Allocations'!$C$1:$C$555='Site check'!$A$2,ROW('DC Dist Allocations'!$A$1:$A$555)),ROWS($A$2:$A33))),"")</f>
        <v/>
      </c>
      <c r="B45" s="70" t="e">
        <f aca="false">VLOOKUP($A45,'DC Dist Allocations'!$A:$X,2,0)</f>
        <v>#N/A</v>
      </c>
      <c r="C45" s="70" t="e">
        <f aca="false">VLOOKUP($A45,'DC Dist Allocations'!$A:$X,3,0)</f>
        <v>#N/A</v>
      </c>
      <c r="D45" s="70" t="e">
        <f aca="false">VLOOKUP($A45,'DC Dist Allocations'!$A:$X,5,0)</f>
        <v>#N/A</v>
      </c>
      <c r="E45" s="70" t="e">
        <f aca="false">VLOOKUP($A45,'DC Dist Allocations'!$A:$X,6,0)</f>
        <v>#N/A</v>
      </c>
      <c r="F45" s="88" t="e">
        <f aca="false">VLOOKUP($A45,'DC Dist Allocations'!$A:$X,7,0)</f>
        <v>#N/A</v>
      </c>
      <c r="G45" s="70" t="e">
        <f aca="false">VLOOKUP($A45,'DC Dist Allocations'!$A:$X,8,0)</f>
        <v>#N/A</v>
      </c>
      <c r="H45" s="70" t="e">
        <f aca="false">VLOOKUP($A45,'DC Dist Allocations'!$A:$X,9,0)</f>
        <v>#N/A</v>
      </c>
      <c r="I45" s="70" t="e">
        <f aca="false">VLOOKUP($A45,'DC Dist Allocations'!$A:$X,10,0)</f>
        <v>#N/A</v>
      </c>
      <c r="J45" s="70" t="e">
        <f aca="false">VLOOKUP($A45,'DC Dist Allocations'!$A:$X,11,0)</f>
        <v>#N/A</v>
      </c>
      <c r="K45" s="70" t="e">
        <f aca="false">VLOOKUP($A45,'DC Dist Allocations'!$A:$X,12,0)</f>
        <v>#N/A</v>
      </c>
      <c r="L45" s="70" t="e">
        <f aca="false">VLOOKUP($A45,'DC Dist Allocations'!$A:$X,13,0)</f>
        <v>#N/A</v>
      </c>
      <c r="M45" s="70" t="e">
        <f aca="false">VLOOKUP($A45,'DC Dist Allocations'!$A:$X,14,0)</f>
        <v>#N/A</v>
      </c>
      <c r="N45" s="70" t="e">
        <f aca="false">VLOOKUP($A45,'DC Dist Allocations'!$A:$X,15,0)</f>
        <v>#N/A</v>
      </c>
      <c r="O45" s="70" t="n">
        <f aca="false">IFERROR(VLOOKUP(B45,$A$6:$N$9,14,0),0)</f>
        <v>0</v>
      </c>
      <c r="P45" s="89" t="e">
        <f aca="false">VLOOKUP(A45,'DC Dist Allocations'!$A:$BC,50,0)</f>
        <v>#N/A</v>
      </c>
      <c r="Q45" s="89" t="e">
        <f aca="false">VLOOKUP(A45,'DC Dist Allocations'!$A:$BC,51,0)</f>
        <v>#N/A</v>
      </c>
      <c r="T45" s="70" t="e">
        <f aca="false">G45</f>
        <v>#N/A</v>
      </c>
      <c r="U45" s="70" t="e">
        <f aca="false">H45</f>
        <v>#N/A</v>
      </c>
      <c r="V45" s="89" t="e">
        <f aca="false">SUM(G45/100)*90</f>
        <v>#N/A</v>
      </c>
      <c r="W45" s="89" t="e">
        <f aca="false">SUM(G45/100)*75</f>
        <v>#N/A</v>
      </c>
      <c r="X45" s="89" t="e">
        <f aca="false">SUM(G45/100)*74.99</f>
        <v>#N/A</v>
      </c>
    </row>
    <row r="46" customFormat="false" ht="13.15" hidden="false" customHeight="false" outlineLevel="0" collapsed="false">
      <c r="A46" s="70" t="str">
        <f aca="false" t="array" ref="A46:A46">IFERROR(INDEX('DC Dist Allocations'!$A$1:$A$555,SMALL(IF('DC Dist Allocations'!$C$1:$C$555='Site check'!$A$2,ROW('DC Dist Allocations'!$A$1:$A$555)),ROWS($A$2:$A34))),"")</f>
        <v/>
      </c>
      <c r="B46" s="70" t="e">
        <f aca="false">VLOOKUP($A46,'DC Dist Allocations'!$A:$X,2,0)</f>
        <v>#N/A</v>
      </c>
      <c r="C46" s="70" t="e">
        <f aca="false">VLOOKUP($A46,'DC Dist Allocations'!$A:$X,3,0)</f>
        <v>#N/A</v>
      </c>
      <c r="D46" s="70" t="e">
        <f aca="false">VLOOKUP($A46,'DC Dist Allocations'!$A:$X,5,0)</f>
        <v>#N/A</v>
      </c>
      <c r="E46" s="70" t="e">
        <f aca="false">VLOOKUP($A46,'DC Dist Allocations'!$A:$X,6,0)</f>
        <v>#N/A</v>
      </c>
      <c r="F46" s="88" t="e">
        <f aca="false">VLOOKUP($A46,'DC Dist Allocations'!$A:$X,7,0)</f>
        <v>#N/A</v>
      </c>
      <c r="G46" s="70" t="e">
        <f aca="false">VLOOKUP($A46,'DC Dist Allocations'!$A:$X,8,0)</f>
        <v>#N/A</v>
      </c>
      <c r="H46" s="70" t="e">
        <f aca="false">VLOOKUP($A46,'DC Dist Allocations'!$A:$X,9,0)</f>
        <v>#N/A</v>
      </c>
      <c r="I46" s="70" t="e">
        <f aca="false">VLOOKUP($A46,'DC Dist Allocations'!$A:$X,10,0)</f>
        <v>#N/A</v>
      </c>
      <c r="J46" s="70" t="e">
        <f aca="false">VLOOKUP($A46,'DC Dist Allocations'!$A:$X,11,0)</f>
        <v>#N/A</v>
      </c>
      <c r="K46" s="70" t="e">
        <f aca="false">VLOOKUP($A46,'DC Dist Allocations'!$A:$X,12,0)</f>
        <v>#N/A</v>
      </c>
      <c r="L46" s="70" t="e">
        <f aca="false">VLOOKUP($A46,'DC Dist Allocations'!$A:$X,13,0)</f>
        <v>#N/A</v>
      </c>
      <c r="M46" s="70" t="e">
        <f aca="false">VLOOKUP($A46,'DC Dist Allocations'!$A:$X,14,0)</f>
        <v>#N/A</v>
      </c>
      <c r="N46" s="70" t="e">
        <f aca="false">VLOOKUP($A46,'DC Dist Allocations'!$A:$X,15,0)</f>
        <v>#N/A</v>
      </c>
      <c r="O46" s="70" t="n">
        <f aca="false">IFERROR(VLOOKUP(B46,$A$6:$N$9,14,0),0)</f>
        <v>0</v>
      </c>
      <c r="P46" s="89" t="e">
        <f aca="false">VLOOKUP(A46,'DC Dist Allocations'!$A:$BC,50,0)</f>
        <v>#N/A</v>
      </c>
      <c r="Q46" s="89" t="e">
        <f aca="false">VLOOKUP(A46,'DC Dist Allocations'!$A:$BC,51,0)</f>
        <v>#N/A</v>
      </c>
      <c r="T46" s="70" t="e">
        <f aca="false">G46</f>
        <v>#N/A</v>
      </c>
      <c r="U46" s="70" t="e">
        <f aca="false">H46</f>
        <v>#N/A</v>
      </c>
      <c r="V46" s="89" t="e">
        <f aca="false">SUM(G46/100)*90</f>
        <v>#N/A</v>
      </c>
      <c r="W46" s="89" t="e">
        <f aca="false">SUM(G46/100)*75</f>
        <v>#N/A</v>
      </c>
      <c r="X46" s="89" t="e">
        <f aca="false">SUM(G46/100)*74.99</f>
        <v>#N/A</v>
      </c>
    </row>
    <row r="47" customFormat="false" ht="13.15" hidden="false" customHeight="false" outlineLevel="0" collapsed="false">
      <c r="A47" s="70" t="str">
        <f aca="false" t="array" ref="A47:A47">IFERROR(INDEX('DC Dist Allocations'!$A$1:$A$555,SMALL(IF('DC Dist Allocations'!$C$1:$C$555='Site check'!$A$2,ROW('DC Dist Allocations'!$A$1:$A$555)),ROWS($A$2:$A35))),"")</f>
        <v/>
      </c>
      <c r="B47" s="70" t="e">
        <f aca="false">VLOOKUP($A47,'DC Dist Allocations'!$A:$X,2,0)</f>
        <v>#N/A</v>
      </c>
      <c r="C47" s="70" t="e">
        <f aca="false">VLOOKUP($A47,'DC Dist Allocations'!$A:$X,3,0)</f>
        <v>#N/A</v>
      </c>
      <c r="D47" s="70" t="e">
        <f aca="false">VLOOKUP($A47,'DC Dist Allocations'!$A:$X,5,0)</f>
        <v>#N/A</v>
      </c>
      <c r="E47" s="70" t="e">
        <f aca="false">VLOOKUP($A47,'DC Dist Allocations'!$A:$X,6,0)</f>
        <v>#N/A</v>
      </c>
      <c r="F47" s="88" t="e">
        <f aca="false">VLOOKUP($A47,'DC Dist Allocations'!$A:$X,7,0)</f>
        <v>#N/A</v>
      </c>
      <c r="G47" s="70" t="e">
        <f aca="false">VLOOKUP($A47,'DC Dist Allocations'!$A:$X,8,0)</f>
        <v>#N/A</v>
      </c>
      <c r="H47" s="70" t="e">
        <f aca="false">VLOOKUP($A47,'DC Dist Allocations'!$A:$X,9,0)</f>
        <v>#N/A</v>
      </c>
      <c r="I47" s="70" t="e">
        <f aca="false">VLOOKUP($A47,'DC Dist Allocations'!$A:$X,10,0)</f>
        <v>#N/A</v>
      </c>
      <c r="J47" s="70" t="e">
        <f aca="false">VLOOKUP($A47,'DC Dist Allocations'!$A:$X,11,0)</f>
        <v>#N/A</v>
      </c>
      <c r="K47" s="70" t="e">
        <f aca="false">VLOOKUP($A47,'DC Dist Allocations'!$A:$X,12,0)</f>
        <v>#N/A</v>
      </c>
      <c r="L47" s="70" t="e">
        <f aca="false">VLOOKUP($A47,'DC Dist Allocations'!$A:$X,13,0)</f>
        <v>#N/A</v>
      </c>
      <c r="M47" s="70" t="e">
        <f aca="false">VLOOKUP($A47,'DC Dist Allocations'!$A:$X,14,0)</f>
        <v>#N/A</v>
      </c>
      <c r="N47" s="70" t="e">
        <f aca="false">VLOOKUP($A47,'DC Dist Allocations'!$A:$X,15,0)</f>
        <v>#N/A</v>
      </c>
      <c r="O47" s="70" t="n">
        <f aca="false">IFERROR(VLOOKUP(B47,$A$6:$N$9,14,0),0)</f>
        <v>0</v>
      </c>
      <c r="P47" s="89" t="e">
        <f aca="false">VLOOKUP(A47,'DC Dist Allocations'!$A:$BC,50,0)</f>
        <v>#N/A</v>
      </c>
      <c r="Q47" s="89" t="e">
        <f aca="false">VLOOKUP(A47,'DC Dist Allocations'!$A:$BC,51,0)</f>
        <v>#N/A</v>
      </c>
      <c r="T47" s="70" t="e">
        <f aca="false">G47</f>
        <v>#N/A</v>
      </c>
      <c r="U47" s="70" t="e">
        <f aca="false">H47</f>
        <v>#N/A</v>
      </c>
      <c r="V47" s="89" t="e">
        <f aca="false">SUM(G47/100)*90</f>
        <v>#N/A</v>
      </c>
      <c r="W47" s="89" t="e">
        <f aca="false">SUM(G47/100)*75</f>
        <v>#N/A</v>
      </c>
      <c r="X47" s="89" t="e">
        <f aca="false">SUM(G47/100)*74.99</f>
        <v>#N/A</v>
      </c>
    </row>
  </sheetData>
  <sheetProtection algorithmName="SHA-512" hashValue="CcSTupCHhh897Jx5qApMOfYSCYmR8Q4VM+pa0k1+Wkp+HWTIvMqgSnYi/0AMwuaspsLugRJQY91LEeFxoxiiVw==" saltValue="ls/alwbk5LSd9130CUv/YQ==" spinCount="100000" sheet="true" objects="true" scenarios="true"/>
  <mergeCells count="10">
    <mergeCell ref="A12:A13"/>
    <mergeCell ref="B12:B13"/>
    <mergeCell ref="C12:C13"/>
    <mergeCell ref="D12:D13"/>
    <mergeCell ref="E12:E13"/>
    <mergeCell ref="F12:F13"/>
    <mergeCell ref="G12:G13"/>
    <mergeCell ref="H12:H13"/>
    <mergeCell ref="I12:N12"/>
    <mergeCell ref="P12:Q12"/>
  </mergeCells>
  <conditionalFormatting sqref="A14:A47">
    <cfRule type="expression" priority="2" aboveAverage="0" equalAverage="0" bottom="0" percent="0" rank="0" text="" dxfId="31">
      <formula>O14&gt;0</formula>
    </cfRule>
  </conditionalFormatting>
  <conditionalFormatting sqref="A6:I6 N6 P6:Q6">
    <cfRule type="expression" priority="3" aboveAverage="0" equalAverage="0" bottom="0" percent="0" rank="0" text="" dxfId="32">
      <formula>$O$6="Dual"</formula>
    </cfRule>
  </conditionalFormatting>
  <conditionalFormatting sqref="A8:I8 M8:Q9">
    <cfRule type="expression" priority="4" aboveAverage="0" equalAverage="0" bottom="0" percent="0" rank="0" text="" dxfId="33">
      <formula>$O$8="Dual"</formula>
    </cfRule>
  </conditionalFormatting>
  <conditionalFormatting sqref="A9:I9 M9:Q9">
    <cfRule type="expression" priority="5" aboveAverage="0" equalAverage="0" bottom="0" percent="0" rank="0" text="" dxfId="34">
      <formula>$O$9="Dual"</formula>
    </cfRule>
  </conditionalFormatting>
  <conditionalFormatting sqref="A6:L6 N6 P6:Q6">
    <cfRule type="expression" priority="6" aboveAverage="0" equalAverage="0" bottom="0" percent="0" rank="0" text="" dxfId="35">
      <formula>$P$6="Capped"</formula>
    </cfRule>
  </conditionalFormatting>
  <conditionalFormatting sqref="A8:Q8">
    <cfRule type="expression" priority="7" aboveAverage="0" equalAverage="0" bottom="0" percent="0" rank="0" text="" dxfId="36">
      <formula>$P$8="Capped"</formula>
    </cfRule>
  </conditionalFormatting>
  <conditionalFormatting sqref="A9:Q9">
    <cfRule type="expression" priority="8" aboveAverage="0" equalAverage="0" bottom="0" percent="0" rank="0" text="" dxfId="37">
      <formula>$P$9="Capped"</formula>
    </cfRule>
  </conditionalFormatting>
  <conditionalFormatting sqref="B2">
    <cfRule type="cellIs" priority="9" operator="lessThan" aboveAverage="0" equalAverage="0" bottom="0" percent="0" rank="0" text="" dxfId="38">
      <formula>0</formula>
    </cfRule>
    <cfRule type="cellIs" priority="10" operator="between" aboveAverage="0" equalAverage="0" bottom="0" percent="0" rank="0" text="" dxfId="39">
      <formula>21</formula>
      <formula>10000</formula>
    </cfRule>
    <cfRule type="cellIs" priority="11" operator="between" aboveAverage="0" equalAverage="0" bottom="0" percent="0" rank="0" text="" dxfId="40">
      <formula>11</formula>
      <formula>20</formula>
    </cfRule>
    <cfRule type="cellIs" priority="12" operator="between" aboveAverage="0" equalAverage="0" bottom="0" percent="0" rank="0" text="" dxfId="41">
      <formula>0</formula>
      <formula>10</formula>
    </cfRule>
  </conditionalFormatting>
  <conditionalFormatting sqref="B6:B9 D6:D9 F6:F9 H6:H9">
    <cfRule type="cellIs" priority="13" operator="lessThan" aboveAverage="0" equalAverage="0" bottom="0" percent="0" rank="0" text="" dxfId="42">
      <formula>0</formula>
    </cfRule>
    <cfRule type="cellIs" priority="14" operator="between" aboveAverage="0" equalAverage="0" bottom="0" percent="0" rank="0" text="" dxfId="43">
      <formula>0</formula>
      <formula>9.999999999999</formula>
    </cfRule>
    <cfRule type="cellIs" priority="15" operator="between" aboveAverage="0" equalAverage="0" bottom="0" percent="0" rank="0" text="" dxfId="44">
      <formula>10</formula>
      <formula>24.99999999999</formula>
    </cfRule>
    <cfRule type="cellIs" priority="16" operator="between" aboveAverage="0" equalAverage="0" bottom="0" percent="0" rank="0" text="" dxfId="45">
      <formula>25</formula>
      <formula>100</formula>
    </cfRule>
  </conditionalFormatting>
  <conditionalFormatting sqref="D14:D47">
    <cfRule type="cellIs" priority="17" operator="between" aboveAverage="0" equalAverage="0" bottom="0" percent="0" rank="0" text="" dxfId="46">
      <formula>U14-1</formula>
      <formula>V14</formula>
    </cfRule>
    <cfRule type="cellIs" priority="18" operator="between" aboveAverage="0" equalAverage="0" bottom="0" percent="0" rank="0" text="" dxfId="47">
      <formula>W14</formula>
      <formula>V14-1</formula>
    </cfRule>
    <cfRule type="cellIs" priority="19" operator="between" aboveAverage="0" equalAverage="0" bottom="0" percent="0" rank="0" text="" dxfId="48">
      <formula>0</formula>
      <formula>X14-1</formula>
    </cfRule>
  </conditionalFormatting>
  <conditionalFormatting sqref="D14:E47">
    <cfRule type="cellIs" priority="20" operator="equal" aboveAverage="0" equalAverage="0" bottom="0" percent="0" rank="0" text="" dxfId="49">
      <formula>"n/a"</formula>
    </cfRule>
    <cfRule type="cellIs" priority="21" operator="greaterThan" aboveAverage="0" equalAverage="0" bottom="0" percent="0" rank="0" text="" dxfId="50">
      <formula>T14</formula>
    </cfRule>
  </conditionalFormatting>
  <conditionalFormatting sqref="E14:E47">
    <cfRule type="cellIs" priority="22" operator="between" aboveAverage="0" equalAverage="0" bottom="0" percent="0" rank="0" text="" dxfId="51">
      <formula>U14</formula>
      <formula>V14</formula>
    </cfRule>
    <cfRule type="cellIs" priority="23" operator="between" aboveAverage="0" equalAverage="0" bottom="0" percent="0" rank="0" text="" dxfId="52">
      <formula>V14</formula>
      <formula>W14</formula>
    </cfRule>
    <cfRule type="cellIs" priority="24" operator="lessThan" aboveAverage="0" equalAverage="0" bottom="0" percent="0" rank="0" text="" dxfId="53">
      <formula>X14</formula>
    </cfRule>
  </conditionalFormatting>
  <conditionalFormatting sqref="F14:F47">
    <cfRule type="cellIs" priority="25" operator="lessThan" aboveAverage="0" equalAverage="0" bottom="0" percent="0" rank="0" text="" dxfId="54">
      <formula>TODAY()-365</formula>
    </cfRule>
  </conditionalFormatting>
  <conditionalFormatting sqref="J6:L9">
    <cfRule type="cellIs" priority="26" operator="equal" aboveAverage="0" equalAverage="0" bottom="0" percent="0" rank="0" text="" dxfId="55">
      <formula>"PX"</formula>
    </cfRule>
    <cfRule type="cellIs" priority="27" operator="equal" aboveAverage="0" equalAverage="0" bottom="0" percent="0" rank="0" text="" dxfId="56">
      <formula>0</formula>
    </cfRule>
    <cfRule type="cellIs" priority="28" operator="equal" aboveAverage="0" equalAverage="0" bottom="0" percent="0" rank="0" text="" dxfId="57">
      <formula>"RA"</formula>
    </cfRule>
    <cfRule type="cellIs" priority="29" operator="equal" aboveAverage="0" equalAverage="0" bottom="0" percent="0" rank="0" text="" dxfId="58">
      <formula>"P-Core"</formula>
    </cfRule>
  </conditionalFormatting>
  <conditionalFormatting sqref="M6 O6 A7:I7 M7:Q7">
    <cfRule type="expression" priority="30" aboveAverage="0" equalAverage="0" bottom="0" percent="0" rank="0" text="" dxfId="59">
      <formula>$O$7="Dual"</formula>
    </cfRule>
  </conditionalFormatting>
  <conditionalFormatting sqref="M6 O6 A7:Q7">
    <cfRule type="expression" priority="31" aboveAverage="0" equalAverage="0" bottom="0" percent="0" rank="0" text="" dxfId="60">
      <formula>$P$7="Capped"</formula>
    </cfRule>
  </conditionalFormatting>
  <conditionalFormatting sqref="O14:O47">
    <cfRule type="cellIs" priority="32" operator="greaterThan" aboveAverage="0" equalAverage="0" bottom="0" percent="0" rank="0" text="" dxfId="61">
      <formula>0</formula>
    </cfRule>
  </conditionalFormatting>
  <conditionalFormatting sqref="P14:P47">
    <cfRule type="cellIs" priority="33" operator="equal" aboveAverage="0" equalAverage="0" bottom="0" percent="0" rank="0" text="" dxfId="62">
      <formula>"n/a"</formula>
    </cfRule>
    <cfRule type="cellIs" priority="34" operator="greaterThan" aboveAverage="0" equalAverage="0" bottom="0" percent="0" rank="0" text="" dxfId="63">
      <formula>T14</formula>
    </cfRule>
    <cfRule type="cellIs" priority="35" operator="between" aboveAverage="0" equalAverage="0" bottom="0" percent="0" rank="0" text="" dxfId="64">
      <formula>U14-1</formula>
      <formula>V14</formula>
    </cfRule>
    <cfRule type="cellIs" priority="36" operator="between" aboveAverage="0" equalAverage="0" bottom="0" percent="0" rank="0" text="" dxfId="65">
      <formula>W14</formula>
      <formula>V14-0.5</formula>
    </cfRule>
    <cfRule type="cellIs" priority="37" operator="lessThan" aboveAverage="0" equalAverage="0" bottom="0" percent="0" rank="0" text="" dxfId="66">
      <formula>X14</formula>
    </cfRule>
  </conditionalFormatting>
  <conditionalFormatting sqref="Q14:Q47">
    <cfRule type="cellIs" priority="38" operator="equal" aboveAverage="0" equalAverage="0" bottom="0" percent="0" rank="0" text="" dxfId="67">
      <formula>"n/a"</formula>
    </cfRule>
    <cfRule type="cellIs" priority="39" operator="greaterThan" aboveAverage="0" equalAverage="0" bottom="0" percent="0" rank="0" text="" dxfId="68">
      <formula>U14</formula>
    </cfRule>
    <cfRule type="cellIs" priority="40" operator="between" aboveAverage="0" equalAverage="0" bottom="0" percent="0" rank="0" text="" dxfId="69">
      <formula>V14</formula>
      <formula>U14-1</formula>
    </cfRule>
    <cfRule type="cellIs" priority="41" operator="between" aboveAverage="0" equalAverage="0" bottom="0" percent="0" rank="0" text="" dxfId="70">
      <formula>W14</formula>
      <formula>V14-0.5</formula>
    </cfRule>
    <cfRule type="cellIs" priority="42" operator="lessThan" aboveAverage="0" equalAverage="0" bottom="0" percent="0" rank="0" text="" dxfId="71">
      <formula>X14</formula>
    </cfRule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50"/>
  <sheetViews>
    <sheetView showFormulas="false" showGridLines="true" showRowColHeaders="true" showZeros="true" rightToLeft="false" tabSelected="false" showOutlineSymbols="true" defaultGridColor="true" view="normal" topLeftCell="D6" colorId="64" zoomScale="80" zoomScaleNormal="80" zoomScalePageLayoutView="100" workbookViewId="0">
      <selection pane="topLeft" activeCell="D6" activeCellId="0" sqref="D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91" width="4.43"/>
    <col collapsed="false" customWidth="true" hidden="false" outlineLevel="0" max="2" min="2" style="91" width="5.28"/>
    <col collapsed="false" customWidth="true" hidden="false" outlineLevel="0" max="3" min="3" style="91" width="61"/>
    <col collapsed="false" customWidth="true" hidden="false" outlineLevel="0" max="4" min="4" style="91" width="51.29"/>
    <col collapsed="false" customWidth="true" hidden="false" outlineLevel="0" max="6" min="5" style="91" width="34.58"/>
    <col collapsed="false" customWidth="true" hidden="false" outlineLevel="0" max="7" min="7" style="91" width="56.7"/>
    <col collapsed="false" customWidth="true" hidden="false" outlineLevel="0" max="8" min="8" style="91" width="5.01"/>
    <col collapsed="false" customWidth="true" hidden="false" outlineLevel="0" max="9" min="9" style="91" width="2"/>
    <col collapsed="false" customWidth="false" hidden="false" outlineLevel="0" max="1024" min="10" style="91" width="14.43"/>
  </cols>
  <sheetData>
    <row r="2" customFormat="false" ht="15.75" hidden="false" customHeight="true" outlineLevel="0" collapsed="false">
      <c r="B2" s="92"/>
      <c r="C2" s="93"/>
      <c r="D2" s="93"/>
      <c r="E2" s="93"/>
      <c r="F2" s="93"/>
      <c r="G2" s="93"/>
      <c r="H2" s="94"/>
    </row>
    <row r="3" customFormat="false" ht="24.75" hidden="false" customHeight="true" outlineLevel="0" collapsed="false">
      <c r="B3" s="95"/>
      <c r="C3" s="96" t="s">
        <v>886</v>
      </c>
      <c r="D3" s="96"/>
      <c r="E3" s="96"/>
      <c r="F3" s="96"/>
      <c r="G3" s="96"/>
      <c r="H3" s="97"/>
    </row>
    <row r="4" customFormat="false" ht="10.5" hidden="false" customHeight="true" outlineLevel="0" collapsed="false">
      <c r="B4" s="95"/>
      <c r="C4" s="98"/>
      <c r="D4" s="98"/>
      <c r="E4" s="98"/>
      <c r="F4" s="98"/>
      <c r="G4" s="98"/>
      <c r="H4" s="97"/>
    </row>
    <row r="5" customFormat="false" ht="10.5" hidden="false" customHeight="true" outlineLevel="0" collapsed="false">
      <c r="B5" s="95"/>
      <c r="G5" s="98"/>
      <c r="H5" s="97"/>
    </row>
    <row r="6" customFormat="false" ht="19.9" hidden="false" customHeight="true" outlineLevel="0" collapsed="false">
      <c r="B6" s="95"/>
      <c r="C6" s="99" t="s">
        <v>887</v>
      </c>
      <c r="D6" s="100" t="s">
        <v>671</v>
      </c>
      <c r="E6" s="101" t="s">
        <v>888</v>
      </c>
      <c r="F6" s="101"/>
      <c r="G6" s="101"/>
      <c r="H6" s="97"/>
    </row>
    <row r="7" customFormat="false" ht="19.9" hidden="false" customHeight="true" outlineLevel="0" collapsed="false">
      <c r="B7" s="95"/>
      <c r="C7" s="99" t="s">
        <v>889</v>
      </c>
      <c r="D7" s="102" t="n">
        <f aca="false">SUM(D15+G15)</f>
        <v>3718</v>
      </c>
      <c r="E7" s="103" t="s">
        <v>890</v>
      </c>
      <c r="F7" s="103"/>
      <c r="G7" s="103"/>
      <c r="H7" s="97"/>
    </row>
    <row r="8" customFormat="false" ht="19.9" hidden="false" customHeight="true" outlineLevel="0" collapsed="false">
      <c r="B8" s="95"/>
      <c r="C8" s="99" t="s">
        <v>889</v>
      </c>
      <c r="D8" s="104" t="n">
        <f aca="false">D7*54.5/1000</f>
        <v>202.631</v>
      </c>
      <c r="E8" s="103" t="s">
        <v>891</v>
      </c>
      <c r="F8" s="103"/>
      <c r="G8" s="103"/>
      <c r="H8" s="97"/>
      <c r="J8" s="105"/>
    </row>
    <row r="9" customFormat="false" ht="19.9" hidden="false" customHeight="true" outlineLevel="0" collapsed="false">
      <c r="B9" s="95"/>
      <c r="C9" s="99" t="s">
        <v>892</v>
      </c>
      <c r="D9" s="102" t="n">
        <f aca="false">SUM(D16+G16)</f>
        <v>740.366972477064</v>
      </c>
      <c r="E9" s="103" t="s">
        <v>893</v>
      </c>
      <c r="F9" s="103"/>
      <c r="G9" s="103"/>
      <c r="H9" s="97"/>
    </row>
    <row r="10" customFormat="false" ht="19.9" hidden="false" customHeight="true" outlineLevel="0" collapsed="false">
      <c r="B10" s="95"/>
      <c r="C10" s="99" t="s">
        <v>892</v>
      </c>
      <c r="D10" s="106" t="n">
        <f aca="false">D9*54.5/1000</f>
        <v>40.35</v>
      </c>
      <c r="E10" s="103" t="s">
        <v>894</v>
      </c>
      <c r="F10" s="103"/>
      <c r="G10" s="103"/>
      <c r="H10" s="97"/>
    </row>
    <row r="11" customFormat="false" ht="19.9" hidden="false" customHeight="true" outlineLevel="0" collapsed="false">
      <c r="B11" s="95"/>
      <c r="C11" s="99" t="s">
        <v>895</v>
      </c>
      <c r="D11" s="107" t="n">
        <v>62</v>
      </c>
      <c r="E11" s="101" t="s">
        <v>896</v>
      </c>
      <c r="F11" s="101"/>
      <c r="G11" s="101"/>
      <c r="H11" s="97"/>
    </row>
    <row r="12" customFormat="false" ht="6" hidden="false" customHeight="true" outlineLevel="0" collapsed="false">
      <c r="B12" s="95"/>
      <c r="C12" s="108"/>
      <c r="D12" s="109"/>
      <c r="E12" s="110"/>
      <c r="F12" s="110"/>
      <c r="G12" s="98"/>
      <c r="H12" s="97"/>
    </row>
    <row r="13" customFormat="false" ht="18.75" hidden="false" customHeight="true" outlineLevel="0" collapsed="false">
      <c r="B13" s="95"/>
      <c r="C13" s="111"/>
      <c r="D13" s="112" t="s">
        <v>897</v>
      </c>
      <c r="E13" s="113"/>
      <c r="F13" s="113"/>
      <c r="G13" s="114" t="s">
        <v>898</v>
      </c>
      <c r="H13" s="97"/>
    </row>
    <row r="14" customFormat="false" ht="18.75" hidden="false" customHeight="true" outlineLevel="0" collapsed="false">
      <c r="B14" s="95"/>
      <c r="C14" s="99" t="s">
        <v>899</v>
      </c>
      <c r="D14" s="115" t="str">
        <f aca="false">VLOOKUP(D6,Data!C1:D37,2,0)</f>
        <v>MCRN12;DC SYS01 A</v>
      </c>
      <c r="E14" s="116"/>
      <c r="F14" s="116"/>
      <c r="G14" s="115" t="str">
        <f aca="false">VLOOKUP(D6,Data!C1:E37,3,0)</f>
        <v>MCRN12;DC SYS01 B</v>
      </c>
      <c r="H14" s="97"/>
    </row>
    <row r="15" customFormat="false" ht="18.75" hidden="false" customHeight="true" outlineLevel="0" collapsed="false">
      <c r="B15" s="95"/>
      <c r="C15" s="99" t="s">
        <v>900</v>
      </c>
      <c r="D15" s="117" t="n">
        <f aca="false">VLOOKUP(D14,All!A8:I267,9,0)</f>
        <v>1838</v>
      </c>
      <c r="E15" s="116"/>
      <c r="F15" s="116"/>
      <c r="G15" s="117" t="n">
        <f aca="false">VLOOKUP(G14,All!A8:I267,9,0)</f>
        <v>1880</v>
      </c>
      <c r="H15" s="97"/>
    </row>
    <row r="16" customFormat="false" ht="18.75" hidden="false" customHeight="true" outlineLevel="0" collapsed="false">
      <c r="B16" s="95"/>
      <c r="C16" s="99" t="s">
        <v>901</v>
      </c>
      <c r="D16" s="117" t="n">
        <f aca="false">VLOOKUP(D14,'SYS Allocations'!A8:I268,8,0)</f>
        <v>377.522935779816</v>
      </c>
      <c r="E16" s="116" t="s">
        <v>902</v>
      </c>
      <c r="F16" s="116"/>
      <c r="G16" s="117" t="n">
        <f aca="false">VLOOKUP(G14,'SYS Allocations'!A8:H268,8,0)</f>
        <v>362.844036697248</v>
      </c>
      <c r="H16" s="97"/>
    </row>
    <row r="17" customFormat="false" ht="18.75" hidden="false" customHeight="true" outlineLevel="0" collapsed="false">
      <c r="B17" s="95"/>
      <c r="C17" s="99" t="s">
        <v>903</v>
      </c>
      <c r="D17" s="118" t="str">
        <f aca="false">VLOOKUP(D14,All!A8:H267,6,0)</f>
        <v>Eaton Powerware NPR.48</v>
      </c>
      <c r="E17" s="116"/>
      <c r="F17" s="116"/>
      <c r="G17" s="118" t="str">
        <f aca="false">VLOOKUP(G14,All!A8:H267,6,0)</f>
        <v>Eaton Powerware NPR.48</v>
      </c>
      <c r="H17" s="119"/>
    </row>
    <row r="18" customFormat="false" ht="18.75" hidden="false" customHeight="true" outlineLevel="0" collapsed="false">
      <c r="B18" s="95"/>
      <c r="C18" s="99" t="s">
        <v>904</v>
      </c>
      <c r="D18" s="118" t="n">
        <f aca="false">VLOOKUP(D14,All!A8:H267,8,0)</f>
        <v>84</v>
      </c>
      <c r="E18" s="116"/>
      <c r="F18" s="116"/>
      <c r="G18" s="118" t="n">
        <f aca="false">VLOOKUP(G14,All!A8:H267,8,0)</f>
        <v>84</v>
      </c>
      <c r="H18" s="97"/>
      <c r="J18" s="120" t="s">
        <v>905</v>
      </c>
    </row>
    <row r="19" customFormat="false" ht="18.75" hidden="false" customHeight="true" outlineLevel="0" collapsed="false">
      <c r="B19" s="95"/>
      <c r="C19" s="99" t="s">
        <v>906</v>
      </c>
      <c r="D19" s="117" t="n">
        <f aca="false">D7/2</f>
        <v>1859</v>
      </c>
      <c r="E19" s="116" t="s">
        <v>891</v>
      </c>
      <c r="F19" s="116"/>
      <c r="G19" s="117" t="n">
        <f aca="false">D19</f>
        <v>1859</v>
      </c>
      <c r="H19" s="97"/>
    </row>
    <row r="20" customFormat="false" ht="18.75" hidden="false" customHeight="true" outlineLevel="0" collapsed="false">
      <c r="B20" s="95"/>
      <c r="C20" s="99" t="s">
        <v>907</v>
      </c>
      <c r="D20" s="117" t="n">
        <f aca="false">SUM(D7,D9,D11)/2</f>
        <v>2260.18348623853</v>
      </c>
      <c r="E20" s="116" t="s">
        <v>891</v>
      </c>
      <c r="F20" s="116"/>
      <c r="G20" s="117" t="n">
        <f aca="false">D20</f>
        <v>2260.18348623853</v>
      </c>
      <c r="H20" s="97"/>
    </row>
    <row r="21" customFormat="false" ht="18.75" hidden="false" customHeight="true" outlineLevel="0" collapsed="false">
      <c r="B21" s="95"/>
      <c r="C21" s="99" t="s">
        <v>908</v>
      </c>
      <c r="D21" s="104" t="n">
        <f aca="false">(D20*54.5)/1000</f>
        <v>123.18</v>
      </c>
      <c r="E21" s="116" t="s">
        <v>891</v>
      </c>
      <c r="F21" s="116"/>
      <c r="G21" s="104" t="n">
        <f aca="false">(G20*54.5)/1000</f>
        <v>123.18</v>
      </c>
      <c r="H21" s="97"/>
    </row>
    <row r="22" customFormat="false" ht="18.75" hidden="false" customHeight="true" outlineLevel="0" collapsed="false">
      <c r="B22" s="95"/>
      <c r="C22" s="99" t="s">
        <v>909</v>
      </c>
      <c r="D22" s="115" t="str">
        <f aca="false">VLOOKUP(D14,All!A8:R282,16,0)</f>
        <v>8</v>
      </c>
      <c r="E22" s="116" t="s">
        <v>910</v>
      </c>
      <c r="F22" s="116"/>
      <c r="G22" s="115" t="str">
        <f aca="false">VLOOKUP(G14,All!A8:R282,16,0)</f>
        <v>8</v>
      </c>
      <c r="H22" s="97"/>
    </row>
    <row r="23" customFormat="false" ht="18.75" hidden="false" customHeight="true" outlineLevel="0" collapsed="false">
      <c r="B23" s="95"/>
      <c r="C23" s="99" t="s">
        <v>911</v>
      </c>
      <c r="D23" s="115" t="str">
        <f aca="false">VLOOKUP(D14,All!A8:AP282,42,0)</f>
        <v>DDm125-33</v>
      </c>
      <c r="E23" s="116" t="s">
        <v>912</v>
      </c>
      <c r="F23" s="116"/>
      <c r="G23" s="115" t="str">
        <f aca="false">VLOOKUP(G14,All!A8:AP282,42,0)</f>
        <v>DDm125-33</v>
      </c>
      <c r="H23" s="97"/>
      <c r="J23" s="120" t="s">
        <v>905</v>
      </c>
    </row>
    <row r="24" customFormat="false" ht="18.75" hidden="false" customHeight="true" outlineLevel="0" collapsed="false">
      <c r="B24" s="95"/>
      <c r="C24" s="99" t="s">
        <v>913</v>
      </c>
      <c r="D24" s="121" t="n">
        <f aca="false">(VLOOKUP(D23,Table7[],15,0)*D22)</f>
        <v>1600</v>
      </c>
      <c r="E24" s="116" t="s">
        <v>914</v>
      </c>
      <c r="F24" s="116"/>
      <c r="G24" s="121" t="n">
        <f aca="false">(VLOOKUP(G23,Table7[],15,0)*G22)</f>
        <v>1600</v>
      </c>
      <c r="H24" s="97"/>
    </row>
    <row r="25" customFormat="false" ht="18.75" hidden="false" customHeight="true" outlineLevel="0" collapsed="false">
      <c r="B25" s="95"/>
      <c r="C25" s="99" t="s">
        <v>915</v>
      </c>
      <c r="D25" s="102" t="n">
        <f aca="false">D20</f>
        <v>2260.18348623853</v>
      </c>
      <c r="E25" s="116" t="s">
        <v>891</v>
      </c>
      <c r="F25" s="116"/>
      <c r="G25" s="102" t="n">
        <f aca="false">G20</f>
        <v>2260.18348623853</v>
      </c>
      <c r="H25" s="97"/>
    </row>
    <row r="26" customFormat="false" ht="6.75" hidden="false" customHeight="true" outlineLevel="0" collapsed="false">
      <c r="B26" s="95"/>
      <c r="C26" s="122"/>
      <c r="D26" s="123"/>
      <c r="E26" s="122"/>
      <c r="F26" s="122"/>
      <c r="G26" s="122"/>
      <c r="H26" s="97"/>
    </row>
    <row r="27" customFormat="false" ht="13.15" hidden="false" customHeight="false" outlineLevel="0" collapsed="false">
      <c r="B27" s="95"/>
      <c r="C27" s="124"/>
      <c r="D27" s="125" t="s">
        <v>916</v>
      </c>
      <c r="E27" s="126" t="s">
        <v>917</v>
      </c>
      <c r="F27" s="126"/>
      <c r="G27" s="125" t="s">
        <v>916</v>
      </c>
      <c r="H27" s="97"/>
    </row>
    <row r="28" customFormat="false" ht="18.75" hidden="false" customHeight="true" outlineLevel="0" collapsed="false">
      <c r="B28" s="95"/>
      <c r="C28" s="127" t="s">
        <v>918</v>
      </c>
      <c r="D28" s="128" t="e">
        <f aca="false">((VLOOKUP(D17,Table83[#data],2,0))*(D18-1))/2</f>
        <v>#VALUE!</v>
      </c>
      <c r="E28" s="129" t="n">
        <f aca="false">ROUNDUP((((VLOOKUP(D17,Rectifier_Lookup!A2:C23,2,0))*(D18-1))-(D25+G25))/(VLOOKUP(D17,Rectifier_Lookup!A2:C23,2,0)),0)</f>
        <v>1</v>
      </c>
      <c r="F28" s="129"/>
      <c r="G28" s="130" t="e">
        <f aca="false">((VLOOKUP(G17,Table83[#data],2,0))*(G18-1))/2</f>
        <v>#VALUE!</v>
      </c>
      <c r="H28" s="97"/>
    </row>
    <row r="29" customFormat="false" ht="15.75" hidden="false" customHeight="true" outlineLevel="0" collapsed="false">
      <c r="B29" s="95"/>
      <c r="C29" s="127" t="s">
        <v>919</v>
      </c>
      <c r="D29" s="131" t="e">
        <f aca="false">(D28*54.5)/1000</f>
        <v>#VALUE!</v>
      </c>
      <c r="E29" s="129"/>
      <c r="F29" s="129"/>
      <c r="G29" s="132" t="e">
        <f aca="false">(G28*54.5)/1000</f>
        <v>#VALUE!</v>
      </c>
      <c r="H29" s="97"/>
    </row>
    <row r="30" customFormat="false" ht="6" hidden="false" customHeight="true" outlineLevel="0" collapsed="false">
      <c r="B30" s="95"/>
      <c r="C30" s="122"/>
      <c r="D30" s="122"/>
      <c r="E30" s="122"/>
      <c r="F30" s="122"/>
      <c r="G30" s="122"/>
      <c r="H30" s="97"/>
    </row>
    <row r="31" customFormat="false" ht="19.5" hidden="false" customHeight="true" outlineLevel="0" collapsed="false">
      <c r="B31" s="95"/>
      <c r="C31" s="133"/>
      <c r="D31" s="134" t="s">
        <v>920</v>
      </c>
      <c r="E31" s="135" t="s">
        <v>921</v>
      </c>
      <c r="F31" s="135"/>
      <c r="G31" s="134" t="s">
        <v>922</v>
      </c>
      <c r="H31" s="97"/>
    </row>
    <row r="32" customFormat="false" ht="19.5" hidden="false" customHeight="true" outlineLevel="0" collapsed="false">
      <c r="B32" s="95"/>
      <c r="C32" s="136" t="s">
        <v>923</v>
      </c>
      <c r="D32" s="137" t="e">
        <f aca="false">(D33/D28)</f>
        <v>#VALUE!</v>
      </c>
      <c r="E32" s="138" t="s">
        <v>924</v>
      </c>
      <c r="F32" s="138"/>
      <c r="G32" s="137" t="e">
        <f aca="false">(G33/G28)</f>
        <v>#VALUE!</v>
      </c>
      <c r="H32" s="97"/>
    </row>
    <row r="33" customFormat="false" ht="19.5" hidden="false" customHeight="true" outlineLevel="0" collapsed="false">
      <c r="B33" s="95"/>
      <c r="C33" s="127" t="s">
        <v>918</v>
      </c>
      <c r="D33" s="128" t="e">
        <f aca="false">D28-D25</f>
        <v>#VALUE!</v>
      </c>
      <c r="E33" s="128" t="e">
        <f aca="false">D33+G33</f>
        <v>#VALUE!</v>
      </c>
      <c r="F33" s="128"/>
      <c r="G33" s="128" t="e">
        <f aca="false">G28-G25</f>
        <v>#VALUE!</v>
      </c>
      <c r="H33" s="97"/>
    </row>
    <row r="34" customFormat="false" ht="19.5" hidden="false" customHeight="true" outlineLevel="0" collapsed="false">
      <c r="B34" s="95"/>
      <c r="C34" s="127" t="s">
        <v>919</v>
      </c>
      <c r="D34" s="131" t="e">
        <f aca="false">(D33*54.5)/1000</f>
        <v>#VALUE!</v>
      </c>
      <c r="E34" s="131" t="e">
        <f aca="false">D34+G34</f>
        <v>#VALUE!</v>
      </c>
      <c r="F34" s="131"/>
      <c r="G34" s="131" t="e">
        <f aca="false">(G33*54.5)/1000</f>
        <v>#VALUE!</v>
      </c>
      <c r="H34" s="97"/>
    </row>
    <row r="35" customFormat="false" ht="6" hidden="false" customHeight="true" outlineLevel="0" collapsed="false">
      <c r="B35" s="95"/>
      <c r="C35" s="122"/>
      <c r="D35" s="122"/>
      <c r="E35" s="122"/>
      <c r="F35" s="122"/>
      <c r="G35" s="122"/>
      <c r="H35" s="97"/>
    </row>
    <row r="36" customFormat="false" ht="15.75" hidden="false" customHeight="true" outlineLevel="0" collapsed="false">
      <c r="B36" s="95"/>
      <c r="C36" s="139" t="s">
        <v>925</v>
      </c>
      <c r="D36" s="139"/>
      <c r="E36" s="139"/>
      <c r="F36" s="139"/>
      <c r="G36" s="139"/>
      <c r="H36" s="97"/>
    </row>
    <row r="37" customFormat="false" ht="15.75" hidden="false" customHeight="true" outlineLevel="0" collapsed="false">
      <c r="B37" s="95"/>
      <c r="C37" s="127" t="s">
        <v>926</v>
      </c>
      <c r="D37" s="140" t="s">
        <v>927</v>
      </c>
      <c r="E37" s="140" t="s">
        <v>928</v>
      </c>
      <c r="F37" s="140" t="s">
        <v>929</v>
      </c>
      <c r="G37" s="140" t="s">
        <v>930</v>
      </c>
      <c r="H37" s="97"/>
    </row>
    <row r="38" customFormat="false" ht="21.6" hidden="false" customHeight="true" outlineLevel="0" collapsed="false">
      <c r="B38" s="95"/>
      <c r="C38" s="141" t="s">
        <v>931</v>
      </c>
      <c r="D38" s="142" t="n">
        <f aca="false">VLOOKUP(D23,Table7[],6,0)*D22</f>
        <v>6119.33944954128</v>
      </c>
      <c r="E38" s="142" t="n">
        <f aca="false">VLOOKUP(D23,Table7[],7,0)*D22</f>
        <v>4096.46972477064</v>
      </c>
      <c r="F38" s="142" t="n">
        <f aca="false">VLOOKUP(D23,Table7[],8,0)*D22</f>
        <v>3119.9119266055</v>
      </c>
      <c r="G38" s="142" t="n">
        <f aca="false">VLOOKUP(D23,Table7[],9,0)*D22</f>
        <v>2568.22018348624</v>
      </c>
      <c r="H38" s="97"/>
    </row>
    <row r="39" customFormat="false" ht="21.6" hidden="false" customHeight="true" outlineLevel="0" collapsed="false">
      <c r="B39" s="95"/>
      <c r="C39" s="141" t="s">
        <v>932</v>
      </c>
      <c r="D39" s="142" t="n">
        <f aca="false">VLOOKUP(D23,Table7[],10,0)*D22</f>
        <v>333.504</v>
      </c>
      <c r="E39" s="142" t="n">
        <f aca="false">VLOOKUP(D23,Table7[],11,0)*D22</f>
        <v>223.2576</v>
      </c>
      <c r="F39" s="142" t="n">
        <f aca="false">VLOOKUP(D23,Table7[],12,0)*D22</f>
        <v>170.0352</v>
      </c>
      <c r="G39" s="142" t="n">
        <f aca="false">VLOOKUP(D23,Table7[],13,0)*D22</f>
        <v>139.968</v>
      </c>
      <c r="H39" s="97"/>
    </row>
    <row r="40" customFormat="false" ht="21.6" hidden="false" customHeight="true" outlineLevel="0" collapsed="false">
      <c r="B40" s="95"/>
      <c r="C40" s="143" t="s">
        <v>933</v>
      </c>
      <c r="D40" s="142" t="n">
        <f aca="false">VLOOKUP(G23,Table7[],6,0)*G22</f>
        <v>6119.33944954128</v>
      </c>
      <c r="E40" s="142" t="n">
        <f aca="false">VLOOKUP(G23,Table7[],7,0)*G22</f>
        <v>4096.46972477064</v>
      </c>
      <c r="F40" s="142" t="n">
        <f aca="false">VLOOKUP(G23,Table7[],8,0)*G22</f>
        <v>3119.9119266055</v>
      </c>
      <c r="G40" s="142" t="n">
        <f aca="false">VLOOKUP(G23,Table7[],9,0)*G22</f>
        <v>2568.22018348624</v>
      </c>
      <c r="H40" s="97"/>
    </row>
    <row r="41" customFormat="false" ht="21.6" hidden="false" customHeight="true" outlineLevel="0" collapsed="false">
      <c r="B41" s="95"/>
      <c r="C41" s="143" t="s">
        <v>934</v>
      </c>
      <c r="D41" s="142" t="n">
        <f aca="false">VLOOKUP(G23,Table7[],10,0)*G22</f>
        <v>333.504</v>
      </c>
      <c r="E41" s="142" t="n">
        <f aca="false">VLOOKUP(G23,Table7[],11,0)*G22</f>
        <v>223.2576</v>
      </c>
      <c r="F41" s="142" t="n">
        <f aca="false">VLOOKUP(G23,Table7[],12,0)*G22</f>
        <v>170.0352</v>
      </c>
      <c r="G41" s="142" t="n">
        <f aca="false">VLOOKUP(G23,Table7[],13,0)*G22</f>
        <v>139.968</v>
      </c>
      <c r="H41" s="97"/>
    </row>
    <row r="42" customFormat="false" ht="6" hidden="false" customHeight="true" outlineLevel="0" collapsed="false">
      <c r="B42" s="95"/>
      <c r="C42" s="122"/>
      <c r="D42" s="122"/>
      <c r="E42" s="122"/>
      <c r="F42" s="122"/>
      <c r="G42" s="122"/>
      <c r="H42" s="97"/>
    </row>
    <row r="43" customFormat="false" ht="21" hidden="false" customHeight="true" outlineLevel="0" collapsed="false">
      <c r="B43" s="95"/>
      <c r="C43" s="144" t="s">
        <v>935</v>
      </c>
      <c r="D43" s="144"/>
      <c r="E43" s="144"/>
      <c r="F43" s="144"/>
      <c r="G43" s="144"/>
      <c r="H43" s="97"/>
    </row>
    <row r="44" customFormat="false" ht="21" hidden="false" customHeight="true" outlineLevel="0" collapsed="false">
      <c r="B44" s="95"/>
      <c r="C44" s="145" t="s">
        <v>926</v>
      </c>
      <c r="D44" s="146" t="s">
        <v>927</v>
      </c>
      <c r="E44" s="146" t="s">
        <v>928</v>
      </c>
      <c r="F44" s="146" t="s">
        <v>929</v>
      </c>
      <c r="G44" s="146" t="s">
        <v>930</v>
      </c>
      <c r="H44" s="97"/>
    </row>
    <row r="45" customFormat="false" ht="21" hidden="false" customHeight="true" outlineLevel="0" collapsed="false">
      <c r="B45" s="95"/>
      <c r="C45" s="141" t="s">
        <v>936</v>
      </c>
      <c r="D45" s="142" t="n">
        <f aca="false">VLOOKUP(D23,Table7[],6,0)*D22</f>
        <v>6119.33944954128</v>
      </c>
      <c r="E45" s="142" t="n">
        <f aca="false">VLOOKUP(D23,Table7[],7,0)*D22</f>
        <v>4096.46972477064</v>
      </c>
      <c r="F45" s="142" t="n">
        <f aca="false">VLOOKUP(D23,Table7[],8,0)*D22</f>
        <v>3119.9119266055</v>
      </c>
      <c r="G45" s="142" t="n">
        <f aca="false">VLOOKUP(D23,Table7[],9,0)*D22</f>
        <v>2568.22018348624</v>
      </c>
      <c r="H45" s="97"/>
    </row>
    <row r="46" customFormat="false" ht="21" hidden="false" customHeight="true" outlineLevel="0" collapsed="false">
      <c r="B46" s="95"/>
      <c r="C46" s="141" t="s">
        <v>932</v>
      </c>
      <c r="D46" s="142" t="n">
        <f aca="false">VLOOKUP(D23,Table7[],10,0)*D22</f>
        <v>333.504</v>
      </c>
      <c r="E46" s="142" t="n">
        <f aca="false">VLOOKUP(D23,Table7[],11,0)*D22</f>
        <v>223.2576</v>
      </c>
      <c r="F46" s="142" t="n">
        <f aca="false">VLOOKUP(D23,Table7[],12,0)*D22</f>
        <v>170.0352</v>
      </c>
      <c r="G46" s="142" t="n">
        <f aca="false">VLOOKUP(D23,Table7[],13,0)*D22</f>
        <v>139.968</v>
      </c>
      <c r="H46" s="97"/>
    </row>
    <row r="47" customFormat="false" ht="21" hidden="false" customHeight="true" outlineLevel="0" collapsed="false">
      <c r="B47" s="95"/>
      <c r="C47" s="143" t="s">
        <v>937</v>
      </c>
      <c r="D47" s="142" t="n">
        <f aca="false">VLOOKUP(G23,Table7[],6,0)*G22</f>
        <v>6119.33944954128</v>
      </c>
      <c r="E47" s="142" t="n">
        <f aca="false">VLOOKUP(G23,Table7[],7,0)*G22</f>
        <v>4096.46972477064</v>
      </c>
      <c r="F47" s="142" t="n">
        <f aca="false">VLOOKUP(G23,Table7[],8,0)*G22</f>
        <v>3119.9119266055</v>
      </c>
      <c r="G47" s="142" t="n">
        <f aca="false">VLOOKUP(G23,Table7[],9,0)*G22</f>
        <v>2568.22018348624</v>
      </c>
      <c r="H47" s="97"/>
    </row>
    <row r="48" customFormat="false" ht="21" hidden="false" customHeight="true" outlineLevel="0" collapsed="false">
      <c r="B48" s="95"/>
      <c r="C48" s="143" t="s">
        <v>934</v>
      </c>
      <c r="D48" s="142" t="n">
        <f aca="false">VLOOKUP(G23,Table7[],10,0)*G22</f>
        <v>333.504</v>
      </c>
      <c r="E48" s="142" t="n">
        <f aca="false">VLOOKUP(G23,Table7[],11,0)*G22</f>
        <v>223.2576</v>
      </c>
      <c r="F48" s="142" t="n">
        <f aca="false">VLOOKUP(G23,Table7[],12,0)*G22</f>
        <v>170.0352</v>
      </c>
      <c r="G48" s="142" t="n">
        <f aca="false">VLOOKUP(G23,Table7[],13,0)*G22</f>
        <v>139.968</v>
      </c>
      <c r="H48" s="97"/>
    </row>
    <row r="49" customFormat="false" ht="13.15" hidden="false" customHeight="false" outlineLevel="0" collapsed="false">
      <c r="B49" s="147"/>
      <c r="H49" s="97"/>
    </row>
    <row r="50" customFormat="false" ht="15.75" hidden="false" customHeight="true" outlineLevel="0" collapsed="false">
      <c r="B50" s="148"/>
      <c r="C50" s="149"/>
      <c r="D50" s="149"/>
      <c r="E50" s="149"/>
      <c r="F50" s="149"/>
      <c r="G50" s="149"/>
      <c r="H50" s="150"/>
    </row>
  </sheetData>
  <sheetProtection algorithmName="SHA-512" hashValue="AHA9Corh7XAWxGIXeUyeaAGCgpg56Z3K3QoGQvzre+o9bOB5gL4R8V0X/udWw+RFaDsSiNcG/bDYTvEKhd0Gtg==" saltValue="rH8+c6KEPbhKoE6dp+zlsw==" spinCount="100000" sheet="true" objects="true" scenarios="true"/>
  <mergeCells count="27">
    <mergeCell ref="C3:G3"/>
    <mergeCell ref="E6:G6"/>
    <mergeCell ref="E7:G7"/>
    <mergeCell ref="E8:G8"/>
    <mergeCell ref="E9:G9"/>
    <mergeCell ref="E10:G10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7:F27"/>
    <mergeCell ref="E28:F29"/>
    <mergeCell ref="E31:F31"/>
    <mergeCell ref="E32:F32"/>
    <mergeCell ref="E33:F33"/>
    <mergeCell ref="E34:F34"/>
    <mergeCell ref="C36:G36"/>
    <mergeCell ref="C43:G43"/>
  </mergeCells>
  <conditionalFormatting sqref="D18">
    <cfRule type="cellIs" priority="2" operator="notEqual" aboveAverage="0" equalAverage="0" bottom="0" percent="0" rank="0" text="" dxfId="72">
      <formula>$G$18</formula>
    </cfRule>
  </conditionalFormatting>
  <conditionalFormatting sqref="D23">
    <cfRule type="cellIs" priority="3" operator="notEqual" aboveAverage="0" equalAverage="0" bottom="0" percent="0" rank="0" text="" dxfId="73">
      <formula>$G$23</formula>
    </cfRule>
  </conditionalFormatting>
  <conditionalFormatting sqref="D24">
    <cfRule type="cellIs" priority="4" operator="greaterThan" aboveAverage="0" equalAverage="0" bottom="0" percent="0" rank="0" text="" dxfId="74">
      <formula>$D$28</formula>
    </cfRule>
  </conditionalFormatting>
  <conditionalFormatting sqref="D29 G29">
    <cfRule type="cellIs" priority="5" operator="lessThan" aboveAverage="0" equalAverage="0" bottom="0" percent="0" rank="0" text="" dxfId="75">
      <formula>$D$21</formula>
    </cfRule>
    <cfRule type="cellIs" priority="6" operator="greaterThanOrEqual" aboveAverage="0" equalAverage="0" bottom="0" percent="0" rank="0" text="" dxfId="76">
      <formula>$D$21</formula>
    </cfRule>
  </conditionalFormatting>
  <conditionalFormatting sqref="D32 G32">
    <cfRule type="cellIs" priority="7" operator="lessThanOrEqual" aboveAverage="0" equalAverage="0" bottom="0" percent="0" rank="0" text="" dxfId="77">
      <formula>10%</formula>
    </cfRule>
    <cfRule type="cellIs" priority="8" operator="between" aboveAverage="0" equalAverage="0" bottom="0" percent="0" rank="0" text="" dxfId="78">
      <formula>24.99999%</formula>
      <formula>9.99999999999999%</formula>
    </cfRule>
    <cfRule type="cellIs" priority="9" operator="greaterThan" aboveAverage="0" equalAverage="0" bottom="0" percent="0" rank="0" text="" dxfId="79">
      <formula>25%</formula>
    </cfRule>
  </conditionalFormatting>
  <conditionalFormatting sqref="D46">
    <cfRule type="cellIs" priority="10" operator="lessThan" aboveAverage="0" equalAverage="0" bottom="0" percent="0" rank="0" text="" dxfId="80">
      <formula>$D$8</formula>
    </cfRule>
    <cfRule type="cellIs" priority="11" operator="greaterThanOrEqual" aboveAverage="0" equalAverage="0" bottom="0" percent="0" rank="0" text="" dxfId="81">
      <formula>$D$8</formula>
    </cfRule>
  </conditionalFormatting>
  <conditionalFormatting sqref="D48">
    <cfRule type="cellIs" priority="12" operator="lessThan" aboveAverage="0" equalAverage="0" bottom="0" percent="0" rank="0" text="" dxfId="82">
      <formula>$D$8</formula>
    </cfRule>
    <cfRule type="cellIs" priority="13" operator="greaterThanOrEqual" aboveAverage="0" equalAverage="0" bottom="0" percent="0" rank="0" text="" dxfId="83">
      <formula>$D$8</formula>
    </cfRule>
  </conditionalFormatting>
  <conditionalFormatting sqref="D28:E28 G28">
    <cfRule type="cellIs" priority="14" operator="lessThan" aboveAverage="0" equalAverage="0" bottom="0" percent="0" rank="0" text="" dxfId="84">
      <formula>$D$20</formula>
    </cfRule>
    <cfRule type="cellIs" priority="15" operator="greaterThanOrEqual" aboveAverage="0" equalAverage="0" bottom="0" percent="0" rank="0" text="" dxfId="85">
      <formula>$D$20</formula>
    </cfRule>
  </conditionalFormatting>
  <conditionalFormatting sqref="D33:E34 G33:G34">
    <cfRule type="cellIs" priority="16" operator="lessThanOrEqual" aboveAverage="0" equalAverage="0" bottom="0" percent="0" rank="0" text="" dxfId="86">
      <formula>0</formula>
    </cfRule>
    <cfRule type="cellIs" priority="17" operator="greaterThan" aboveAverage="0" equalAverage="0" bottom="0" percent="0" rank="0" text="" dxfId="87">
      <formula>0</formula>
    </cfRule>
  </conditionalFormatting>
  <conditionalFormatting sqref="D38:G38">
    <cfRule type="cellIs" priority="18" operator="lessThanOrEqual" aboveAverage="0" equalAverage="0" bottom="0" percent="0" rank="0" text="" dxfId="88">
      <formula>$D$20</formula>
    </cfRule>
    <cfRule type="cellIs" priority="19" operator="greaterThan" aboveAverage="0" equalAverage="0" bottom="0" percent="0" rank="0" text="" dxfId="89">
      <formula>$D$20</formula>
    </cfRule>
  </conditionalFormatting>
  <conditionalFormatting sqref="D39:G39">
    <cfRule type="cellIs" priority="20" operator="lessThan" aboveAverage="0" equalAverage="0" bottom="0" percent="0" rank="0" text="" dxfId="90">
      <formula>$D$21</formula>
    </cfRule>
    <cfRule type="cellIs" priority="21" operator="greaterThanOrEqual" aboveAverage="0" equalAverage="0" bottom="0" percent="0" rank="0" text="" dxfId="91">
      <formula>$D$21</formula>
    </cfRule>
  </conditionalFormatting>
  <conditionalFormatting sqref="D40:G40">
    <cfRule type="cellIs" priority="22" operator="lessThanOrEqual" aboveAverage="0" equalAverage="0" bottom="0" percent="0" rank="0" text="" dxfId="92">
      <formula>$D$20</formula>
    </cfRule>
    <cfRule type="cellIs" priority="23" operator="greaterThan" aboveAverage="0" equalAverage="0" bottom="0" percent="0" rank="0" text="" dxfId="93">
      <formula>$D$20</formula>
    </cfRule>
  </conditionalFormatting>
  <conditionalFormatting sqref="D41:G41">
    <cfRule type="cellIs" priority="24" operator="lessThan" aboveAverage="0" equalAverage="0" bottom="0" percent="0" rank="0" text="" dxfId="94">
      <formula>$D$21</formula>
    </cfRule>
    <cfRule type="cellIs" priority="25" operator="greaterThanOrEqual" aboveAverage="0" equalAverage="0" bottom="0" percent="0" rank="0" text="" dxfId="95">
      <formula>$D$21</formula>
    </cfRule>
  </conditionalFormatting>
  <conditionalFormatting sqref="D45:G45">
    <cfRule type="cellIs" priority="26" operator="lessThanOrEqual" aboveAverage="0" equalAverage="0" bottom="0" percent="0" rank="0" text="" dxfId="96">
      <formula>$D$20*2</formula>
    </cfRule>
    <cfRule type="cellIs" priority="27" operator="greaterThan" aboveAverage="0" equalAverage="0" bottom="0" percent="0" rank="0" text="" dxfId="97">
      <formula>$D$20*2</formula>
    </cfRule>
  </conditionalFormatting>
  <conditionalFormatting sqref="D47:G47">
    <cfRule type="cellIs" priority="28" operator="lessThanOrEqual" aboveAverage="0" equalAverage="0" bottom="0" percent="0" rank="0" text="" dxfId="98">
      <formula>$G$20*2</formula>
    </cfRule>
    <cfRule type="cellIs" priority="29" operator="greaterThan" aboveAverage="0" equalAverage="0" bottom="0" percent="0" rank="0" text="" dxfId="99">
      <formula>$G$20*2</formula>
    </cfRule>
  </conditionalFormatting>
  <conditionalFormatting sqref="E28">
    <cfRule type="cellIs" priority="30" operator="lessThan" aboveAverage="0" equalAverage="0" bottom="0" percent="0" rank="0" text="" dxfId="100">
      <formula>0</formula>
    </cfRule>
    <cfRule type="cellIs" priority="31" operator="greaterThanOrEqual" aboveAverage="0" equalAverage="0" bottom="0" percent="0" rank="0" text="" dxfId="101">
      <formula>0</formula>
    </cfRule>
  </conditionalFormatting>
  <conditionalFormatting sqref="E46:G46">
    <cfRule type="cellIs" priority="32" operator="lessThan" aboveAverage="0" equalAverage="0" bottom="0" percent="0" rank="0" text="" dxfId="102">
      <formula>$D$21*2</formula>
    </cfRule>
    <cfRule type="cellIs" priority="33" operator="greaterThanOrEqual" aboveAverage="0" equalAverage="0" bottom="0" percent="0" rank="0" text="" dxfId="103">
      <formula>$D$21*2</formula>
    </cfRule>
  </conditionalFormatting>
  <conditionalFormatting sqref="E48:G48">
    <cfRule type="cellIs" priority="34" operator="lessThan" aboveAverage="0" equalAverage="0" bottom="0" percent="0" rank="0" text="" dxfId="104">
      <formula>$G$21*2</formula>
    </cfRule>
    <cfRule type="cellIs" priority="35" operator="greaterThanOrEqual" aboveAverage="0" equalAverage="0" bottom="0" percent="0" rank="0" text="" dxfId="105">
      <formula>$G$21*2</formula>
    </cfRule>
  </conditionalFormatting>
  <conditionalFormatting sqref="G18">
    <cfRule type="cellIs" priority="36" operator="notEqual" aboveAverage="0" equalAverage="0" bottom="0" percent="0" rank="0" text="" dxfId="106">
      <formula>$D$18</formula>
    </cfRule>
  </conditionalFormatting>
  <conditionalFormatting sqref="G23">
    <cfRule type="cellIs" priority="37" operator="notEqual" aboveAverage="0" equalAverage="0" bottom="0" percent="0" rank="0" text="" dxfId="107">
      <formula>$D$23</formula>
    </cfRule>
  </conditionalFormatting>
  <conditionalFormatting sqref="G24">
    <cfRule type="cellIs" priority="38" operator="greaterThan" aboveAverage="0" equalAverage="0" bottom="0" percent="0" rank="0" text="" dxfId="108">
      <formula>$G$28</formula>
    </cfRule>
  </conditionalFormatting>
  <conditionalFormatting sqref="G28">
    <cfRule type="cellIs" priority="39" operator="lessThan" aboveAverage="0" equalAverage="0" bottom="0" percent="0" rank="0" text="" dxfId="109">
      <formula>$D$20</formula>
    </cfRule>
    <cfRule type="cellIs" priority="40" operator="greaterThanOrEqual" aboveAverage="0" equalAverage="0" bottom="0" percent="0" rank="0" text="" dxfId="110">
      <formula>$D$20</formula>
    </cfRule>
  </conditionalFormatting>
  <conditionalFormatting sqref="G28:G29 E28">
    <cfRule type="cellIs" priority="41" operator="greaterThanOrEqual" aboveAverage="0" equalAverage="0" bottom="0" percent="0" rank="0" text="" dxfId="111">
      <formula>0</formula>
    </cfRule>
    <cfRule type="cellIs" priority="42" operator="lessThan" aboveAverage="0" equalAverage="0" bottom="0" percent="0" rank="0" text="" dxfId="112">
      <formula>0</formula>
    </cfRule>
  </conditionalFormatting>
  <dataValidations count="1">
    <dataValidation allowBlank="true" operator="between" showDropDown="false" showErrorMessage="true" showInputMessage="true" sqref="D6" type="list">
      <formula1>Data!$C$2:$C$37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7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B27" activeCellId="0" sqref="B27"/>
    </sheetView>
  </sheetViews>
  <sheetFormatPr defaultColWidth="9.30078125" defaultRowHeight="13.15" zeroHeight="false" outlineLevelRow="0" outlineLevelCol="0"/>
  <cols>
    <col collapsed="false" customWidth="true" hidden="false" outlineLevel="0" max="1" min="1" style="1" width="43.42"/>
    <col collapsed="false" customWidth="true" hidden="false" outlineLevel="0" max="2" min="2" style="1" width="6.28"/>
    <col collapsed="false" customWidth="true" hidden="false" outlineLevel="0" max="3" min="3" style="1" width="4.29"/>
    <col collapsed="false" customWidth="true" hidden="false" outlineLevel="0" max="4" min="4" style="1" width="4.43"/>
    <col collapsed="false" customWidth="true" hidden="false" outlineLevel="0" max="6" min="5" style="1" width="5.7"/>
    <col collapsed="false" customWidth="false" hidden="false" outlineLevel="0" max="7" min="7" style="3" width="9.29"/>
    <col collapsed="false" customWidth="false" hidden="false" outlineLevel="0" max="8" min="8" style="2" width="9.29"/>
    <col collapsed="false" customWidth="true" hidden="false" outlineLevel="0" max="9" min="9" style="2" width="15.29"/>
    <col collapsed="false" customWidth="false" hidden="false" outlineLevel="0" max="10" min="10" style="3" width="9.29"/>
    <col collapsed="false" customWidth="true" hidden="false" outlineLevel="0" max="11" min="11" style="2" width="20.57"/>
    <col collapsed="false" customWidth="false" hidden="false" outlineLevel="0" max="12" min="12" style="3" width="9.29"/>
    <col collapsed="false" customWidth="true" hidden="false" outlineLevel="0" max="13" min="13" style="2" width="14.43"/>
    <col collapsed="false" customWidth="false" hidden="false" outlineLevel="0" max="14" min="14" style="3" width="9.29"/>
    <col collapsed="false" customWidth="true" hidden="false" outlineLevel="0" max="15" min="15" style="2" width="15.71"/>
    <col collapsed="false" customWidth="false" hidden="false" outlineLevel="0" max="16" min="16" style="3" width="9.29"/>
    <col collapsed="false" customWidth="true" hidden="false" outlineLevel="0" max="17" min="17" style="2" width="14.43"/>
    <col collapsed="false" customWidth="true" hidden="false" outlineLevel="0" max="18" min="18" style="3" width="14.28"/>
    <col collapsed="false" customWidth="true" hidden="false" outlineLevel="0" max="19" min="19" style="2" width="14.43"/>
    <col collapsed="false" customWidth="false" hidden="false" outlineLevel="0" max="20" min="20" style="3" width="9.29"/>
    <col collapsed="false" customWidth="true" hidden="false" outlineLevel="0" max="21" min="21" style="2" width="14.43"/>
    <col collapsed="false" customWidth="false" hidden="false" outlineLevel="0" max="22" min="22" style="3" width="9.29"/>
    <col collapsed="false" customWidth="true" hidden="false" outlineLevel="0" max="23" min="23" style="2" width="14.43"/>
    <col collapsed="false" customWidth="false" hidden="false" outlineLevel="0" max="24" min="24" style="3" width="9.29"/>
    <col collapsed="false" customWidth="true" hidden="false" outlineLevel="0" max="25" min="25" style="2" width="14.43"/>
    <col collapsed="false" customWidth="false" hidden="false" outlineLevel="0" max="26" min="26" style="3" width="9.29"/>
    <col collapsed="false" customWidth="true" hidden="false" outlineLevel="0" max="27" min="27" style="2" width="19.42"/>
    <col collapsed="false" customWidth="false" hidden="false" outlineLevel="0" max="28" min="28" style="3" width="9.29"/>
    <col collapsed="false" customWidth="false" hidden="false" outlineLevel="0" max="29" min="29" style="2" width="9.29"/>
    <col collapsed="false" customWidth="false" hidden="false" outlineLevel="0" max="30" min="30" style="3" width="9.29"/>
    <col collapsed="false" customWidth="false" hidden="false" outlineLevel="0" max="31" min="31" style="2" width="9.29"/>
    <col collapsed="false" customWidth="false" hidden="false" outlineLevel="0" max="32" min="32" style="3" width="9.29"/>
    <col collapsed="false" customWidth="true" hidden="false" outlineLevel="0" max="33" min="33" style="2" width="14.43"/>
    <col collapsed="false" customWidth="false" hidden="false" outlineLevel="0" max="34" min="34" style="3" width="9.29"/>
    <col collapsed="false" customWidth="false" hidden="false" outlineLevel="0" max="35" min="35" style="2" width="9.29"/>
    <col collapsed="false" customWidth="false" hidden="false" outlineLevel="0" max="36" min="36" style="3" width="9.29"/>
    <col collapsed="false" customWidth="true" hidden="false" outlineLevel="0" max="37" min="37" style="2" width="14.28"/>
    <col collapsed="false" customWidth="false" hidden="false" outlineLevel="0" max="38" min="38" style="3" width="9.29"/>
    <col collapsed="false" customWidth="true" hidden="false" outlineLevel="0" max="39" min="39" style="2" width="13.43"/>
    <col collapsed="false" customWidth="false" hidden="false" outlineLevel="0" max="40" min="40" style="3" width="9.29"/>
    <col collapsed="false" customWidth="false" hidden="false" outlineLevel="0" max="41" min="41" style="2" width="9.29"/>
    <col collapsed="false" customWidth="false" hidden="false" outlineLevel="0" max="42" min="42" style="3" width="9.29"/>
    <col collapsed="false" customWidth="false" hidden="false" outlineLevel="0" max="43" min="43" style="2" width="9.29"/>
    <col collapsed="false" customWidth="false" hidden="false" outlineLevel="0" max="44" min="44" style="3" width="9.29"/>
    <col collapsed="false" customWidth="false" hidden="false" outlineLevel="0" max="45" min="45" style="2" width="9.29"/>
    <col collapsed="false" customWidth="false" hidden="false" outlineLevel="0" max="46" min="46" style="3" width="9.29"/>
    <col collapsed="false" customWidth="false" hidden="false" outlineLevel="0" max="1024" min="47" style="2" width="9.29"/>
  </cols>
  <sheetData>
    <row r="1" customFormat="false" ht="18.75" hidden="false" customHeight="true" outlineLevel="0" collapsed="false">
      <c r="A1" s="4" t="s">
        <v>0</v>
      </c>
      <c r="B1" s="4"/>
      <c r="C1" s="4"/>
      <c r="D1" s="151" t="s">
        <v>938</v>
      </c>
      <c r="E1" s="151"/>
      <c r="F1" s="151"/>
      <c r="G1" s="151"/>
      <c r="H1" s="151"/>
    </row>
    <row r="2" customFormat="false" ht="12.75" hidden="false" customHeight="false" outlineLevel="0" collapsed="false">
      <c r="A2" s="9" t="s">
        <v>3</v>
      </c>
      <c r="B2" s="7"/>
      <c r="C2" s="7"/>
      <c r="D2" s="152" t="n">
        <v>18</v>
      </c>
      <c r="E2" s="153" t="s">
        <v>939</v>
      </c>
      <c r="F2" s="153"/>
      <c r="G2" s="154" t="n">
        <f aca="false">SUM(D2*54.5)/1000</f>
        <v>0.981</v>
      </c>
      <c r="H2" s="155" t="s">
        <v>940</v>
      </c>
      <c r="I2" s="156" t="s">
        <v>941</v>
      </c>
      <c r="J2" s="157" t="s">
        <v>942</v>
      </c>
      <c r="K2" s="157"/>
      <c r="L2" s="157"/>
    </row>
    <row r="3" customFormat="false" ht="13.15" hidden="false" customHeight="false" outlineLevel="0" collapsed="false">
      <c r="A3" s="11" t="s">
        <v>4</v>
      </c>
      <c r="B3" s="158"/>
      <c r="C3" s="158"/>
      <c r="D3" s="158"/>
      <c r="E3" s="158"/>
      <c r="F3" s="158"/>
      <c r="I3" s="159" t="s">
        <v>943</v>
      </c>
      <c r="J3" s="160" t="s">
        <v>944</v>
      </c>
      <c r="K3" s="161"/>
      <c r="L3" s="160"/>
      <c r="M3" s="161"/>
      <c r="N3" s="160"/>
      <c r="O3" s="162"/>
    </row>
    <row r="4" customFormat="false" ht="13.15" hidden="false" customHeight="false" outlineLevel="0" collapsed="false">
      <c r="A4" s="12" t="s">
        <v>4</v>
      </c>
      <c r="B4" s="158"/>
      <c r="C4" s="158"/>
      <c r="D4" s="158"/>
      <c r="E4" s="158"/>
      <c r="F4" s="158"/>
    </row>
    <row r="5" customFormat="false" ht="13.15" hidden="false" customHeight="false" outlineLevel="0" collapsed="false">
      <c r="A5" s="158"/>
      <c r="B5" s="158"/>
      <c r="C5" s="158"/>
      <c r="D5" s="158"/>
      <c r="E5" s="158"/>
      <c r="F5" s="158"/>
    </row>
    <row r="7" s="19" customFormat="true" ht="96" hidden="false" customHeight="true" outlineLevel="0" collapsed="false">
      <c r="A7" s="13" t="s">
        <v>5</v>
      </c>
      <c r="B7" s="17" t="s">
        <v>17</v>
      </c>
      <c r="C7" s="17" t="s">
        <v>18</v>
      </c>
      <c r="D7" s="17" t="s">
        <v>19</v>
      </c>
      <c r="E7" s="17" t="s">
        <v>20</v>
      </c>
      <c r="F7" s="17" t="s">
        <v>945</v>
      </c>
      <c r="G7" s="163" t="s">
        <v>22</v>
      </c>
      <c r="H7" s="18" t="s">
        <v>946</v>
      </c>
      <c r="I7" s="164" t="s">
        <v>947</v>
      </c>
      <c r="J7" s="165" t="s">
        <v>948</v>
      </c>
      <c r="K7" s="164" t="s">
        <v>947</v>
      </c>
      <c r="L7" s="165" t="s">
        <v>948</v>
      </c>
      <c r="M7" s="164" t="s">
        <v>947</v>
      </c>
      <c r="N7" s="165" t="s">
        <v>948</v>
      </c>
      <c r="O7" s="164" t="s">
        <v>947</v>
      </c>
      <c r="P7" s="165" t="s">
        <v>948</v>
      </c>
      <c r="Q7" s="164" t="s">
        <v>947</v>
      </c>
      <c r="R7" s="165" t="s">
        <v>948</v>
      </c>
      <c r="S7" s="164" t="s">
        <v>947</v>
      </c>
      <c r="T7" s="165" t="s">
        <v>948</v>
      </c>
      <c r="U7" s="164" t="s">
        <v>947</v>
      </c>
      <c r="V7" s="165" t="s">
        <v>948</v>
      </c>
      <c r="W7" s="164" t="s">
        <v>947</v>
      </c>
      <c r="X7" s="165" t="s">
        <v>948</v>
      </c>
      <c r="Y7" s="164" t="s">
        <v>947</v>
      </c>
      <c r="Z7" s="165" t="s">
        <v>948</v>
      </c>
      <c r="AA7" s="164" t="s">
        <v>947</v>
      </c>
      <c r="AB7" s="165" t="s">
        <v>948</v>
      </c>
      <c r="AC7" s="164" t="s">
        <v>947</v>
      </c>
      <c r="AD7" s="165" t="s">
        <v>948</v>
      </c>
      <c r="AE7" s="164" t="s">
        <v>947</v>
      </c>
      <c r="AF7" s="165" t="s">
        <v>948</v>
      </c>
      <c r="AG7" s="164" t="s">
        <v>947</v>
      </c>
      <c r="AH7" s="165" t="s">
        <v>948</v>
      </c>
      <c r="AI7" s="164" t="s">
        <v>947</v>
      </c>
      <c r="AJ7" s="165" t="s">
        <v>948</v>
      </c>
      <c r="AK7" s="164" t="s">
        <v>947</v>
      </c>
      <c r="AL7" s="165" t="s">
        <v>948</v>
      </c>
      <c r="AM7" s="164" t="s">
        <v>947</v>
      </c>
      <c r="AN7" s="165" t="s">
        <v>948</v>
      </c>
      <c r="AO7" s="164" t="s">
        <v>947</v>
      </c>
      <c r="AP7" s="165" t="s">
        <v>948</v>
      </c>
      <c r="AQ7" s="164" t="s">
        <v>947</v>
      </c>
      <c r="AR7" s="165" t="s">
        <v>948</v>
      </c>
      <c r="AS7" s="164" t="s">
        <v>947</v>
      </c>
      <c r="AT7" s="165" t="s">
        <v>948</v>
      </c>
      <c r="AU7" s="164" t="s">
        <v>947</v>
      </c>
      <c r="AV7" s="166" t="s">
        <v>949</v>
      </c>
    </row>
    <row r="8" customFormat="false" ht="13.15" hidden="false" customHeight="false" outlineLevel="0" collapsed="false">
      <c r="A8" s="20" t="s">
        <v>24</v>
      </c>
      <c r="B8" s="159"/>
      <c r="C8" s="167"/>
      <c r="D8" s="167"/>
      <c r="E8" s="167"/>
      <c r="F8" s="167"/>
      <c r="G8" s="168" t="n">
        <f aca="false">SUM(J8,L8,N8,P8,R8,T8,V8,X8,Z8,AB8,AD8,AF8,AH8,AJ8,AL8,AN8,AP8,AR8,AT8,AV8)</f>
        <v>0</v>
      </c>
      <c r="H8" s="169" t="n">
        <f aca="false">SUM(G8*1000)/54.5</f>
        <v>0</v>
      </c>
      <c r="I8" s="170"/>
      <c r="J8" s="171"/>
      <c r="K8" s="170"/>
      <c r="L8" s="171"/>
      <c r="M8" s="170"/>
      <c r="N8" s="171"/>
      <c r="O8" s="170"/>
      <c r="P8" s="171"/>
      <c r="Q8" s="170"/>
      <c r="R8" s="171"/>
      <c r="S8" s="170"/>
      <c r="T8" s="171"/>
      <c r="U8" s="170"/>
      <c r="V8" s="171"/>
      <c r="W8" s="170"/>
      <c r="X8" s="171"/>
      <c r="Y8" s="170"/>
      <c r="Z8" s="171"/>
      <c r="AA8" s="170"/>
      <c r="AB8" s="171"/>
      <c r="AC8" s="170"/>
      <c r="AD8" s="171"/>
      <c r="AE8" s="170"/>
      <c r="AF8" s="171"/>
      <c r="AG8" s="170"/>
      <c r="AH8" s="171"/>
      <c r="AI8" s="170"/>
      <c r="AJ8" s="171"/>
      <c r="AK8" s="170"/>
      <c r="AL8" s="171"/>
      <c r="AM8" s="170"/>
      <c r="AN8" s="171"/>
      <c r="AO8" s="170"/>
      <c r="AP8" s="171"/>
      <c r="AQ8" s="170"/>
      <c r="AR8" s="171"/>
      <c r="AS8" s="170"/>
      <c r="AT8" s="171"/>
      <c r="AU8" s="170"/>
      <c r="AV8" s="172" t="n">
        <f aca="false">IFERROR(VLOOKUP(A8,'Site check'!A:Q,14,0),0)</f>
        <v>0</v>
      </c>
    </row>
    <row r="9" customFormat="false" ht="13.15" hidden="false" customHeight="false" outlineLevel="0" collapsed="false">
      <c r="A9" s="20" t="s">
        <v>25</v>
      </c>
      <c r="B9" s="159"/>
      <c r="C9" s="167"/>
      <c r="D9" s="167"/>
      <c r="E9" s="167"/>
      <c r="F9" s="167"/>
      <c r="G9" s="168" t="n">
        <f aca="false">SUM(J9,L9,N9,P9,R9,T9,V9,X9,Z9,AB9,AD9,AF9,AH9,AJ9,AL9,AN9,AP9,AR9,AT9,AV9)</f>
        <v>6.5</v>
      </c>
      <c r="H9" s="169" t="n">
        <f aca="false">SUM(G9*1000)/54.5</f>
        <v>119.266055045872</v>
      </c>
      <c r="I9" s="170" t="s">
        <v>950</v>
      </c>
      <c r="J9" s="171" t="n">
        <v>0.5</v>
      </c>
      <c r="K9" s="173" t="s">
        <v>951</v>
      </c>
      <c r="L9" s="174" t="n">
        <v>2</v>
      </c>
      <c r="M9" s="173" t="s">
        <v>952</v>
      </c>
      <c r="N9" s="174" t="n">
        <v>2</v>
      </c>
      <c r="O9" s="173" t="s">
        <v>953</v>
      </c>
      <c r="P9" s="171" t="n">
        <v>2</v>
      </c>
      <c r="Q9" s="170"/>
      <c r="R9" s="171"/>
      <c r="S9" s="170"/>
      <c r="T9" s="171"/>
      <c r="U9" s="170"/>
      <c r="V9" s="171"/>
      <c r="W9" s="170"/>
      <c r="X9" s="171"/>
      <c r="Y9" s="170"/>
      <c r="Z9" s="171"/>
      <c r="AA9" s="170"/>
      <c r="AB9" s="171"/>
      <c r="AC9" s="170"/>
      <c r="AD9" s="171"/>
      <c r="AE9" s="170"/>
      <c r="AF9" s="171"/>
      <c r="AG9" s="170"/>
      <c r="AH9" s="171"/>
      <c r="AI9" s="170"/>
      <c r="AJ9" s="171"/>
      <c r="AK9" s="170"/>
      <c r="AL9" s="171"/>
      <c r="AM9" s="170"/>
      <c r="AN9" s="171"/>
      <c r="AO9" s="170"/>
      <c r="AP9" s="171"/>
      <c r="AQ9" s="170"/>
      <c r="AR9" s="171"/>
      <c r="AS9" s="170"/>
      <c r="AT9" s="171"/>
      <c r="AU9" s="170"/>
      <c r="AV9" s="172" t="n">
        <f aca="false">IFERROR(VLOOKUP(A9,'Site check'!A:Q,14,0),0)</f>
        <v>0</v>
      </c>
    </row>
    <row r="10" customFormat="false" ht="13.15" hidden="false" customHeight="false" outlineLevel="0" collapsed="false">
      <c r="A10" s="20" t="s">
        <v>26</v>
      </c>
      <c r="B10" s="159"/>
      <c r="C10" s="167"/>
      <c r="D10" s="167"/>
      <c r="E10" s="167"/>
      <c r="F10" s="167"/>
      <c r="G10" s="168" t="n">
        <f aca="false">SUM(J10,L10,N10,P10,R10,T10,V10,X10,Z10,AB10,AD10,AF10,AH10,AJ10,AL10,AN10,AP10,AR10,AT10,AV10)</f>
        <v>2</v>
      </c>
      <c r="H10" s="169" t="n">
        <f aca="false">SUM(G10*1000)/54.5</f>
        <v>36.697247706422</v>
      </c>
      <c r="I10" s="173" t="s">
        <v>954</v>
      </c>
      <c r="J10" s="175" t="n">
        <v>1</v>
      </c>
      <c r="K10" s="173" t="s">
        <v>955</v>
      </c>
      <c r="L10" s="174" t="n">
        <v>1</v>
      </c>
      <c r="M10" s="173"/>
      <c r="N10" s="174"/>
      <c r="O10" s="173"/>
      <c r="P10" s="171"/>
      <c r="Q10" s="170"/>
      <c r="R10" s="171"/>
      <c r="S10" s="170"/>
      <c r="T10" s="171"/>
      <c r="U10" s="170"/>
      <c r="V10" s="171"/>
      <c r="W10" s="170"/>
      <c r="X10" s="171"/>
      <c r="Y10" s="170"/>
      <c r="Z10" s="171"/>
      <c r="AA10" s="170"/>
      <c r="AB10" s="171"/>
      <c r="AC10" s="170"/>
      <c r="AD10" s="171"/>
      <c r="AE10" s="170"/>
      <c r="AF10" s="171"/>
      <c r="AG10" s="170"/>
      <c r="AH10" s="171"/>
      <c r="AI10" s="170"/>
      <c r="AJ10" s="171"/>
      <c r="AK10" s="170"/>
      <c r="AL10" s="171"/>
      <c r="AM10" s="170"/>
      <c r="AN10" s="171"/>
      <c r="AO10" s="170"/>
      <c r="AP10" s="171"/>
      <c r="AQ10" s="170"/>
      <c r="AR10" s="171"/>
      <c r="AS10" s="170"/>
      <c r="AT10" s="171"/>
      <c r="AU10" s="170"/>
      <c r="AV10" s="172" t="n">
        <f aca="false">IFERROR(VLOOKUP(A10,'Site check'!A:Q,14,0),0)</f>
        <v>0</v>
      </c>
    </row>
    <row r="11" customFormat="false" ht="13.15" hidden="false" customHeight="false" outlineLevel="0" collapsed="false">
      <c r="A11" s="20" t="s">
        <v>27</v>
      </c>
      <c r="B11" s="159"/>
      <c r="C11" s="167"/>
      <c r="D11" s="167"/>
      <c r="E11" s="167"/>
      <c r="F11" s="167"/>
      <c r="G11" s="168" t="n">
        <f aca="false">SUM(J11,L11,N11,P11,R11,T11,V11,X11,Z11,AB11,AD11,AF11,AH11,AJ11,AL11,AN11,AP11,AR11,AT11,AV11)</f>
        <v>5</v>
      </c>
      <c r="H11" s="169" t="n">
        <f aca="false">SUM(G11*1000)/54.5</f>
        <v>91.743119266055</v>
      </c>
      <c r="I11" s="170" t="s">
        <v>956</v>
      </c>
      <c r="J11" s="171" t="n">
        <v>4</v>
      </c>
      <c r="K11" s="173" t="s">
        <v>957</v>
      </c>
      <c r="L11" s="174" t="n">
        <v>1</v>
      </c>
      <c r="M11" s="173"/>
      <c r="N11" s="174"/>
      <c r="O11" s="173"/>
      <c r="P11" s="171"/>
      <c r="Q11" s="170"/>
      <c r="R11" s="171"/>
      <c r="S11" s="170"/>
      <c r="T11" s="171"/>
      <c r="U11" s="170"/>
      <c r="V11" s="171"/>
      <c r="W11" s="170"/>
      <c r="X11" s="171"/>
      <c r="Y11" s="170"/>
      <c r="Z11" s="171"/>
      <c r="AA11" s="170"/>
      <c r="AB11" s="171"/>
      <c r="AC11" s="170"/>
      <c r="AD11" s="171"/>
      <c r="AE11" s="170"/>
      <c r="AF11" s="171"/>
      <c r="AG11" s="170"/>
      <c r="AH11" s="171"/>
      <c r="AI11" s="170"/>
      <c r="AJ11" s="171"/>
      <c r="AK11" s="170"/>
      <c r="AL11" s="171"/>
      <c r="AM11" s="170"/>
      <c r="AN11" s="171"/>
      <c r="AO11" s="170"/>
      <c r="AP11" s="171"/>
      <c r="AQ11" s="170"/>
      <c r="AR11" s="171"/>
      <c r="AS11" s="170"/>
      <c r="AT11" s="171"/>
      <c r="AU11" s="170"/>
      <c r="AV11" s="172" t="n">
        <f aca="false">IFERROR(VLOOKUP(A11,'Site check'!A:Q,14,0),0)</f>
        <v>0</v>
      </c>
    </row>
    <row r="12" customFormat="false" ht="13.15" hidden="false" customHeight="false" outlineLevel="0" collapsed="false">
      <c r="A12" s="32" t="s">
        <v>28</v>
      </c>
      <c r="B12" s="159"/>
      <c r="C12" s="176" t="s">
        <v>18</v>
      </c>
      <c r="D12" s="167"/>
      <c r="E12" s="167"/>
      <c r="F12" s="176" t="s">
        <v>958</v>
      </c>
      <c r="G12" s="168" t="n">
        <f aca="false">SUM(J12,L12,N12,P12,R12,T12,V12,X12,Z12,AB12,AD12,AF12,AH12,AJ12,AL12,AN12,AP12,AR12,AT12,AV12)</f>
        <v>7.35</v>
      </c>
      <c r="H12" s="169" t="n">
        <f aca="false">SUM(G12*1000)/54.5</f>
        <v>134.862385321101</v>
      </c>
      <c r="I12" s="170" t="s">
        <v>959</v>
      </c>
      <c r="J12" s="171" t="n">
        <v>0.9</v>
      </c>
      <c r="K12" s="170" t="s">
        <v>960</v>
      </c>
      <c r="L12" s="171" t="n">
        <v>2.85</v>
      </c>
      <c r="M12" s="173" t="s">
        <v>961</v>
      </c>
      <c r="N12" s="174" t="n">
        <v>0.8</v>
      </c>
      <c r="O12" s="173" t="s">
        <v>962</v>
      </c>
      <c r="P12" s="174" t="n">
        <v>0.8</v>
      </c>
      <c r="Q12" s="177" t="s">
        <v>963</v>
      </c>
      <c r="R12" s="178" t="n">
        <v>1.5</v>
      </c>
      <c r="S12" s="179" t="s">
        <v>964</v>
      </c>
      <c r="T12" s="180" t="n">
        <v>0.5</v>
      </c>
      <c r="U12" s="170"/>
      <c r="V12" s="171"/>
      <c r="W12" s="170"/>
      <c r="X12" s="171"/>
      <c r="Y12" s="170"/>
      <c r="Z12" s="171"/>
      <c r="AA12" s="170"/>
      <c r="AB12" s="171"/>
      <c r="AC12" s="170"/>
      <c r="AD12" s="171"/>
      <c r="AE12" s="170"/>
      <c r="AF12" s="171"/>
      <c r="AG12" s="170"/>
      <c r="AH12" s="171"/>
      <c r="AI12" s="170"/>
      <c r="AJ12" s="171"/>
      <c r="AK12" s="170"/>
      <c r="AL12" s="171"/>
      <c r="AM12" s="170"/>
      <c r="AN12" s="171"/>
      <c r="AO12" s="170"/>
      <c r="AP12" s="171"/>
      <c r="AQ12" s="170"/>
      <c r="AR12" s="171"/>
      <c r="AS12" s="170"/>
      <c r="AT12" s="171"/>
      <c r="AU12" s="170"/>
      <c r="AV12" s="172" t="n">
        <f aca="false">IFERROR(VLOOKUP(A12,'Site check'!A:Q,14,0),0)</f>
        <v>0</v>
      </c>
    </row>
    <row r="13" customFormat="false" ht="13.15" hidden="false" customHeight="false" outlineLevel="0" collapsed="false">
      <c r="A13" s="32" t="s">
        <v>29</v>
      </c>
      <c r="B13" s="159"/>
      <c r="C13" s="176"/>
      <c r="D13" s="167"/>
      <c r="E13" s="167"/>
      <c r="F13" s="176"/>
      <c r="G13" s="168" t="n">
        <f aca="false">SUM(J13,L13,N13,P13,R13,T13,V13,X13,Z13,AB13,AD13,AF13,AH13,AJ13,AL13,AN13,AP13,AR13,AT13,AV13)</f>
        <v>7.25</v>
      </c>
      <c r="H13" s="169" t="n">
        <f aca="false">SUM(G13*1000)/54.5</f>
        <v>133.02752293578</v>
      </c>
      <c r="I13" s="170" t="s">
        <v>959</v>
      </c>
      <c r="J13" s="171" t="n">
        <v>1</v>
      </c>
      <c r="K13" s="170" t="s">
        <v>960</v>
      </c>
      <c r="L13" s="171" t="n">
        <v>2.45</v>
      </c>
      <c r="M13" s="173" t="s">
        <v>961</v>
      </c>
      <c r="N13" s="174" t="n">
        <v>0.8</v>
      </c>
      <c r="O13" s="173" t="s">
        <v>962</v>
      </c>
      <c r="P13" s="174" t="n">
        <v>1</v>
      </c>
      <c r="Q13" s="177" t="s">
        <v>963</v>
      </c>
      <c r="R13" s="178" t="n">
        <v>1.5</v>
      </c>
      <c r="S13" s="179" t="s">
        <v>964</v>
      </c>
      <c r="T13" s="180" t="n">
        <v>0.5</v>
      </c>
      <c r="U13" s="170"/>
      <c r="V13" s="171"/>
      <c r="W13" s="170"/>
      <c r="X13" s="171"/>
      <c r="Y13" s="170"/>
      <c r="Z13" s="171"/>
      <c r="AA13" s="170"/>
      <c r="AB13" s="171"/>
      <c r="AC13" s="170"/>
      <c r="AD13" s="171"/>
      <c r="AE13" s="170"/>
      <c r="AF13" s="171"/>
      <c r="AG13" s="170"/>
      <c r="AH13" s="171"/>
      <c r="AI13" s="170"/>
      <c r="AJ13" s="171"/>
      <c r="AK13" s="170"/>
      <c r="AL13" s="171"/>
      <c r="AM13" s="170"/>
      <c r="AN13" s="171"/>
      <c r="AO13" s="170"/>
      <c r="AP13" s="171"/>
      <c r="AQ13" s="170"/>
      <c r="AR13" s="171"/>
      <c r="AS13" s="170"/>
      <c r="AT13" s="171"/>
      <c r="AU13" s="170"/>
      <c r="AV13" s="172" t="n">
        <f aca="false">IFERROR(VLOOKUP(A13,'Site check'!A:Q,14,0),0)</f>
        <v>0</v>
      </c>
    </row>
    <row r="14" customFormat="false" ht="13.15" hidden="false" customHeight="false" outlineLevel="0" collapsed="false">
      <c r="A14" s="20" t="s">
        <v>30</v>
      </c>
      <c r="B14" s="159"/>
      <c r="C14" s="167"/>
      <c r="D14" s="167"/>
      <c r="E14" s="167"/>
      <c r="F14" s="167"/>
      <c r="G14" s="168" t="n">
        <f aca="false">SUM(J14,L14,N14,P14,R14,T14,V14,X14,Z14,AB14,AD14,AF14,AH14,AJ14,AL14,AN14,AP14,AR14,AT14,AV14)</f>
        <v>0.4</v>
      </c>
      <c r="H14" s="169" t="n">
        <f aca="false">SUM(G14*1000)/54.5</f>
        <v>7.3394495412844</v>
      </c>
      <c r="I14" s="181" t="s">
        <v>965</v>
      </c>
      <c r="J14" s="175" t="n">
        <v>0.4</v>
      </c>
      <c r="K14" s="170"/>
      <c r="L14" s="171"/>
      <c r="M14" s="170"/>
      <c r="N14" s="171"/>
      <c r="O14" s="170"/>
      <c r="P14" s="171"/>
      <c r="Q14" s="170"/>
      <c r="R14" s="171"/>
      <c r="S14" s="170"/>
      <c r="T14" s="171"/>
      <c r="U14" s="170"/>
      <c r="V14" s="171"/>
      <c r="W14" s="170"/>
      <c r="X14" s="171"/>
      <c r="Y14" s="170"/>
      <c r="Z14" s="171"/>
      <c r="AA14" s="170"/>
      <c r="AB14" s="171"/>
      <c r="AC14" s="170"/>
      <c r="AD14" s="171"/>
      <c r="AE14" s="170"/>
      <c r="AF14" s="171"/>
      <c r="AG14" s="170"/>
      <c r="AH14" s="171"/>
      <c r="AI14" s="170"/>
      <c r="AJ14" s="171"/>
      <c r="AK14" s="170"/>
      <c r="AL14" s="171"/>
      <c r="AM14" s="170"/>
      <c r="AN14" s="171"/>
      <c r="AO14" s="170"/>
      <c r="AP14" s="171"/>
      <c r="AQ14" s="170"/>
      <c r="AR14" s="171"/>
      <c r="AS14" s="170"/>
      <c r="AT14" s="171"/>
      <c r="AU14" s="170"/>
      <c r="AV14" s="172" t="n">
        <f aca="false">IFERROR(VLOOKUP(A14,'Site check'!A:Q,14,0),0)</f>
        <v>0</v>
      </c>
    </row>
    <row r="15" customFormat="false" ht="13.15" hidden="false" customHeight="false" outlineLevel="0" collapsed="false">
      <c r="A15" s="20" t="s">
        <v>31</v>
      </c>
      <c r="B15" s="159"/>
      <c r="C15" s="167"/>
      <c r="D15" s="167"/>
      <c r="E15" s="167"/>
      <c r="F15" s="167"/>
      <c r="G15" s="168" t="n">
        <f aca="false">SUM(J15,L15,N15,P15,R15,T15,V15,X15,Z15,AB15,AD15,AF15,AH15,AJ15,AL15,AN15,AP15,AR15,AT15,AV15)</f>
        <v>0.5</v>
      </c>
      <c r="H15" s="169" t="n">
        <f aca="false">SUM(G15*1000)/54.5</f>
        <v>9.1743119266055</v>
      </c>
      <c r="I15" s="170" t="s">
        <v>966</v>
      </c>
      <c r="J15" s="171" t="n">
        <v>0.5</v>
      </c>
      <c r="K15" s="170"/>
      <c r="L15" s="171"/>
      <c r="M15" s="170"/>
      <c r="N15" s="171"/>
      <c r="O15" s="170"/>
      <c r="P15" s="171"/>
      <c r="Q15" s="170"/>
      <c r="R15" s="171"/>
      <c r="S15" s="170"/>
      <c r="T15" s="171"/>
      <c r="U15" s="170"/>
      <c r="V15" s="171"/>
      <c r="W15" s="170"/>
      <c r="X15" s="171"/>
      <c r="Y15" s="170"/>
      <c r="Z15" s="171"/>
      <c r="AA15" s="170"/>
      <c r="AB15" s="171"/>
      <c r="AC15" s="170"/>
      <c r="AD15" s="171"/>
      <c r="AE15" s="170"/>
      <c r="AF15" s="171"/>
      <c r="AG15" s="170"/>
      <c r="AH15" s="171"/>
      <c r="AI15" s="170"/>
      <c r="AJ15" s="171"/>
      <c r="AK15" s="170"/>
      <c r="AL15" s="171"/>
      <c r="AM15" s="170"/>
      <c r="AN15" s="171"/>
      <c r="AO15" s="170"/>
      <c r="AP15" s="171"/>
      <c r="AQ15" s="170"/>
      <c r="AR15" s="171"/>
      <c r="AS15" s="170"/>
      <c r="AT15" s="171"/>
      <c r="AU15" s="170"/>
      <c r="AV15" s="172" t="n">
        <f aca="false">IFERROR(VLOOKUP(A15,'Site check'!A:Q,14,0),0)</f>
        <v>0</v>
      </c>
    </row>
    <row r="16" customFormat="false" ht="13.15" hidden="false" customHeight="false" outlineLevel="0" collapsed="false">
      <c r="A16" s="20" t="s">
        <v>32</v>
      </c>
      <c r="B16" s="159"/>
      <c r="C16" s="167"/>
      <c r="D16" s="167"/>
      <c r="E16" s="167"/>
      <c r="F16" s="167"/>
      <c r="G16" s="168" t="n">
        <f aca="false">SUM(J16,L16,N16,P16,R16,T16,V16,X16,Z16,AB16,AD16,AF16,AH16,AJ16,AL16,AN16,AP16,AR16,AT16,AV16)</f>
        <v>0</v>
      </c>
      <c r="H16" s="169" t="n">
        <f aca="false">SUM(G16*1000)/54.5</f>
        <v>0</v>
      </c>
      <c r="I16" s="170"/>
      <c r="J16" s="171"/>
      <c r="K16" s="170"/>
      <c r="L16" s="171"/>
      <c r="M16" s="170"/>
      <c r="N16" s="171"/>
      <c r="O16" s="170"/>
      <c r="P16" s="171"/>
      <c r="Q16" s="170"/>
      <c r="R16" s="171"/>
      <c r="S16" s="170"/>
      <c r="T16" s="171"/>
      <c r="U16" s="170"/>
      <c r="V16" s="171"/>
      <c r="W16" s="170"/>
      <c r="X16" s="171"/>
      <c r="Y16" s="170"/>
      <c r="Z16" s="171"/>
      <c r="AA16" s="170"/>
      <c r="AB16" s="171"/>
      <c r="AC16" s="170"/>
      <c r="AD16" s="171"/>
      <c r="AE16" s="170"/>
      <c r="AF16" s="171"/>
      <c r="AG16" s="170"/>
      <c r="AH16" s="171"/>
      <c r="AI16" s="170"/>
      <c r="AJ16" s="171"/>
      <c r="AK16" s="170"/>
      <c r="AL16" s="171"/>
      <c r="AM16" s="170"/>
      <c r="AN16" s="171"/>
      <c r="AO16" s="170"/>
      <c r="AP16" s="171"/>
      <c r="AQ16" s="170"/>
      <c r="AR16" s="171"/>
      <c r="AS16" s="170"/>
      <c r="AT16" s="171"/>
      <c r="AU16" s="170"/>
      <c r="AV16" s="172" t="n">
        <f aca="false">IFERROR(VLOOKUP(A16,'Site check'!A:Q,14,0),0)</f>
        <v>0</v>
      </c>
    </row>
    <row r="17" customFormat="false" ht="13.15" hidden="false" customHeight="false" outlineLevel="0" collapsed="false">
      <c r="A17" s="20" t="s">
        <v>33</v>
      </c>
      <c r="B17" s="159"/>
      <c r="C17" s="167"/>
      <c r="D17" s="167"/>
      <c r="E17" s="167"/>
      <c r="F17" s="167"/>
      <c r="G17" s="168" t="n">
        <f aca="false">SUM(J17,L17,N17,P17,R17,T17,V17,X17,Z17,AB17,AD17,AF17,AH17,AJ17,AL17,AN17,AP17,AR17,AT17,AV17)</f>
        <v>0</v>
      </c>
      <c r="H17" s="169" t="n">
        <f aca="false">SUM(G17*1000)/54.5</f>
        <v>0</v>
      </c>
      <c r="I17" s="170"/>
      <c r="J17" s="171"/>
      <c r="K17" s="170"/>
      <c r="L17" s="171"/>
      <c r="M17" s="170"/>
      <c r="N17" s="171"/>
      <c r="O17" s="170"/>
      <c r="P17" s="171"/>
      <c r="Q17" s="170"/>
      <c r="R17" s="171"/>
      <c r="S17" s="170"/>
      <c r="T17" s="171"/>
      <c r="U17" s="170"/>
      <c r="V17" s="171"/>
      <c r="W17" s="170"/>
      <c r="X17" s="171"/>
      <c r="Y17" s="170"/>
      <c r="Z17" s="171"/>
      <c r="AA17" s="170"/>
      <c r="AB17" s="171"/>
      <c r="AC17" s="170"/>
      <c r="AD17" s="171"/>
      <c r="AE17" s="170"/>
      <c r="AF17" s="171"/>
      <c r="AG17" s="170"/>
      <c r="AH17" s="171"/>
      <c r="AI17" s="170"/>
      <c r="AJ17" s="171"/>
      <c r="AK17" s="170"/>
      <c r="AL17" s="171"/>
      <c r="AM17" s="170"/>
      <c r="AN17" s="171"/>
      <c r="AO17" s="170"/>
      <c r="AP17" s="171"/>
      <c r="AQ17" s="170"/>
      <c r="AR17" s="171"/>
      <c r="AS17" s="170"/>
      <c r="AT17" s="171"/>
      <c r="AU17" s="170"/>
      <c r="AV17" s="172" t="n">
        <f aca="false">IFERROR(VLOOKUP(A17,'Site check'!A:Q,14,0),0)</f>
        <v>0</v>
      </c>
    </row>
    <row r="18" customFormat="false" ht="13.15" hidden="false" customHeight="false" outlineLevel="0" collapsed="false">
      <c r="A18" s="20" t="s">
        <v>34</v>
      </c>
      <c r="B18" s="159"/>
      <c r="C18" s="176" t="s">
        <v>18</v>
      </c>
      <c r="D18" s="167"/>
      <c r="E18" s="167"/>
      <c r="F18" s="167"/>
      <c r="G18" s="168" t="n">
        <f aca="false">SUM(J18,L18,N18,P18,R18,T18,V18,X18,Z18,AB18,AD18,AF18,AH18,AJ18,AL18,AN18,AP18,AR18,AT18,AV18)</f>
        <v>6.9</v>
      </c>
      <c r="H18" s="169" t="n">
        <f aca="false">SUM(G18*1000)/54.5</f>
        <v>126.605504587156</v>
      </c>
      <c r="I18" s="170" t="s">
        <v>967</v>
      </c>
      <c r="J18" s="171" t="n">
        <v>2.4</v>
      </c>
      <c r="K18" s="170" t="s">
        <v>968</v>
      </c>
      <c r="L18" s="171" t="n">
        <v>0.5</v>
      </c>
      <c r="M18" s="173" t="s">
        <v>969</v>
      </c>
      <c r="N18" s="174" t="n">
        <v>2</v>
      </c>
      <c r="O18" s="173" t="s">
        <v>970</v>
      </c>
      <c r="P18" s="174" t="n">
        <v>1</v>
      </c>
      <c r="Q18" s="173" t="s">
        <v>971</v>
      </c>
      <c r="R18" s="174" t="n">
        <v>1</v>
      </c>
      <c r="S18" s="170"/>
      <c r="T18" s="171"/>
      <c r="U18" s="170"/>
      <c r="V18" s="171"/>
      <c r="W18" s="170"/>
      <c r="X18" s="171"/>
      <c r="Y18" s="170"/>
      <c r="Z18" s="171"/>
      <c r="AA18" s="170"/>
      <c r="AB18" s="171"/>
      <c r="AC18" s="170"/>
      <c r="AD18" s="171"/>
      <c r="AE18" s="170"/>
      <c r="AF18" s="171"/>
      <c r="AG18" s="170"/>
      <c r="AH18" s="171"/>
      <c r="AI18" s="170"/>
      <c r="AJ18" s="171"/>
      <c r="AK18" s="170"/>
      <c r="AL18" s="171"/>
      <c r="AM18" s="170"/>
      <c r="AN18" s="171"/>
      <c r="AO18" s="170"/>
      <c r="AP18" s="171"/>
      <c r="AQ18" s="170"/>
      <c r="AR18" s="171"/>
      <c r="AS18" s="170"/>
      <c r="AT18" s="171"/>
      <c r="AU18" s="170"/>
      <c r="AV18" s="172" t="n">
        <f aca="false">IFERROR(VLOOKUP(A18,'Site check'!A:Q,14,0),0)</f>
        <v>0</v>
      </c>
    </row>
    <row r="19" customFormat="false" ht="13.15" hidden="false" customHeight="false" outlineLevel="0" collapsed="false">
      <c r="A19" s="20" t="s">
        <v>35</v>
      </c>
      <c r="B19" s="159"/>
      <c r="C19" s="167"/>
      <c r="D19" s="167"/>
      <c r="E19" s="167"/>
      <c r="F19" s="167"/>
      <c r="G19" s="168" t="n">
        <f aca="false">SUM(J19,L19,N19,P19,R19,T19,V19,X19,Z19,AB19,AD19,AF19,AH19,AJ19,AL19,AN19,AP19,AR19,AT19,AV19)</f>
        <v>2</v>
      </c>
      <c r="H19" s="169" t="n">
        <f aca="false">SUM(G19*1000)/54.5</f>
        <v>36.697247706422</v>
      </c>
      <c r="I19" s="181" t="s">
        <v>972</v>
      </c>
      <c r="J19" s="175" t="n">
        <v>2</v>
      </c>
      <c r="K19" s="170"/>
      <c r="L19" s="171"/>
      <c r="M19" s="170"/>
      <c r="N19" s="171"/>
      <c r="O19" s="170"/>
      <c r="P19" s="171"/>
      <c r="Q19" s="170"/>
      <c r="R19" s="171"/>
      <c r="S19" s="170"/>
      <c r="T19" s="171"/>
      <c r="U19" s="170"/>
      <c r="V19" s="171"/>
      <c r="W19" s="170"/>
      <c r="X19" s="171"/>
      <c r="Y19" s="170"/>
      <c r="Z19" s="171"/>
      <c r="AA19" s="170"/>
      <c r="AB19" s="171"/>
      <c r="AC19" s="170"/>
      <c r="AD19" s="171"/>
      <c r="AE19" s="170"/>
      <c r="AF19" s="171"/>
      <c r="AG19" s="170"/>
      <c r="AH19" s="171"/>
      <c r="AI19" s="170"/>
      <c r="AJ19" s="171"/>
      <c r="AK19" s="170"/>
      <c r="AL19" s="171"/>
      <c r="AM19" s="170"/>
      <c r="AN19" s="171"/>
      <c r="AO19" s="170"/>
      <c r="AP19" s="171"/>
      <c r="AQ19" s="170"/>
      <c r="AR19" s="171"/>
      <c r="AS19" s="170"/>
      <c r="AT19" s="171"/>
      <c r="AU19" s="170"/>
      <c r="AV19" s="172" t="n">
        <f aca="false">IFERROR(VLOOKUP(A19,'Site check'!A:Q,14,0),0)</f>
        <v>0</v>
      </c>
    </row>
    <row r="20" customFormat="false" ht="13.15" hidden="false" customHeight="false" outlineLevel="0" collapsed="false">
      <c r="A20" s="20" t="s">
        <v>36</v>
      </c>
      <c r="B20" s="159"/>
      <c r="C20" s="167"/>
      <c r="D20" s="167"/>
      <c r="E20" s="167"/>
      <c r="F20" s="167"/>
      <c r="G20" s="168" t="n">
        <f aca="false">SUM(J20,L20,N20,P20,R20,T20,V20,X20,Z20,AB20,AD20,AF20,AH20,AJ20,AL20,AN20,AP20,AR20,AT20,AV20)</f>
        <v>0</v>
      </c>
      <c r="H20" s="169" t="n">
        <f aca="false">SUM(G20*1000)/54.5</f>
        <v>0</v>
      </c>
      <c r="I20" s="170"/>
      <c r="J20" s="171"/>
      <c r="K20" s="170"/>
      <c r="L20" s="171"/>
      <c r="M20" s="170"/>
      <c r="N20" s="171"/>
      <c r="O20" s="170"/>
      <c r="P20" s="171"/>
      <c r="Q20" s="170"/>
      <c r="R20" s="171"/>
      <c r="S20" s="170"/>
      <c r="T20" s="171"/>
      <c r="U20" s="170"/>
      <c r="V20" s="171"/>
      <c r="W20" s="170"/>
      <c r="X20" s="171"/>
      <c r="Y20" s="170"/>
      <c r="Z20" s="171"/>
      <c r="AA20" s="170"/>
      <c r="AB20" s="171"/>
      <c r="AC20" s="170"/>
      <c r="AD20" s="171"/>
      <c r="AE20" s="170"/>
      <c r="AF20" s="171"/>
      <c r="AG20" s="170"/>
      <c r="AH20" s="171"/>
      <c r="AI20" s="170"/>
      <c r="AJ20" s="171"/>
      <c r="AK20" s="170"/>
      <c r="AL20" s="171"/>
      <c r="AM20" s="170"/>
      <c r="AN20" s="171"/>
      <c r="AO20" s="170"/>
      <c r="AP20" s="171"/>
      <c r="AQ20" s="170"/>
      <c r="AR20" s="171"/>
      <c r="AS20" s="170"/>
      <c r="AT20" s="171"/>
      <c r="AU20" s="170"/>
      <c r="AV20" s="172" t="n">
        <f aca="false">IFERROR(VLOOKUP(A20,'Site check'!A:Q,14,0),0)</f>
        <v>0</v>
      </c>
    </row>
    <row r="21" customFormat="false" ht="13.15" hidden="false" customHeight="false" outlineLevel="0" collapsed="false">
      <c r="A21" s="20" t="s">
        <v>37</v>
      </c>
      <c r="B21" s="159"/>
      <c r="C21" s="167"/>
      <c r="D21" s="167"/>
      <c r="E21" s="167"/>
      <c r="F21" s="167"/>
      <c r="G21" s="168" t="n">
        <f aca="false">SUM(J21,L21,N21,P21,R21,T21,V21,X21,Z21,AB21,AD21,AF21,AH21,AJ21,AL21,AN21,AP21,AR21,AT21,AV21)</f>
        <v>7.5</v>
      </c>
      <c r="H21" s="169" t="n">
        <f aca="false">SUM(G21*1000)/54.5</f>
        <v>137.614678899083</v>
      </c>
      <c r="I21" s="173" t="s">
        <v>973</v>
      </c>
      <c r="J21" s="174" t="n">
        <v>2</v>
      </c>
      <c r="K21" s="181" t="s">
        <v>974</v>
      </c>
      <c r="L21" s="175" t="n">
        <v>4</v>
      </c>
      <c r="M21" s="182" t="s">
        <v>975</v>
      </c>
      <c r="N21" s="183" t="n">
        <v>1.5</v>
      </c>
      <c r="O21" s="170"/>
      <c r="P21" s="171"/>
      <c r="Q21" s="170"/>
      <c r="R21" s="171"/>
      <c r="S21" s="170"/>
      <c r="T21" s="171"/>
      <c r="U21" s="170"/>
      <c r="V21" s="171"/>
      <c r="W21" s="170"/>
      <c r="X21" s="171"/>
      <c r="Y21" s="170"/>
      <c r="Z21" s="171"/>
      <c r="AA21" s="170"/>
      <c r="AB21" s="171"/>
      <c r="AC21" s="170"/>
      <c r="AD21" s="171"/>
      <c r="AE21" s="170"/>
      <c r="AF21" s="171"/>
      <c r="AG21" s="170"/>
      <c r="AH21" s="171"/>
      <c r="AI21" s="170"/>
      <c r="AJ21" s="171"/>
      <c r="AK21" s="170"/>
      <c r="AL21" s="171"/>
      <c r="AM21" s="170"/>
      <c r="AN21" s="171"/>
      <c r="AO21" s="170"/>
      <c r="AP21" s="171"/>
      <c r="AQ21" s="170"/>
      <c r="AR21" s="171"/>
      <c r="AS21" s="170"/>
      <c r="AT21" s="171"/>
      <c r="AU21" s="170"/>
      <c r="AV21" s="172" t="n">
        <f aca="false">IFERROR(VLOOKUP(A21,'Site check'!A:Q,14,0),0)</f>
        <v>0</v>
      </c>
    </row>
    <row r="22" customFormat="false" ht="13.15" hidden="false" customHeight="false" outlineLevel="0" collapsed="false">
      <c r="A22" s="33" t="s">
        <v>38</v>
      </c>
      <c r="B22" s="184" t="s">
        <v>17</v>
      </c>
      <c r="C22" s="176" t="s">
        <v>18</v>
      </c>
      <c r="D22" s="176" t="s">
        <v>19</v>
      </c>
      <c r="E22" s="167"/>
      <c r="F22" s="176" t="s">
        <v>958</v>
      </c>
      <c r="G22" s="168" t="n">
        <f aca="false">SUM(J22,L22,N22,P22,R22,T22,V22,X22,Z22,AB22,AD22,AF22,AH22,AJ22,AL22,AN22,AP22,AR22,AT22,AV22)</f>
        <v>12.95</v>
      </c>
      <c r="H22" s="169" t="n">
        <f aca="false">SUM(G22*1000)/54.5</f>
        <v>237.614678899083</v>
      </c>
      <c r="I22" s="170" t="s">
        <v>976</v>
      </c>
      <c r="J22" s="171" t="n">
        <v>2</v>
      </c>
      <c r="K22" s="170" t="s">
        <v>977</v>
      </c>
      <c r="L22" s="171" t="n">
        <v>0.3</v>
      </c>
      <c r="M22" s="170" t="s">
        <v>978</v>
      </c>
      <c r="N22" s="171" t="n">
        <v>1.3</v>
      </c>
      <c r="O22" s="170" t="s">
        <v>979</v>
      </c>
      <c r="P22" s="171" t="n">
        <v>1.35</v>
      </c>
      <c r="Q22" s="170" t="s">
        <v>980</v>
      </c>
      <c r="R22" s="171" t="n">
        <v>1.05</v>
      </c>
      <c r="S22" s="170" t="s">
        <v>981</v>
      </c>
      <c r="T22" s="171" t="n">
        <v>1.75</v>
      </c>
      <c r="U22" s="173" t="s">
        <v>982</v>
      </c>
      <c r="V22" s="174" t="n">
        <v>1</v>
      </c>
      <c r="W22" s="173" t="s">
        <v>983</v>
      </c>
      <c r="X22" s="174" t="n">
        <v>2.2</v>
      </c>
      <c r="Y22" s="181" t="s">
        <v>984</v>
      </c>
      <c r="Z22" s="175" t="n">
        <v>1.2</v>
      </c>
      <c r="AA22" s="185" t="s">
        <v>985</v>
      </c>
      <c r="AB22" s="180" t="n">
        <v>0.8</v>
      </c>
      <c r="AC22" s="170"/>
      <c r="AD22" s="171"/>
      <c r="AE22" s="170"/>
      <c r="AF22" s="171"/>
      <c r="AG22" s="170"/>
      <c r="AH22" s="171"/>
      <c r="AI22" s="170"/>
      <c r="AJ22" s="171"/>
      <c r="AK22" s="170"/>
      <c r="AL22" s="171"/>
      <c r="AM22" s="170"/>
      <c r="AN22" s="171"/>
      <c r="AO22" s="170"/>
      <c r="AP22" s="171"/>
      <c r="AQ22" s="170"/>
      <c r="AR22" s="171"/>
      <c r="AS22" s="170"/>
      <c r="AT22" s="171"/>
      <c r="AU22" s="170"/>
      <c r="AV22" s="172" t="n">
        <f aca="false">IFERROR(VLOOKUP(A22,'Site check'!A:Q,14,0),0)</f>
        <v>0</v>
      </c>
    </row>
    <row r="23" customFormat="false" ht="13.15" hidden="false" customHeight="false" outlineLevel="0" collapsed="false">
      <c r="A23" s="33" t="s">
        <v>39</v>
      </c>
      <c r="B23" s="167"/>
      <c r="C23" s="167"/>
      <c r="D23" s="167"/>
      <c r="E23" s="167"/>
      <c r="F23" s="167"/>
      <c r="G23" s="168" t="n">
        <f aca="false">SUM(J23,L23,N23,P23,R23,T23,V23,X23,Z23,AB23,AD23,AF23,AH23,AJ23,AL23,AN23,AP23,AR23,AT23,AV23)</f>
        <v>11.95</v>
      </c>
      <c r="H23" s="169" t="n">
        <f aca="false">SUM(G23*1000)/54.5</f>
        <v>219.266055045872</v>
      </c>
      <c r="I23" s="170" t="s">
        <v>976</v>
      </c>
      <c r="J23" s="171" t="n">
        <v>2</v>
      </c>
      <c r="K23" s="170" t="s">
        <v>977</v>
      </c>
      <c r="L23" s="171" t="n">
        <v>0.5</v>
      </c>
      <c r="M23" s="170"/>
      <c r="N23" s="171"/>
      <c r="O23" s="170" t="s">
        <v>979</v>
      </c>
      <c r="P23" s="171" t="n">
        <v>1.35</v>
      </c>
      <c r="Q23" s="170" t="s">
        <v>980</v>
      </c>
      <c r="R23" s="171" t="n">
        <v>1.05</v>
      </c>
      <c r="S23" s="170" t="s">
        <v>981</v>
      </c>
      <c r="T23" s="171" t="n">
        <v>1.75</v>
      </c>
      <c r="U23" s="173" t="s">
        <v>982</v>
      </c>
      <c r="V23" s="174" t="n">
        <v>1</v>
      </c>
      <c r="W23" s="173" t="s">
        <v>983</v>
      </c>
      <c r="X23" s="174" t="n">
        <v>2.3</v>
      </c>
      <c r="Y23" s="181" t="s">
        <v>986</v>
      </c>
      <c r="Z23" s="175" t="n">
        <v>1.2</v>
      </c>
      <c r="AA23" s="185" t="s">
        <v>985</v>
      </c>
      <c r="AB23" s="180" t="n">
        <v>0.8</v>
      </c>
      <c r="AC23" s="170"/>
      <c r="AD23" s="171"/>
      <c r="AE23" s="170"/>
      <c r="AF23" s="171"/>
      <c r="AG23" s="170"/>
      <c r="AH23" s="171"/>
      <c r="AI23" s="170"/>
      <c r="AJ23" s="171"/>
      <c r="AK23" s="170"/>
      <c r="AL23" s="171"/>
      <c r="AM23" s="170"/>
      <c r="AN23" s="171"/>
      <c r="AO23" s="170"/>
      <c r="AP23" s="171"/>
      <c r="AQ23" s="170"/>
      <c r="AR23" s="171"/>
      <c r="AS23" s="170"/>
      <c r="AT23" s="171"/>
      <c r="AU23" s="170"/>
      <c r="AV23" s="172" t="n">
        <f aca="false">IFERROR(VLOOKUP(A23,'Site check'!A:Q,14,0),0)</f>
        <v>0</v>
      </c>
    </row>
    <row r="24" customFormat="false" ht="13.15" hidden="false" customHeight="false" outlineLevel="0" collapsed="false">
      <c r="A24" s="20" t="s">
        <v>40</v>
      </c>
      <c r="B24" s="159"/>
      <c r="C24" s="167"/>
      <c r="D24" s="167"/>
      <c r="E24" s="167"/>
      <c r="F24" s="167"/>
      <c r="G24" s="168" t="n">
        <f aca="false">SUM(J24,L24,N24,P24,R24,T24,V24,X24,Z24,AB24,AD24,AF24,AH24,AJ24,AL24,AN24,AP24,AR24,AT24,AV24)</f>
        <v>0</v>
      </c>
      <c r="H24" s="169" t="n">
        <f aca="false">SUM(G24*1000)/54.5</f>
        <v>0</v>
      </c>
      <c r="I24" s="170"/>
      <c r="J24" s="171"/>
      <c r="K24" s="170"/>
      <c r="L24" s="171"/>
      <c r="M24" s="170"/>
      <c r="N24" s="171"/>
      <c r="O24" s="170"/>
      <c r="P24" s="171"/>
      <c r="Q24" s="170"/>
      <c r="R24" s="171"/>
      <c r="S24" s="170"/>
      <c r="T24" s="171"/>
      <c r="U24" s="170"/>
      <c r="V24" s="171"/>
      <c r="W24" s="170"/>
      <c r="X24" s="171"/>
      <c r="Y24" s="170"/>
      <c r="Z24" s="171"/>
      <c r="AA24" s="170"/>
      <c r="AB24" s="171"/>
      <c r="AC24" s="170"/>
      <c r="AD24" s="171"/>
      <c r="AE24" s="170"/>
      <c r="AF24" s="171"/>
      <c r="AG24" s="170"/>
      <c r="AH24" s="171"/>
      <c r="AI24" s="170"/>
      <c r="AJ24" s="171"/>
      <c r="AK24" s="170"/>
      <c r="AL24" s="171"/>
      <c r="AM24" s="170"/>
      <c r="AN24" s="171"/>
      <c r="AO24" s="170"/>
      <c r="AP24" s="171"/>
      <c r="AQ24" s="170"/>
      <c r="AR24" s="171"/>
      <c r="AS24" s="170"/>
      <c r="AT24" s="171"/>
      <c r="AU24" s="170"/>
      <c r="AV24" s="172" t="n">
        <f aca="false">IFERROR(VLOOKUP(A24,'Site check'!A:Q,14,0),0)</f>
        <v>0</v>
      </c>
    </row>
    <row r="25" customFormat="false" ht="13.15" hidden="false" customHeight="false" outlineLevel="0" collapsed="false">
      <c r="A25" s="20" t="s">
        <v>41</v>
      </c>
      <c r="B25" s="159"/>
      <c r="C25" s="176" t="s">
        <v>18</v>
      </c>
      <c r="D25" s="167"/>
      <c r="E25" s="167"/>
      <c r="F25" s="167"/>
      <c r="G25" s="168" t="n">
        <f aca="false">SUM(J25,L25,N25,P25,R25,T25,V25,X25,Z25,AB25,AD25,AF25,AH25,AJ25,AL25,AN25,AP25,AR25,AT25,AV25)</f>
        <v>22.6</v>
      </c>
      <c r="H25" s="169" t="n">
        <f aca="false">SUM(G25*1000)/54.5</f>
        <v>414.678899082569</v>
      </c>
      <c r="I25" s="170" t="s">
        <v>987</v>
      </c>
      <c r="J25" s="171" t="n">
        <v>2.4</v>
      </c>
      <c r="K25" s="186" t="s">
        <v>988</v>
      </c>
      <c r="L25" s="174" t="n">
        <v>1</v>
      </c>
      <c r="M25" s="181" t="s">
        <v>989</v>
      </c>
      <c r="N25" s="175" t="n">
        <v>5</v>
      </c>
      <c r="O25" s="187" t="s">
        <v>990</v>
      </c>
      <c r="P25" s="188" t="n">
        <v>5</v>
      </c>
      <c r="Q25" s="187" t="s">
        <v>991</v>
      </c>
      <c r="R25" s="188" t="n">
        <v>5</v>
      </c>
      <c r="S25" s="179" t="s">
        <v>992</v>
      </c>
      <c r="T25" s="180" t="n">
        <v>4.2</v>
      </c>
      <c r="U25" s="170"/>
      <c r="V25" s="171"/>
      <c r="W25" s="170"/>
      <c r="X25" s="171"/>
      <c r="Y25" s="170"/>
      <c r="Z25" s="171"/>
      <c r="AA25" s="170"/>
      <c r="AB25" s="171"/>
      <c r="AC25" s="170"/>
      <c r="AD25" s="171"/>
      <c r="AE25" s="170"/>
      <c r="AF25" s="171"/>
      <c r="AG25" s="170"/>
      <c r="AH25" s="171"/>
      <c r="AI25" s="170"/>
      <c r="AJ25" s="171"/>
      <c r="AK25" s="170"/>
      <c r="AL25" s="171"/>
      <c r="AM25" s="170"/>
      <c r="AN25" s="171"/>
      <c r="AO25" s="170"/>
      <c r="AP25" s="171"/>
      <c r="AQ25" s="170"/>
      <c r="AR25" s="171"/>
      <c r="AS25" s="170"/>
      <c r="AT25" s="171"/>
      <c r="AU25" s="170"/>
      <c r="AV25" s="172" t="n">
        <f aca="false">IFERROR(VLOOKUP(A25,'Site check'!A:Q,14,0),0)</f>
        <v>0</v>
      </c>
    </row>
    <row r="26" customFormat="false" ht="13.15" hidden="false" customHeight="false" outlineLevel="0" collapsed="false">
      <c r="A26" s="20" t="s">
        <v>42</v>
      </c>
      <c r="B26" s="159"/>
      <c r="C26" s="176" t="s">
        <v>18</v>
      </c>
      <c r="D26" s="167"/>
      <c r="E26" s="167"/>
      <c r="F26" s="167"/>
      <c r="G26" s="168" t="n">
        <f aca="false">SUM(J26,L26,N26,P26,R26,T26,V26,X26,Z26,AB26,AD26,AF26,AH26,AJ26,AL26,AN26,AP26,AR26,AT26,AV26)</f>
        <v>18.4</v>
      </c>
      <c r="H26" s="169" t="n">
        <f aca="false">SUM(G26*1000)/54.5</f>
        <v>337.614678899083</v>
      </c>
      <c r="I26" s="170" t="s">
        <v>993</v>
      </c>
      <c r="J26" s="171" t="n">
        <v>1.7</v>
      </c>
      <c r="K26" s="170" t="s">
        <v>994</v>
      </c>
      <c r="L26" s="171" t="n">
        <v>2</v>
      </c>
      <c r="M26" s="170" t="s">
        <v>995</v>
      </c>
      <c r="N26" s="171" t="n">
        <v>1</v>
      </c>
      <c r="O26" s="173" t="s">
        <v>996</v>
      </c>
      <c r="P26" s="174" t="n">
        <v>1</v>
      </c>
      <c r="Q26" s="181" t="s">
        <v>997</v>
      </c>
      <c r="R26" s="175" t="n">
        <v>2.5</v>
      </c>
      <c r="S26" s="181" t="s">
        <v>998</v>
      </c>
      <c r="T26" s="175" t="n">
        <v>2.5</v>
      </c>
      <c r="U26" s="181" t="s">
        <v>999</v>
      </c>
      <c r="V26" s="175" t="n">
        <v>3.5</v>
      </c>
      <c r="W26" s="179" t="s">
        <v>1000</v>
      </c>
      <c r="X26" s="180" t="n">
        <v>4.2</v>
      </c>
      <c r="Y26" s="170"/>
      <c r="Z26" s="171"/>
      <c r="AA26" s="170"/>
      <c r="AB26" s="171"/>
      <c r="AC26" s="170"/>
      <c r="AD26" s="171"/>
      <c r="AE26" s="170"/>
      <c r="AF26" s="171"/>
      <c r="AG26" s="170"/>
      <c r="AH26" s="171"/>
      <c r="AI26" s="170"/>
      <c r="AJ26" s="171"/>
      <c r="AK26" s="170"/>
      <c r="AL26" s="171"/>
      <c r="AM26" s="170"/>
      <c r="AN26" s="171"/>
      <c r="AO26" s="170"/>
      <c r="AP26" s="171"/>
      <c r="AQ26" s="170"/>
      <c r="AR26" s="171"/>
      <c r="AS26" s="170"/>
      <c r="AT26" s="171"/>
      <c r="AU26" s="170"/>
      <c r="AV26" s="172" t="n">
        <f aca="false">IFERROR(VLOOKUP(A26,'Site check'!A:Q,14,0),0)</f>
        <v>0</v>
      </c>
    </row>
    <row r="27" customFormat="false" ht="13.15" hidden="false" customHeight="false" outlineLevel="0" collapsed="false">
      <c r="A27" s="20" t="s">
        <v>43</v>
      </c>
      <c r="B27" s="184" t="s">
        <v>17</v>
      </c>
      <c r="C27" s="189"/>
      <c r="D27" s="167"/>
      <c r="E27" s="167"/>
      <c r="F27" s="167"/>
      <c r="G27" s="168" t="n">
        <f aca="false">SUM(J27,L27,N27,P27,R27,T27,V27,X27,Z27,AB27,AD27,AF27,AH27,AJ27,AL27,AN27,AP27,AR27,AT27,AV27)</f>
        <v>0</v>
      </c>
      <c r="H27" s="169" t="n">
        <f aca="false">SUM(G27*1000)/54.5</f>
        <v>0</v>
      </c>
      <c r="I27" s="170"/>
      <c r="J27" s="171"/>
      <c r="K27" s="170"/>
      <c r="L27" s="171"/>
      <c r="M27" s="170"/>
      <c r="N27" s="171"/>
      <c r="O27" s="170"/>
      <c r="P27" s="171"/>
      <c r="Q27" s="170"/>
      <c r="R27" s="171"/>
      <c r="S27" s="170"/>
      <c r="T27" s="171"/>
      <c r="U27" s="170"/>
      <c r="V27" s="171"/>
      <c r="W27" s="170"/>
      <c r="X27" s="171"/>
      <c r="Y27" s="170"/>
      <c r="Z27" s="171"/>
      <c r="AA27" s="170"/>
      <c r="AB27" s="171"/>
      <c r="AC27" s="170"/>
      <c r="AD27" s="171"/>
      <c r="AE27" s="170"/>
      <c r="AF27" s="171"/>
      <c r="AG27" s="170"/>
      <c r="AH27" s="171"/>
      <c r="AI27" s="170"/>
      <c r="AJ27" s="171"/>
      <c r="AK27" s="170"/>
      <c r="AL27" s="171"/>
      <c r="AM27" s="170"/>
      <c r="AN27" s="171"/>
      <c r="AO27" s="170"/>
      <c r="AP27" s="171"/>
      <c r="AQ27" s="170"/>
      <c r="AR27" s="171"/>
      <c r="AS27" s="170"/>
      <c r="AT27" s="171"/>
      <c r="AU27" s="170"/>
      <c r="AV27" s="172" t="n">
        <f aca="false">IFERROR(VLOOKUP(A27,'Site check'!A:Q,14,0),0)</f>
        <v>0</v>
      </c>
    </row>
    <row r="28" customFormat="false" ht="13.15" hidden="false" customHeight="false" outlineLevel="0" collapsed="false">
      <c r="A28" s="32" t="s">
        <v>44</v>
      </c>
      <c r="B28" s="159"/>
      <c r="C28" s="189"/>
      <c r="D28" s="167"/>
      <c r="E28" s="167"/>
      <c r="F28" s="167"/>
      <c r="G28" s="168" t="n">
        <f aca="false">SUM(J28,L28,N28,P28,R28,T28,V28,X28,Z28,AB28,AD28,AF28,AH28,AJ28,AL28,AN28,AP28,AR28,AT28,AV28)</f>
        <v>1</v>
      </c>
      <c r="H28" s="169" t="n">
        <f aca="false">SUM(G28*1000)/54.5</f>
        <v>18.348623853211</v>
      </c>
      <c r="I28" s="186" t="s">
        <v>1001</v>
      </c>
      <c r="J28" s="171" t="n">
        <v>1</v>
      </c>
      <c r="K28" s="170"/>
      <c r="L28" s="171"/>
      <c r="M28" s="170"/>
      <c r="N28" s="171"/>
      <c r="O28" s="170"/>
      <c r="P28" s="171"/>
      <c r="Q28" s="170"/>
      <c r="R28" s="171"/>
      <c r="S28" s="170"/>
      <c r="T28" s="171"/>
      <c r="U28" s="170"/>
      <c r="V28" s="171"/>
      <c r="W28" s="170"/>
      <c r="X28" s="171"/>
      <c r="Y28" s="170"/>
      <c r="Z28" s="171"/>
      <c r="AA28" s="170"/>
      <c r="AB28" s="171"/>
      <c r="AC28" s="170"/>
      <c r="AD28" s="171"/>
      <c r="AE28" s="170"/>
      <c r="AF28" s="171"/>
      <c r="AG28" s="170"/>
      <c r="AH28" s="171"/>
      <c r="AI28" s="170"/>
      <c r="AJ28" s="171"/>
      <c r="AK28" s="170"/>
      <c r="AL28" s="171"/>
      <c r="AM28" s="170"/>
      <c r="AN28" s="171"/>
      <c r="AO28" s="170"/>
      <c r="AP28" s="171"/>
      <c r="AQ28" s="170"/>
      <c r="AR28" s="171"/>
      <c r="AS28" s="170"/>
      <c r="AT28" s="171"/>
      <c r="AU28" s="170"/>
      <c r="AV28" s="172" t="n">
        <f aca="false">IFERROR(VLOOKUP(A28,'Site check'!A:Q,14,0),0)</f>
        <v>0</v>
      </c>
    </row>
    <row r="29" customFormat="false" ht="13.15" hidden="false" customHeight="false" outlineLevel="0" collapsed="false">
      <c r="A29" s="32" t="s">
        <v>45</v>
      </c>
      <c r="B29" s="159"/>
      <c r="C29" s="189"/>
      <c r="D29" s="167"/>
      <c r="E29" s="167"/>
      <c r="F29" s="167"/>
      <c r="G29" s="168" t="n">
        <f aca="false">SUM(J29,L29,N29,P29,R29,T29,V29,X29,Z29,AB29,AD29,AF29,AH29,AJ29,AL29,AN29,AP29,AR29,AT29,AV29)</f>
        <v>1</v>
      </c>
      <c r="H29" s="169" t="n">
        <f aca="false">SUM(G29*1000)/54.5</f>
        <v>18.348623853211</v>
      </c>
      <c r="I29" s="186" t="s">
        <v>1001</v>
      </c>
      <c r="J29" s="171" t="n">
        <v>1</v>
      </c>
      <c r="K29" s="170"/>
      <c r="L29" s="171"/>
      <c r="M29" s="170"/>
      <c r="N29" s="171"/>
      <c r="O29" s="170"/>
      <c r="P29" s="171"/>
      <c r="Q29" s="170"/>
      <c r="R29" s="171"/>
      <c r="S29" s="170"/>
      <c r="T29" s="171"/>
      <c r="U29" s="170"/>
      <c r="V29" s="171"/>
      <c r="W29" s="170"/>
      <c r="X29" s="171"/>
      <c r="Y29" s="170"/>
      <c r="Z29" s="171"/>
      <c r="AA29" s="170"/>
      <c r="AB29" s="171"/>
      <c r="AC29" s="170"/>
      <c r="AD29" s="171"/>
      <c r="AE29" s="170"/>
      <c r="AF29" s="171"/>
      <c r="AG29" s="170"/>
      <c r="AH29" s="171"/>
      <c r="AI29" s="170"/>
      <c r="AJ29" s="171"/>
      <c r="AK29" s="170"/>
      <c r="AL29" s="171"/>
      <c r="AM29" s="170"/>
      <c r="AN29" s="171"/>
      <c r="AO29" s="170"/>
      <c r="AP29" s="171"/>
      <c r="AQ29" s="170"/>
      <c r="AR29" s="171"/>
      <c r="AS29" s="170"/>
      <c r="AT29" s="171"/>
      <c r="AU29" s="170"/>
      <c r="AV29" s="172" t="n">
        <f aca="false">IFERROR(VLOOKUP(A29,'Site check'!A:Q,14,0),0)</f>
        <v>0</v>
      </c>
    </row>
    <row r="30" customFormat="false" ht="13.15" hidden="false" customHeight="false" outlineLevel="0" collapsed="false">
      <c r="A30" s="33" t="s">
        <v>46</v>
      </c>
      <c r="B30" s="159"/>
      <c r="C30" s="176" t="s">
        <v>18</v>
      </c>
      <c r="D30" s="176" t="s">
        <v>19</v>
      </c>
      <c r="E30" s="167"/>
      <c r="F30" s="176" t="s">
        <v>958</v>
      </c>
      <c r="G30" s="168" t="n">
        <f aca="false">SUM(J30,L30,N30,P30,R30,T30,V30,X30,Z30,AB30,AD30,AF30,AH30,AJ30,AL30,AN30,AP30,AR30,AT30,AV30)</f>
        <v>9.65</v>
      </c>
      <c r="H30" s="169" t="n">
        <f aca="false">SUM(G30*1000)/54.5</f>
        <v>177.064220183486</v>
      </c>
      <c r="I30" s="181" t="s">
        <v>1002</v>
      </c>
      <c r="J30" s="175" t="n">
        <v>0.3</v>
      </c>
      <c r="K30" s="170" t="s">
        <v>1003</v>
      </c>
      <c r="L30" s="171" t="n">
        <v>2</v>
      </c>
      <c r="M30" s="170" t="s">
        <v>1004</v>
      </c>
      <c r="N30" s="171" t="n">
        <v>0.9</v>
      </c>
      <c r="O30" s="170" t="s">
        <v>1005</v>
      </c>
      <c r="P30" s="171" t="n">
        <v>1.65</v>
      </c>
      <c r="Q30" s="170" t="s">
        <v>1006</v>
      </c>
      <c r="R30" s="171" t="n">
        <v>0.7</v>
      </c>
      <c r="S30" s="170" t="s">
        <v>1007</v>
      </c>
      <c r="T30" s="171" t="n">
        <v>1.4</v>
      </c>
      <c r="U30" s="170" t="s">
        <v>1008</v>
      </c>
      <c r="V30" s="171" t="n">
        <v>1.9</v>
      </c>
      <c r="W30" s="179" t="s">
        <v>1009</v>
      </c>
      <c r="X30" s="180" t="n">
        <v>0.8</v>
      </c>
      <c r="Y30" s="170"/>
      <c r="Z30" s="171"/>
      <c r="AA30" s="170"/>
      <c r="AB30" s="171"/>
      <c r="AC30" s="170"/>
      <c r="AD30" s="171"/>
      <c r="AE30" s="170"/>
      <c r="AF30" s="171"/>
      <c r="AG30" s="170"/>
      <c r="AH30" s="171"/>
      <c r="AI30" s="170"/>
      <c r="AJ30" s="171"/>
      <c r="AK30" s="170"/>
      <c r="AL30" s="171"/>
      <c r="AM30" s="170"/>
      <c r="AN30" s="171"/>
      <c r="AO30" s="170"/>
      <c r="AP30" s="171"/>
      <c r="AQ30" s="170"/>
      <c r="AR30" s="171"/>
      <c r="AS30" s="170"/>
      <c r="AT30" s="171"/>
      <c r="AU30" s="170"/>
      <c r="AV30" s="172" t="n">
        <f aca="false">IFERROR(VLOOKUP(A30,'Site check'!A:Q,14,0),0)</f>
        <v>0</v>
      </c>
    </row>
    <row r="31" customFormat="false" ht="13.15" hidden="false" customHeight="false" outlineLevel="0" collapsed="false">
      <c r="A31" s="33" t="s">
        <v>47</v>
      </c>
      <c r="B31" s="159"/>
      <c r="C31" s="167"/>
      <c r="D31" s="167"/>
      <c r="E31" s="167"/>
      <c r="F31" s="167"/>
      <c r="G31" s="168" t="n">
        <f aca="false">SUM(J31,L31,N31,P31,R31,T31,V31,X31,Z31,AB31,AD31,AF31,AH31,AJ31,AL31,AN31,AP31,AR31,AT31,AV31)</f>
        <v>7.98</v>
      </c>
      <c r="H31" s="169" t="n">
        <f aca="false">SUM(G31*1000)/54.5</f>
        <v>146.422018348624</v>
      </c>
      <c r="I31" s="181" t="s">
        <v>1002</v>
      </c>
      <c r="J31" s="175" t="n">
        <v>0.5</v>
      </c>
      <c r="K31" s="170" t="s">
        <v>1003</v>
      </c>
      <c r="L31" s="171" t="n">
        <v>0.6</v>
      </c>
      <c r="M31" s="170" t="s">
        <v>1004</v>
      </c>
      <c r="N31" s="171" t="n">
        <v>0.93</v>
      </c>
      <c r="O31" s="170" t="s">
        <v>1005</v>
      </c>
      <c r="P31" s="171" t="n">
        <v>1.55</v>
      </c>
      <c r="Q31" s="170" t="s">
        <v>1006</v>
      </c>
      <c r="R31" s="171" t="n">
        <v>0.6</v>
      </c>
      <c r="S31" s="170" t="s">
        <v>1007</v>
      </c>
      <c r="T31" s="171" t="n">
        <v>1.2</v>
      </c>
      <c r="U31" s="170" t="s">
        <v>1008</v>
      </c>
      <c r="V31" s="171" t="n">
        <v>1.8</v>
      </c>
      <c r="W31" s="179" t="s">
        <v>1009</v>
      </c>
      <c r="X31" s="180" t="n">
        <v>0.8</v>
      </c>
      <c r="Y31" s="170"/>
      <c r="Z31" s="171"/>
      <c r="AA31" s="170"/>
      <c r="AB31" s="171"/>
      <c r="AC31" s="170"/>
      <c r="AD31" s="171"/>
      <c r="AE31" s="170"/>
      <c r="AF31" s="171"/>
      <c r="AG31" s="170"/>
      <c r="AH31" s="171"/>
      <c r="AI31" s="170"/>
      <c r="AJ31" s="171"/>
      <c r="AK31" s="170"/>
      <c r="AL31" s="171"/>
      <c r="AM31" s="170"/>
      <c r="AN31" s="171"/>
      <c r="AO31" s="170"/>
      <c r="AP31" s="171"/>
      <c r="AQ31" s="170"/>
      <c r="AR31" s="171"/>
      <c r="AS31" s="170"/>
      <c r="AT31" s="171"/>
      <c r="AU31" s="170"/>
      <c r="AV31" s="172" t="n">
        <f aca="false">IFERROR(VLOOKUP(A31,'Site check'!A:Q,14,0),0)</f>
        <v>0</v>
      </c>
    </row>
    <row r="32" customFormat="false" ht="13.15" hidden="false" customHeight="false" outlineLevel="0" collapsed="false">
      <c r="A32" s="32" t="s">
        <v>48</v>
      </c>
      <c r="B32" s="159"/>
      <c r="C32" s="176" t="s">
        <v>18</v>
      </c>
      <c r="D32" s="167"/>
      <c r="E32" s="167"/>
      <c r="F32" s="167"/>
      <c r="G32" s="168" t="n">
        <f aca="false">SUM(J32,L32,N32,P32,R32,T32,V32,X32,Z32,AB32,AD32,AF32,AH32,AJ32,AL32,AN32,AP32,AR32,AT32,AV32)</f>
        <v>2.4</v>
      </c>
      <c r="H32" s="169" t="n">
        <f aca="false">SUM(G32*1000)/54.5</f>
        <v>44.0366972477064</v>
      </c>
      <c r="I32" s="170" t="s">
        <v>1010</v>
      </c>
      <c r="J32" s="171" t="n">
        <v>2.4</v>
      </c>
      <c r="K32" s="170"/>
      <c r="L32" s="171"/>
      <c r="M32" s="170"/>
      <c r="N32" s="171"/>
      <c r="O32" s="170"/>
      <c r="P32" s="171"/>
      <c r="Q32" s="170"/>
      <c r="R32" s="171"/>
      <c r="S32" s="170"/>
      <c r="T32" s="171"/>
      <c r="U32" s="170"/>
      <c r="V32" s="171"/>
      <c r="W32" s="170"/>
      <c r="X32" s="171"/>
      <c r="Y32" s="170"/>
      <c r="Z32" s="171"/>
      <c r="AA32" s="170"/>
      <c r="AB32" s="171"/>
      <c r="AC32" s="170"/>
      <c r="AD32" s="171"/>
      <c r="AE32" s="170"/>
      <c r="AF32" s="171"/>
      <c r="AG32" s="170"/>
      <c r="AH32" s="171"/>
      <c r="AI32" s="170"/>
      <c r="AJ32" s="171"/>
      <c r="AK32" s="170"/>
      <c r="AL32" s="171"/>
      <c r="AM32" s="170"/>
      <c r="AN32" s="171"/>
      <c r="AO32" s="170"/>
      <c r="AP32" s="171"/>
      <c r="AQ32" s="170"/>
      <c r="AR32" s="171"/>
      <c r="AS32" s="170"/>
      <c r="AT32" s="171"/>
      <c r="AU32" s="170"/>
      <c r="AV32" s="172" t="n">
        <f aca="false">IFERROR(VLOOKUP(A32,'Site check'!A:Q,14,0),0)</f>
        <v>0</v>
      </c>
    </row>
    <row r="33" customFormat="false" ht="13.15" hidden="false" customHeight="false" outlineLevel="0" collapsed="false">
      <c r="A33" s="32" t="s">
        <v>49</v>
      </c>
      <c r="B33" s="159"/>
      <c r="C33" s="189"/>
      <c r="D33" s="167"/>
      <c r="E33" s="167"/>
      <c r="F33" s="167"/>
      <c r="G33" s="168" t="n">
        <f aca="false">SUM(J33,L33,N33,P33,R33,T33,V33,X33,Z33,AB33,AD33,AF33,AH33,AJ33,AL33,AN33,AP33,AR33,AT33,AV33)</f>
        <v>2.5</v>
      </c>
      <c r="H33" s="169" t="n">
        <f aca="false">SUM(G33*1000)/54.5</f>
        <v>45.8715596330275</v>
      </c>
      <c r="I33" s="170" t="s">
        <v>1010</v>
      </c>
      <c r="J33" s="171" t="n">
        <v>2.5</v>
      </c>
      <c r="K33" s="170"/>
      <c r="L33" s="171"/>
      <c r="M33" s="170"/>
      <c r="N33" s="171"/>
      <c r="O33" s="170"/>
      <c r="P33" s="171"/>
      <c r="Q33" s="170"/>
      <c r="R33" s="171"/>
      <c r="S33" s="170"/>
      <c r="T33" s="171"/>
      <c r="U33" s="170"/>
      <c r="V33" s="171"/>
      <c r="W33" s="170"/>
      <c r="X33" s="171"/>
      <c r="Y33" s="170"/>
      <c r="Z33" s="171"/>
      <c r="AA33" s="170"/>
      <c r="AB33" s="171"/>
      <c r="AC33" s="170"/>
      <c r="AD33" s="171"/>
      <c r="AE33" s="170"/>
      <c r="AF33" s="171"/>
      <c r="AG33" s="170"/>
      <c r="AH33" s="171"/>
      <c r="AI33" s="170"/>
      <c r="AJ33" s="171"/>
      <c r="AK33" s="170"/>
      <c r="AL33" s="171"/>
      <c r="AM33" s="170"/>
      <c r="AN33" s="171"/>
      <c r="AO33" s="170"/>
      <c r="AP33" s="171"/>
      <c r="AQ33" s="170"/>
      <c r="AR33" s="171"/>
      <c r="AS33" s="170"/>
      <c r="AT33" s="171"/>
      <c r="AU33" s="170"/>
      <c r="AV33" s="172" t="n">
        <f aca="false">IFERROR(VLOOKUP(A33,'Site check'!A:Q,14,0),0)</f>
        <v>0</v>
      </c>
    </row>
    <row r="34" customFormat="false" ht="13.15" hidden="false" customHeight="false" outlineLevel="0" collapsed="false">
      <c r="A34" s="20" t="s">
        <v>50</v>
      </c>
      <c r="B34" s="159"/>
      <c r="C34" s="167"/>
      <c r="D34" s="167"/>
      <c r="E34" s="167"/>
      <c r="F34" s="167"/>
      <c r="G34" s="168" t="n">
        <f aca="false">SUM(J34,L34,N34,P34,R34,T34,V34,X34,Z34,AB34,AD34,AF34,AH34,AJ34,AL34,AN34,AP34,AR34,AT34,AV34)</f>
        <v>1</v>
      </c>
      <c r="H34" s="169" t="n">
        <f aca="false">SUM(G34*1000)/54.5</f>
        <v>18.348623853211</v>
      </c>
      <c r="I34" s="179" t="s">
        <v>1011</v>
      </c>
      <c r="J34" s="180" t="n">
        <v>1</v>
      </c>
      <c r="K34" s="170"/>
      <c r="L34" s="171"/>
      <c r="M34" s="170"/>
      <c r="N34" s="171"/>
      <c r="O34" s="170"/>
      <c r="P34" s="171"/>
      <c r="Q34" s="170"/>
      <c r="R34" s="171"/>
      <c r="S34" s="170"/>
      <c r="T34" s="171"/>
      <c r="U34" s="170"/>
      <c r="V34" s="171"/>
      <c r="W34" s="170"/>
      <c r="X34" s="171"/>
      <c r="Y34" s="170"/>
      <c r="Z34" s="171"/>
      <c r="AA34" s="170"/>
      <c r="AB34" s="171"/>
      <c r="AC34" s="170"/>
      <c r="AD34" s="171"/>
      <c r="AE34" s="170"/>
      <c r="AF34" s="171"/>
      <c r="AG34" s="170"/>
      <c r="AH34" s="171"/>
      <c r="AI34" s="170"/>
      <c r="AJ34" s="171"/>
      <c r="AK34" s="170"/>
      <c r="AL34" s="171"/>
      <c r="AM34" s="170"/>
      <c r="AN34" s="171"/>
      <c r="AO34" s="170"/>
      <c r="AP34" s="171"/>
      <c r="AQ34" s="170"/>
      <c r="AR34" s="171"/>
      <c r="AS34" s="170"/>
      <c r="AT34" s="171"/>
      <c r="AU34" s="170"/>
      <c r="AV34" s="172" t="n">
        <f aca="false">IFERROR(VLOOKUP(A34,'Site check'!A:Q,14,0),0)</f>
        <v>0</v>
      </c>
    </row>
    <row r="35" customFormat="false" ht="13.15" hidden="false" customHeight="false" outlineLevel="0" collapsed="false">
      <c r="A35" s="20" t="s">
        <v>51</v>
      </c>
      <c r="B35" s="159"/>
      <c r="C35" s="167"/>
      <c r="D35" s="167"/>
      <c r="E35" s="167"/>
      <c r="F35" s="167"/>
      <c r="G35" s="168" t="n">
        <f aca="false">SUM(J35,L35,N35,P35,R35,T35,V35,X35,Z35,AB35,AD35,AF35,AH35,AJ35,AL35,AN35,AP35,AR35,AT35,AV35)</f>
        <v>0</v>
      </c>
      <c r="H35" s="169" t="n">
        <f aca="false">SUM(G35*1000)/54.5</f>
        <v>0</v>
      </c>
      <c r="I35" s="170"/>
      <c r="J35" s="171"/>
      <c r="K35" s="170"/>
      <c r="L35" s="171"/>
      <c r="M35" s="170"/>
      <c r="N35" s="171"/>
      <c r="O35" s="170"/>
      <c r="P35" s="171"/>
      <c r="Q35" s="170"/>
      <c r="R35" s="171"/>
      <c r="S35" s="170"/>
      <c r="T35" s="171"/>
      <c r="U35" s="170"/>
      <c r="V35" s="171"/>
      <c r="W35" s="170"/>
      <c r="X35" s="171"/>
      <c r="Y35" s="170"/>
      <c r="Z35" s="171"/>
      <c r="AA35" s="170"/>
      <c r="AB35" s="171"/>
      <c r="AC35" s="170"/>
      <c r="AD35" s="171"/>
      <c r="AE35" s="170"/>
      <c r="AF35" s="171"/>
      <c r="AG35" s="170"/>
      <c r="AH35" s="171"/>
      <c r="AI35" s="170"/>
      <c r="AJ35" s="171"/>
      <c r="AK35" s="170"/>
      <c r="AL35" s="171"/>
      <c r="AM35" s="170"/>
      <c r="AN35" s="171"/>
      <c r="AO35" s="170"/>
      <c r="AP35" s="171"/>
      <c r="AQ35" s="170"/>
      <c r="AR35" s="171"/>
      <c r="AS35" s="170"/>
      <c r="AT35" s="171"/>
      <c r="AU35" s="170"/>
      <c r="AV35" s="172" t="n">
        <f aca="false">IFERROR(VLOOKUP(A35,'Site check'!A:Q,14,0),0)</f>
        <v>0</v>
      </c>
    </row>
    <row r="36" customFormat="false" ht="13.15" hidden="false" customHeight="false" outlineLevel="0" collapsed="false">
      <c r="A36" s="20" t="s">
        <v>52</v>
      </c>
      <c r="B36" s="159"/>
      <c r="C36" s="167"/>
      <c r="D36" s="167"/>
      <c r="E36" s="167"/>
      <c r="F36" s="167"/>
      <c r="G36" s="168" t="n">
        <f aca="false">SUM(J36,L36,N36,P36,R36,T36,V36,X36,Z36,AB36,AD36,AF36,AH36,AJ36,AL36,AN36,AP36,AR36,AT36,AV36)</f>
        <v>3</v>
      </c>
      <c r="H36" s="169" t="n">
        <f aca="false">SUM(G36*1000)/54.5</f>
        <v>55.045871559633</v>
      </c>
      <c r="I36" s="170" t="s">
        <v>973</v>
      </c>
      <c r="J36" s="171" t="n">
        <v>1</v>
      </c>
      <c r="K36" s="173" t="s">
        <v>1012</v>
      </c>
      <c r="L36" s="174" t="n">
        <v>2</v>
      </c>
      <c r="M36" s="170"/>
      <c r="N36" s="171"/>
      <c r="O36" s="170"/>
      <c r="P36" s="171"/>
      <c r="Q36" s="170"/>
      <c r="R36" s="171"/>
      <c r="S36" s="170"/>
      <c r="T36" s="171"/>
      <c r="U36" s="170"/>
      <c r="V36" s="171"/>
      <c r="W36" s="170"/>
      <c r="X36" s="171"/>
      <c r="Y36" s="170"/>
      <c r="Z36" s="171"/>
      <c r="AA36" s="170"/>
      <c r="AB36" s="171"/>
      <c r="AC36" s="170"/>
      <c r="AD36" s="171"/>
      <c r="AE36" s="170"/>
      <c r="AF36" s="171"/>
      <c r="AG36" s="170"/>
      <c r="AH36" s="171"/>
      <c r="AI36" s="170"/>
      <c r="AJ36" s="171"/>
      <c r="AK36" s="170"/>
      <c r="AL36" s="171"/>
      <c r="AM36" s="170"/>
      <c r="AN36" s="171"/>
      <c r="AO36" s="170"/>
      <c r="AP36" s="171"/>
      <c r="AQ36" s="170"/>
      <c r="AR36" s="171"/>
      <c r="AS36" s="170"/>
      <c r="AT36" s="171"/>
      <c r="AU36" s="170"/>
      <c r="AV36" s="172" t="n">
        <f aca="false">IFERROR(VLOOKUP(A36,'Site check'!A:Q,14,0),0)</f>
        <v>0</v>
      </c>
    </row>
    <row r="37" customFormat="false" ht="13.15" hidden="false" customHeight="false" outlineLevel="0" collapsed="false">
      <c r="A37" s="34" t="s">
        <v>53</v>
      </c>
      <c r="B37" s="184" t="s">
        <v>17</v>
      </c>
      <c r="C37" s="167"/>
      <c r="D37" s="167"/>
      <c r="E37" s="167"/>
      <c r="F37" s="167"/>
      <c r="G37" s="168" t="n">
        <f aca="false">SUM(J37,L37,N37,P37,R37,T37,V37,X37,Z37,AB37,AD37,AF37,AH37,AJ37,AL37,AN37,AP37,AR37,AT37,AV37)</f>
        <v>18.8</v>
      </c>
      <c r="H37" s="169" t="n">
        <f aca="false">SUM(G37*1000)/54.5</f>
        <v>344.954128440367</v>
      </c>
      <c r="I37" s="181" t="s">
        <v>1013</v>
      </c>
      <c r="J37" s="175" t="n">
        <v>2</v>
      </c>
      <c r="K37" s="181" t="s">
        <v>1014</v>
      </c>
      <c r="L37" s="175" t="n">
        <v>2.9</v>
      </c>
      <c r="M37" s="181" t="s">
        <v>1015</v>
      </c>
      <c r="N37" s="175" t="n">
        <v>3.9</v>
      </c>
      <c r="O37" s="179" t="s">
        <v>1016</v>
      </c>
      <c r="P37" s="180" t="n">
        <v>5</v>
      </c>
      <c r="Q37" s="181" t="s">
        <v>1017</v>
      </c>
      <c r="R37" s="175" t="n">
        <v>5</v>
      </c>
      <c r="S37" s="181"/>
      <c r="T37" s="175"/>
      <c r="U37" s="173"/>
      <c r="V37" s="174"/>
      <c r="W37" s="186"/>
      <c r="X37" s="174"/>
      <c r="Y37" s="173"/>
      <c r="Z37" s="174"/>
      <c r="AA37" s="170"/>
      <c r="AB37" s="171"/>
      <c r="AC37" s="170"/>
      <c r="AD37" s="171"/>
      <c r="AE37" s="170"/>
      <c r="AF37" s="171"/>
      <c r="AG37" s="170"/>
      <c r="AH37" s="171"/>
      <c r="AI37" s="170"/>
      <c r="AJ37" s="171"/>
      <c r="AK37" s="170"/>
      <c r="AL37" s="171"/>
      <c r="AM37" s="170"/>
      <c r="AN37" s="171"/>
      <c r="AO37" s="170"/>
      <c r="AP37" s="171"/>
      <c r="AQ37" s="170"/>
      <c r="AR37" s="171"/>
      <c r="AS37" s="170"/>
      <c r="AT37" s="171"/>
      <c r="AU37" s="170"/>
      <c r="AV37" s="172" t="n">
        <f aca="false">IFERROR(VLOOKUP(A37,'Site check'!A:Q,14,0),0)</f>
        <v>0</v>
      </c>
    </row>
    <row r="38" customFormat="false" ht="13.15" hidden="false" customHeight="false" outlineLevel="0" collapsed="false">
      <c r="A38" s="34" t="s">
        <v>54</v>
      </c>
      <c r="B38" s="184" t="s">
        <v>17</v>
      </c>
      <c r="C38" s="167"/>
      <c r="D38" s="167"/>
      <c r="E38" s="167"/>
      <c r="F38" s="167"/>
      <c r="G38" s="168" t="n">
        <f aca="false">SUM(J38,L38,N38,P38,R38,T38,V38,X38,Z38,AB38,AD38,AF38,AH38,AJ38,AL38,AN38,AP38,AR38,AT38,AV38)</f>
        <v>2</v>
      </c>
      <c r="H38" s="169" t="n">
        <f aca="false">SUM(G38*1000)/54.5</f>
        <v>36.697247706422</v>
      </c>
      <c r="I38" s="179" t="s">
        <v>1018</v>
      </c>
      <c r="J38" s="180" t="n">
        <v>2</v>
      </c>
      <c r="K38" s="170"/>
      <c r="L38" s="171"/>
      <c r="M38" s="170"/>
      <c r="N38" s="171"/>
      <c r="O38" s="170"/>
      <c r="P38" s="171"/>
      <c r="Q38" s="170"/>
      <c r="R38" s="171"/>
      <c r="S38" s="170"/>
      <c r="T38" s="171"/>
      <c r="U38" s="170"/>
      <c r="V38" s="171"/>
      <c r="W38" s="170"/>
      <c r="X38" s="171"/>
      <c r="Y38" s="170"/>
      <c r="Z38" s="171"/>
      <c r="AA38" s="170"/>
      <c r="AB38" s="171"/>
      <c r="AC38" s="170"/>
      <c r="AD38" s="171"/>
      <c r="AE38" s="170"/>
      <c r="AF38" s="171"/>
      <c r="AG38" s="170"/>
      <c r="AH38" s="171"/>
      <c r="AI38" s="170"/>
      <c r="AJ38" s="171"/>
      <c r="AK38" s="170"/>
      <c r="AL38" s="171"/>
      <c r="AM38" s="170"/>
      <c r="AN38" s="171"/>
      <c r="AO38" s="170"/>
      <c r="AP38" s="171"/>
      <c r="AQ38" s="170"/>
      <c r="AR38" s="171"/>
      <c r="AS38" s="170"/>
      <c r="AT38" s="171"/>
      <c r="AU38" s="170"/>
      <c r="AV38" s="172" t="n">
        <f aca="false">IFERROR(VLOOKUP(A38,'Site check'!A:Q,14,0),0)</f>
        <v>0</v>
      </c>
    </row>
    <row r="39" customFormat="false" ht="34.9" hidden="false" customHeight="false" outlineLevel="0" collapsed="false">
      <c r="A39" s="32" t="s">
        <v>55</v>
      </c>
      <c r="B39" s="184" t="s">
        <v>17</v>
      </c>
      <c r="C39" s="176" t="s">
        <v>18</v>
      </c>
      <c r="D39" s="176" t="s">
        <v>19</v>
      </c>
      <c r="E39" s="167"/>
      <c r="F39" s="176" t="s">
        <v>958</v>
      </c>
      <c r="G39" s="168" t="n">
        <f aca="false">SUM(J39,L39,N39,P39,R39,T39,V39,X39,Z39,AB39,AD39,AF39,AH39,AJ39,AL39,AN39,AP39,AR39,AT39,AV39)</f>
        <v>67.05</v>
      </c>
      <c r="H39" s="169" t="n">
        <f aca="false">SUM(G39*1000)/54.5</f>
        <v>1230.2752293578</v>
      </c>
      <c r="I39" s="170" t="s">
        <v>1019</v>
      </c>
      <c r="J39" s="171" t="n">
        <v>18.7</v>
      </c>
      <c r="K39" s="170" t="s">
        <v>1020</v>
      </c>
      <c r="L39" s="171" t="n">
        <v>32.6</v>
      </c>
      <c r="M39" s="170" t="s">
        <v>1021</v>
      </c>
      <c r="N39" s="171" t="n">
        <v>2</v>
      </c>
      <c r="O39" s="170"/>
      <c r="P39" s="171"/>
      <c r="Q39" s="173" t="s">
        <v>1022</v>
      </c>
      <c r="R39" s="174" t="n">
        <v>0.6</v>
      </c>
      <c r="S39" s="173" t="s">
        <v>1023</v>
      </c>
      <c r="T39" s="174" t="n">
        <v>0.7</v>
      </c>
      <c r="U39" s="170" t="s">
        <v>1024</v>
      </c>
      <c r="V39" s="171" t="n">
        <v>0.7</v>
      </c>
      <c r="W39" s="170" t="s">
        <v>1025</v>
      </c>
      <c r="X39" s="171" t="n">
        <v>0.225</v>
      </c>
      <c r="Y39" s="170" t="s">
        <v>1026</v>
      </c>
      <c r="Z39" s="171" t="n">
        <v>0.225</v>
      </c>
      <c r="AA39" s="181" t="s">
        <v>1027</v>
      </c>
      <c r="AB39" s="175" t="n">
        <v>1.3</v>
      </c>
      <c r="AC39" s="181" t="s">
        <v>1028</v>
      </c>
      <c r="AD39" s="175" t="n">
        <v>0.9</v>
      </c>
      <c r="AE39" s="170" t="s">
        <v>1029</v>
      </c>
      <c r="AF39" s="171" t="n">
        <v>0.6</v>
      </c>
      <c r="AG39" s="190" t="s">
        <v>1030</v>
      </c>
      <c r="AH39" s="175" t="n">
        <v>1</v>
      </c>
      <c r="AI39" s="190" t="s">
        <v>1031</v>
      </c>
      <c r="AJ39" s="175" t="n">
        <v>1</v>
      </c>
      <c r="AK39" s="190" t="s">
        <v>1032</v>
      </c>
      <c r="AL39" s="175" t="n">
        <v>1</v>
      </c>
      <c r="AM39" s="185" t="s">
        <v>1033</v>
      </c>
      <c r="AN39" s="180" t="n">
        <v>0.8</v>
      </c>
      <c r="AO39" s="181" t="s">
        <v>1034</v>
      </c>
      <c r="AP39" s="175" t="n">
        <v>2</v>
      </c>
      <c r="AQ39" s="181" t="s">
        <v>1035</v>
      </c>
      <c r="AR39" s="175" t="n">
        <v>2.45</v>
      </c>
      <c r="AS39" s="179" t="s">
        <v>1036</v>
      </c>
      <c r="AT39" s="180" t="n">
        <v>0.25</v>
      </c>
      <c r="AU39" s="170"/>
      <c r="AV39" s="172" t="n">
        <f aca="false">IFERROR(VLOOKUP(A39,'Site check'!A:Q,14,0),0)</f>
        <v>0</v>
      </c>
    </row>
    <row r="40" customFormat="false" ht="34.9" hidden="false" customHeight="false" outlineLevel="0" collapsed="false">
      <c r="A40" s="32" t="s">
        <v>56</v>
      </c>
      <c r="B40" s="167"/>
      <c r="C40" s="167"/>
      <c r="D40" s="167"/>
      <c r="E40" s="167"/>
      <c r="F40" s="167"/>
      <c r="G40" s="168" t="n">
        <f aca="false">SUM(J40,L40,N40,P40,R40,T40,V40,X40,Z40,AB40,AD40,AF40,AH40,AJ40,AL40,AN40,AP40,AR40,AT40,AV40)</f>
        <v>66.15</v>
      </c>
      <c r="H40" s="169" t="n">
        <f aca="false">SUM(G40*1000)/54.5</f>
        <v>1213.76146788991</v>
      </c>
      <c r="I40" s="170" t="s">
        <v>1019</v>
      </c>
      <c r="J40" s="171" t="n">
        <v>17.2</v>
      </c>
      <c r="K40" s="170" t="s">
        <v>1020</v>
      </c>
      <c r="L40" s="171" t="n">
        <v>31.4</v>
      </c>
      <c r="M40" s="170" t="s">
        <v>1021</v>
      </c>
      <c r="N40" s="171" t="n">
        <v>2</v>
      </c>
      <c r="O40" s="170" t="s">
        <v>1037</v>
      </c>
      <c r="P40" s="171" t="n">
        <v>0.8</v>
      </c>
      <c r="Q40" s="173" t="s">
        <v>1022</v>
      </c>
      <c r="R40" s="174" t="n">
        <v>1</v>
      </c>
      <c r="S40" s="173" t="s">
        <v>1023</v>
      </c>
      <c r="T40" s="174" t="n">
        <v>1</v>
      </c>
      <c r="U40" s="170" t="s">
        <v>1024</v>
      </c>
      <c r="V40" s="171" t="n">
        <v>0.9</v>
      </c>
      <c r="W40" s="170" t="s">
        <v>1025</v>
      </c>
      <c r="X40" s="171" t="n">
        <v>0.225</v>
      </c>
      <c r="Y40" s="170" t="s">
        <v>1026</v>
      </c>
      <c r="Z40" s="171" t="n">
        <v>0.225</v>
      </c>
      <c r="AA40" s="181" t="s">
        <v>1027</v>
      </c>
      <c r="AB40" s="175" t="n">
        <v>1.4</v>
      </c>
      <c r="AC40" s="181" t="s">
        <v>1028</v>
      </c>
      <c r="AD40" s="175" t="n">
        <v>1</v>
      </c>
      <c r="AE40" s="170" t="s">
        <v>1029</v>
      </c>
      <c r="AF40" s="171" t="n">
        <v>0.5</v>
      </c>
      <c r="AG40" s="190" t="s">
        <v>1030</v>
      </c>
      <c r="AH40" s="175" t="n">
        <v>1</v>
      </c>
      <c r="AI40" s="190" t="s">
        <v>1031</v>
      </c>
      <c r="AJ40" s="175" t="n">
        <v>1</v>
      </c>
      <c r="AK40" s="190" t="s">
        <v>1032</v>
      </c>
      <c r="AL40" s="175" t="n">
        <v>1</v>
      </c>
      <c r="AM40" s="185" t="s">
        <v>1033</v>
      </c>
      <c r="AN40" s="180" t="n">
        <v>0.8</v>
      </c>
      <c r="AO40" s="181" t="s">
        <v>1034</v>
      </c>
      <c r="AP40" s="175" t="n">
        <v>2</v>
      </c>
      <c r="AQ40" s="181" t="s">
        <v>1035</v>
      </c>
      <c r="AR40" s="175" t="n">
        <v>2.45</v>
      </c>
      <c r="AS40" s="179" t="s">
        <v>1036</v>
      </c>
      <c r="AT40" s="180" t="n">
        <v>0.25</v>
      </c>
      <c r="AU40" s="170"/>
      <c r="AV40" s="172" t="n">
        <f aca="false">IFERROR(VLOOKUP(A40,'Site check'!A:Q,14,0),0)</f>
        <v>0</v>
      </c>
    </row>
    <row r="41" customFormat="false" ht="13.15" hidden="false" customHeight="false" outlineLevel="0" collapsed="false">
      <c r="A41" s="33" t="s">
        <v>57</v>
      </c>
      <c r="B41" s="159"/>
      <c r="C41" s="167"/>
      <c r="D41" s="167"/>
      <c r="E41" s="167"/>
      <c r="F41" s="167"/>
      <c r="G41" s="168" t="n">
        <f aca="false">SUM(J41,L41,N41,P41,R41,T41,V41,X41,Z41,AB41,AD41,AF41,AH41,AJ41,AL41,AN41,AP41,AR41,AT41,AV41)</f>
        <v>0</v>
      </c>
      <c r="H41" s="169" t="n">
        <f aca="false">SUM(G41*1000)/54.5</f>
        <v>0</v>
      </c>
      <c r="I41" s="170"/>
      <c r="J41" s="171"/>
      <c r="K41" s="170"/>
      <c r="L41" s="171"/>
      <c r="M41" s="170"/>
      <c r="N41" s="171"/>
      <c r="O41" s="170"/>
      <c r="P41" s="171"/>
      <c r="Q41" s="170"/>
      <c r="R41" s="171"/>
      <c r="S41" s="170"/>
      <c r="T41" s="171"/>
      <c r="U41" s="170"/>
      <c r="V41" s="171"/>
      <c r="W41" s="170"/>
      <c r="X41" s="171"/>
      <c r="Y41" s="170"/>
      <c r="Z41" s="171"/>
      <c r="AA41" s="170"/>
      <c r="AB41" s="171"/>
      <c r="AC41" s="170"/>
      <c r="AD41" s="171"/>
      <c r="AE41" s="170"/>
      <c r="AF41" s="171"/>
      <c r="AG41" s="170"/>
      <c r="AH41" s="171"/>
      <c r="AI41" s="170"/>
      <c r="AJ41" s="171"/>
      <c r="AK41" s="170"/>
      <c r="AL41" s="171"/>
      <c r="AM41" s="170"/>
      <c r="AN41" s="171"/>
      <c r="AO41" s="170"/>
      <c r="AP41" s="171"/>
      <c r="AQ41" s="170"/>
      <c r="AR41" s="171"/>
      <c r="AS41" s="170"/>
      <c r="AT41" s="171"/>
      <c r="AU41" s="170"/>
      <c r="AV41" s="172" t="n">
        <f aca="false">IFERROR(VLOOKUP(A41,'Site check'!A:Q,14,0),0)</f>
        <v>0</v>
      </c>
    </row>
    <row r="42" customFormat="false" ht="13.15" hidden="false" customHeight="false" outlineLevel="0" collapsed="false">
      <c r="A42" s="33" t="s">
        <v>58</v>
      </c>
      <c r="B42" s="159"/>
      <c r="C42" s="167"/>
      <c r="D42" s="167"/>
      <c r="E42" s="167"/>
      <c r="F42" s="167"/>
      <c r="G42" s="168" t="n">
        <f aca="false">SUM(J42,L42,N42,P42,R42,T42,V42,X42,Z42,AB42,AD42,AF42,AH42,AJ42,AL42,AN42,AP42,AR42,AT42,AV42)</f>
        <v>0</v>
      </c>
      <c r="H42" s="169" t="n">
        <f aca="false">SUM(G42*1000)/54.5</f>
        <v>0</v>
      </c>
      <c r="I42" s="170"/>
      <c r="J42" s="171"/>
      <c r="K42" s="170"/>
      <c r="L42" s="171"/>
      <c r="M42" s="170"/>
      <c r="N42" s="171"/>
      <c r="O42" s="170"/>
      <c r="P42" s="171"/>
      <c r="Q42" s="170"/>
      <c r="R42" s="171"/>
      <c r="S42" s="170"/>
      <c r="T42" s="171"/>
      <c r="U42" s="170"/>
      <c r="V42" s="171"/>
      <c r="W42" s="170"/>
      <c r="X42" s="171"/>
      <c r="Y42" s="170"/>
      <c r="Z42" s="171"/>
      <c r="AA42" s="170"/>
      <c r="AB42" s="171"/>
      <c r="AC42" s="170"/>
      <c r="AD42" s="171"/>
      <c r="AE42" s="170"/>
      <c r="AF42" s="171"/>
      <c r="AG42" s="170"/>
      <c r="AH42" s="171"/>
      <c r="AI42" s="170"/>
      <c r="AJ42" s="171"/>
      <c r="AK42" s="170"/>
      <c r="AL42" s="171"/>
      <c r="AM42" s="170"/>
      <c r="AN42" s="171"/>
      <c r="AO42" s="170"/>
      <c r="AP42" s="171"/>
      <c r="AQ42" s="170"/>
      <c r="AR42" s="171"/>
      <c r="AS42" s="170"/>
      <c r="AT42" s="171"/>
      <c r="AU42" s="170"/>
      <c r="AV42" s="172" t="n">
        <f aca="false">IFERROR(VLOOKUP(A42,'Site check'!A:Q,14,0),0)</f>
        <v>0</v>
      </c>
    </row>
    <row r="43" customFormat="false" ht="13.15" hidden="false" customHeight="false" outlineLevel="0" collapsed="false">
      <c r="A43" s="20" t="s">
        <v>59</v>
      </c>
      <c r="B43" s="159"/>
      <c r="C43" s="167"/>
      <c r="D43" s="167"/>
      <c r="E43" s="167"/>
      <c r="F43" s="167"/>
      <c r="G43" s="168" t="n">
        <f aca="false">SUM(J43,L43,N43,P43,R43,T43,V43,X43,Z43,AB43,AD43,AF43,AH43,AJ43,AL43,AN43,AP43,AR43,AT43,AV43)</f>
        <v>0.5</v>
      </c>
      <c r="H43" s="169" t="n">
        <f aca="false">SUM(G43*1000)/54.5</f>
        <v>9.1743119266055</v>
      </c>
      <c r="I43" s="181" t="s">
        <v>1038</v>
      </c>
      <c r="J43" s="175" t="n">
        <v>0.5</v>
      </c>
      <c r="K43" s="170"/>
      <c r="L43" s="171"/>
      <c r="M43" s="170"/>
      <c r="N43" s="171"/>
      <c r="O43" s="170"/>
      <c r="P43" s="171"/>
      <c r="Q43" s="170"/>
      <c r="R43" s="171"/>
      <c r="S43" s="170"/>
      <c r="T43" s="171"/>
      <c r="U43" s="170"/>
      <c r="V43" s="171"/>
      <c r="W43" s="170"/>
      <c r="X43" s="171"/>
      <c r="Y43" s="170"/>
      <c r="Z43" s="171"/>
      <c r="AA43" s="170"/>
      <c r="AB43" s="171"/>
      <c r="AC43" s="170"/>
      <c r="AD43" s="171"/>
      <c r="AE43" s="170"/>
      <c r="AF43" s="171"/>
      <c r="AG43" s="170"/>
      <c r="AH43" s="171"/>
      <c r="AI43" s="170"/>
      <c r="AJ43" s="171"/>
      <c r="AK43" s="170"/>
      <c r="AL43" s="171"/>
      <c r="AM43" s="170"/>
      <c r="AN43" s="171"/>
      <c r="AO43" s="170"/>
      <c r="AP43" s="171"/>
      <c r="AQ43" s="170"/>
      <c r="AR43" s="171"/>
      <c r="AS43" s="170"/>
      <c r="AT43" s="171"/>
      <c r="AU43" s="170"/>
      <c r="AV43" s="172" t="n">
        <f aca="false">IFERROR(VLOOKUP(A43,'Site check'!A:Q,14,0),0)</f>
        <v>0</v>
      </c>
    </row>
    <row r="44" customFormat="false" ht="13.15" hidden="false" customHeight="false" outlineLevel="0" collapsed="false">
      <c r="A44" s="20" t="s">
        <v>60</v>
      </c>
      <c r="B44" s="159"/>
      <c r="C44" s="167"/>
      <c r="D44" s="167"/>
      <c r="E44" s="167"/>
      <c r="F44" s="167"/>
      <c r="G44" s="168" t="n">
        <f aca="false">SUM(J44,L44,N44,P44,R44,T44,V44,X44,Z44,AB44,AD44,AF44,AH44,AJ44,AL44,AN44,AP44,AR44,AT44,AV44)</f>
        <v>5.4</v>
      </c>
      <c r="H44" s="169" t="n">
        <f aca="false">SUM(G44*1000)/54.5</f>
        <v>99.0825688073395</v>
      </c>
      <c r="I44" s="170" t="s">
        <v>1039</v>
      </c>
      <c r="J44" s="171" t="n">
        <v>1</v>
      </c>
      <c r="K44" s="191" t="s">
        <v>1040</v>
      </c>
      <c r="L44" s="175" t="n">
        <v>4.4</v>
      </c>
      <c r="M44" s="170"/>
      <c r="N44" s="171"/>
      <c r="O44" s="170"/>
      <c r="P44" s="171"/>
      <c r="Q44" s="170"/>
      <c r="R44" s="171"/>
      <c r="S44" s="170"/>
      <c r="T44" s="171"/>
      <c r="U44" s="170"/>
      <c r="V44" s="171"/>
      <c r="W44" s="170"/>
      <c r="X44" s="171"/>
      <c r="Y44" s="170"/>
      <c r="Z44" s="171"/>
      <c r="AA44" s="170"/>
      <c r="AB44" s="171"/>
      <c r="AC44" s="170"/>
      <c r="AD44" s="171"/>
      <c r="AE44" s="170"/>
      <c r="AF44" s="171"/>
      <c r="AG44" s="170"/>
      <c r="AH44" s="171"/>
      <c r="AI44" s="170"/>
      <c r="AJ44" s="171"/>
      <c r="AK44" s="170"/>
      <c r="AL44" s="171"/>
      <c r="AM44" s="170"/>
      <c r="AN44" s="171"/>
      <c r="AO44" s="170"/>
      <c r="AP44" s="171"/>
      <c r="AQ44" s="170"/>
      <c r="AR44" s="171"/>
      <c r="AS44" s="170"/>
      <c r="AT44" s="171"/>
      <c r="AU44" s="170"/>
      <c r="AV44" s="172" t="n">
        <f aca="false">IFERROR(VLOOKUP(A44,'Site check'!A:Q,14,0),0)</f>
        <v>0</v>
      </c>
    </row>
    <row r="45" customFormat="false" ht="13.15" hidden="false" customHeight="false" outlineLevel="0" collapsed="false">
      <c r="A45" s="20" t="s">
        <v>61</v>
      </c>
      <c r="B45" s="159"/>
      <c r="C45" s="167"/>
      <c r="D45" s="167"/>
      <c r="E45" s="167"/>
      <c r="F45" s="167"/>
      <c r="G45" s="168" t="n">
        <f aca="false">SUM(J45,L45,N45,P45,R45,T45,V45,X45,Z45,AB45,AD45,AF45,AH45,AJ45,AL45,AN45,AP45,AR45,AT45,AV45)</f>
        <v>0.5</v>
      </c>
      <c r="H45" s="169" t="n">
        <f aca="false">SUM(G45*1000)/54.5</f>
        <v>9.1743119266055</v>
      </c>
      <c r="I45" s="170" t="s">
        <v>1041</v>
      </c>
      <c r="J45" s="171" t="n">
        <v>0.5</v>
      </c>
      <c r="K45" s="170"/>
      <c r="L45" s="171"/>
      <c r="M45" s="170"/>
      <c r="N45" s="171"/>
      <c r="O45" s="170"/>
      <c r="P45" s="171"/>
      <c r="Q45" s="170"/>
      <c r="R45" s="171"/>
      <c r="S45" s="170"/>
      <c r="T45" s="171"/>
      <c r="U45" s="170"/>
      <c r="V45" s="171"/>
      <c r="W45" s="170"/>
      <c r="X45" s="171"/>
      <c r="Y45" s="170"/>
      <c r="Z45" s="171"/>
      <c r="AA45" s="170"/>
      <c r="AB45" s="171"/>
      <c r="AC45" s="170"/>
      <c r="AD45" s="171"/>
      <c r="AE45" s="170"/>
      <c r="AF45" s="171"/>
      <c r="AG45" s="170"/>
      <c r="AH45" s="171"/>
      <c r="AI45" s="170"/>
      <c r="AJ45" s="171"/>
      <c r="AK45" s="170"/>
      <c r="AL45" s="171"/>
      <c r="AM45" s="170"/>
      <c r="AN45" s="171"/>
      <c r="AO45" s="170"/>
      <c r="AP45" s="171"/>
      <c r="AQ45" s="170"/>
      <c r="AR45" s="171"/>
      <c r="AS45" s="170"/>
      <c r="AT45" s="171"/>
      <c r="AU45" s="170"/>
      <c r="AV45" s="172" t="n">
        <f aca="false">IFERROR(VLOOKUP(A45,'Site check'!A:Q,14,0),0)</f>
        <v>0</v>
      </c>
    </row>
    <row r="46" customFormat="false" ht="13.15" hidden="false" customHeight="false" outlineLevel="0" collapsed="false">
      <c r="A46" s="20" t="s">
        <v>62</v>
      </c>
      <c r="B46" s="159"/>
      <c r="C46" s="167"/>
      <c r="D46" s="167"/>
      <c r="E46" s="167"/>
      <c r="F46" s="167"/>
      <c r="G46" s="168" t="n">
        <f aca="false">SUM(J46,L46,N46,P46,R46,T46,V46,X46,Z46,AB46,AD46,AF46,AH46,AJ46,AL46,AN46,AP46,AR46,AT46,AV46)</f>
        <v>0.4</v>
      </c>
      <c r="H46" s="169" t="n">
        <f aca="false">SUM(G46*1000)/54.5</f>
        <v>7.3394495412844</v>
      </c>
      <c r="I46" s="181" t="s">
        <v>1042</v>
      </c>
      <c r="J46" s="175" t="n">
        <v>0.4</v>
      </c>
      <c r="K46" s="170"/>
      <c r="L46" s="171"/>
      <c r="M46" s="170"/>
      <c r="N46" s="171"/>
      <c r="O46" s="170"/>
      <c r="P46" s="171"/>
      <c r="Q46" s="170"/>
      <c r="R46" s="171"/>
      <c r="S46" s="170"/>
      <c r="T46" s="171"/>
      <c r="U46" s="170"/>
      <c r="V46" s="171"/>
      <c r="W46" s="170"/>
      <c r="X46" s="171"/>
      <c r="Y46" s="170"/>
      <c r="Z46" s="171"/>
      <c r="AA46" s="170"/>
      <c r="AB46" s="171"/>
      <c r="AC46" s="170"/>
      <c r="AD46" s="171"/>
      <c r="AE46" s="170"/>
      <c r="AF46" s="171"/>
      <c r="AG46" s="170"/>
      <c r="AH46" s="171"/>
      <c r="AI46" s="170"/>
      <c r="AJ46" s="171"/>
      <c r="AK46" s="170"/>
      <c r="AL46" s="171"/>
      <c r="AM46" s="170"/>
      <c r="AN46" s="171"/>
      <c r="AO46" s="170"/>
      <c r="AP46" s="171"/>
      <c r="AQ46" s="170"/>
      <c r="AR46" s="171"/>
      <c r="AS46" s="170"/>
      <c r="AT46" s="171"/>
      <c r="AU46" s="170"/>
      <c r="AV46" s="172" t="n">
        <f aca="false">IFERROR(VLOOKUP(A46,'Site check'!A:Q,14,0),0)</f>
        <v>0</v>
      </c>
    </row>
    <row r="47" customFormat="false" ht="13.15" hidden="false" customHeight="false" outlineLevel="0" collapsed="false">
      <c r="A47" s="20" t="s">
        <v>63</v>
      </c>
      <c r="B47" s="159"/>
      <c r="C47" s="167"/>
      <c r="D47" s="167"/>
      <c r="E47" s="167"/>
      <c r="F47" s="167"/>
      <c r="G47" s="168" t="n">
        <f aca="false">SUM(J47,L47,N47,P47,R47,T47,V47,X47,Z47,AB47,AD47,AF47,AH47,AJ47,AL47,AN47,AP47,AR47,AT47,AV47)</f>
        <v>8.2</v>
      </c>
      <c r="H47" s="169" t="n">
        <f aca="false">SUM(G47*1000)/54.5</f>
        <v>150.45871559633</v>
      </c>
      <c r="I47" s="186" t="s">
        <v>1043</v>
      </c>
      <c r="J47" s="192" t="n">
        <v>3</v>
      </c>
      <c r="K47" s="173" t="s">
        <v>1044</v>
      </c>
      <c r="L47" s="174" t="n">
        <v>1</v>
      </c>
      <c r="M47" s="179" t="s">
        <v>1045</v>
      </c>
      <c r="N47" s="180" t="n">
        <v>4.2</v>
      </c>
      <c r="O47" s="170"/>
      <c r="P47" s="171"/>
      <c r="Q47" s="170"/>
      <c r="R47" s="171"/>
      <c r="S47" s="170"/>
      <c r="T47" s="171"/>
      <c r="U47" s="170"/>
      <c r="V47" s="171"/>
      <c r="W47" s="170"/>
      <c r="X47" s="171"/>
      <c r="Y47" s="170"/>
      <c r="Z47" s="171"/>
      <c r="AA47" s="170"/>
      <c r="AB47" s="171"/>
      <c r="AC47" s="170"/>
      <c r="AD47" s="171"/>
      <c r="AE47" s="170"/>
      <c r="AF47" s="171"/>
      <c r="AG47" s="170"/>
      <c r="AH47" s="171"/>
      <c r="AI47" s="170"/>
      <c r="AJ47" s="171"/>
      <c r="AK47" s="170"/>
      <c r="AL47" s="171"/>
      <c r="AM47" s="170"/>
      <c r="AN47" s="171"/>
      <c r="AO47" s="170"/>
      <c r="AP47" s="171"/>
      <c r="AQ47" s="170"/>
      <c r="AR47" s="171"/>
      <c r="AS47" s="170"/>
      <c r="AT47" s="171"/>
      <c r="AU47" s="170"/>
      <c r="AV47" s="172" t="n">
        <f aca="false">IFERROR(VLOOKUP(A47,'Site check'!A:Q,14,0),0)</f>
        <v>0</v>
      </c>
    </row>
    <row r="48" customFormat="false" ht="13.15" hidden="false" customHeight="false" outlineLevel="0" collapsed="false">
      <c r="A48" s="33" t="s">
        <v>64</v>
      </c>
      <c r="B48" s="184" t="s">
        <v>17</v>
      </c>
      <c r="C48" s="176" t="s">
        <v>18</v>
      </c>
      <c r="D48" s="176" t="s">
        <v>19</v>
      </c>
      <c r="E48" s="167"/>
      <c r="F48" s="167"/>
      <c r="G48" s="168" t="n">
        <f aca="false">SUM(J48,L48,N48,P48,R48,T48,V48,X48,Z48,AB48,AD48,AF48,AH48,AJ48,AL48,AN48,AP48,AR48,AT48,AV48)</f>
        <v>22</v>
      </c>
      <c r="H48" s="169" t="n">
        <f aca="false">SUM(G48*1000)/54.5</f>
        <v>403.669724770642</v>
      </c>
      <c r="I48" s="170" t="s">
        <v>1046</v>
      </c>
      <c r="J48" s="171" t="n">
        <v>1.1</v>
      </c>
      <c r="K48" s="173" t="s">
        <v>1047</v>
      </c>
      <c r="L48" s="174" t="n">
        <v>0.4</v>
      </c>
      <c r="M48" s="173" t="s">
        <v>1048</v>
      </c>
      <c r="N48" s="174" t="n">
        <v>1.3</v>
      </c>
      <c r="O48" s="173" t="s">
        <v>1049</v>
      </c>
      <c r="P48" s="174" t="n">
        <v>1.2</v>
      </c>
      <c r="Q48" s="173" t="s">
        <v>1050</v>
      </c>
      <c r="R48" s="174" t="n">
        <v>1.3</v>
      </c>
      <c r="S48" s="173" t="s">
        <v>1051</v>
      </c>
      <c r="T48" s="174" t="n">
        <v>1.3</v>
      </c>
      <c r="U48" s="173" t="s">
        <v>1052</v>
      </c>
      <c r="V48" s="174" t="n">
        <v>0.6</v>
      </c>
      <c r="W48" s="181" t="s">
        <v>1053</v>
      </c>
      <c r="X48" s="175" t="n">
        <v>1.1</v>
      </c>
      <c r="Y48" s="181" t="s">
        <v>1054</v>
      </c>
      <c r="Z48" s="175" t="n">
        <v>1.1</v>
      </c>
      <c r="AA48" s="181" t="s">
        <v>1055</v>
      </c>
      <c r="AB48" s="175" t="n">
        <v>2</v>
      </c>
      <c r="AC48" s="170" t="s">
        <v>1056</v>
      </c>
      <c r="AD48" s="171" t="n">
        <v>2.1</v>
      </c>
      <c r="AE48" s="173" t="s">
        <v>1057</v>
      </c>
      <c r="AF48" s="174" t="n">
        <v>4</v>
      </c>
      <c r="AG48" s="193" t="s">
        <v>1058</v>
      </c>
      <c r="AH48" s="192" t="n">
        <v>1.1</v>
      </c>
      <c r="AI48" s="181" t="s">
        <v>1059</v>
      </c>
      <c r="AJ48" s="175" t="n">
        <v>0.4</v>
      </c>
      <c r="AK48" s="170" t="s">
        <v>1060</v>
      </c>
      <c r="AL48" s="171" t="n">
        <v>0.4</v>
      </c>
      <c r="AM48" s="173" t="s">
        <v>1061</v>
      </c>
      <c r="AN48" s="174" t="n">
        <v>0.4</v>
      </c>
      <c r="AO48" s="173" t="s">
        <v>1062</v>
      </c>
      <c r="AP48" s="174" t="n">
        <v>0.5</v>
      </c>
      <c r="AQ48" s="173" t="s">
        <v>1063</v>
      </c>
      <c r="AR48" s="174" t="n">
        <v>0.9</v>
      </c>
      <c r="AS48" s="179" t="s">
        <v>1064</v>
      </c>
      <c r="AT48" s="194" t="n">
        <v>0.8</v>
      </c>
      <c r="AU48" s="170"/>
      <c r="AV48" s="172" t="n">
        <f aca="false">IFERROR(VLOOKUP(A48,'Site check'!A:Q,14,0),0)</f>
        <v>0</v>
      </c>
    </row>
    <row r="49" customFormat="false" ht="13.15" hidden="false" customHeight="false" outlineLevel="0" collapsed="false">
      <c r="A49" s="33" t="s">
        <v>65</v>
      </c>
      <c r="B49" s="184" t="s">
        <v>17</v>
      </c>
      <c r="C49" s="167"/>
      <c r="D49" s="167"/>
      <c r="E49" s="167"/>
      <c r="F49" s="167"/>
      <c r="G49" s="168" t="n">
        <f aca="false">SUM(J49,L49,N49,P49,R49,T49,V49,X49,Z49,AB49,AD49,AF49,AH49,AJ49,AL49,AN49,AP49,AR49,AT49,AV49)</f>
        <v>22</v>
      </c>
      <c r="H49" s="169" t="n">
        <f aca="false">SUM(G49*1000)/54.5</f>
        <v>403.669724770642</v>
      </c>
      <c r="I49" s="170" t="s">
        <v>1046</v>
      </c>
      <c r="J49" s="171" t="n">
        <v>0.9</v>
      </c>
      <c r="K49" s="173" t="s">
        <v>1047</v>
      </c>
      <c r="L49" s="174" t="n">
        <v>0.7</v>
      </c>
      <c r="M49" s="173" t="s">
        <v>1048</v>
      </c>
      <c r="N49" s="174" t="n">
        <v>1.2</v>
      </c>
      <c r="O49" s="173" t="s">
        <v>1049</v>
      </c>
      <c r="P49" s="174" t="n">
        <v>1.3</v>
      </c>
      <c r="Q49" s="173" t="s">
        <v>1050</v>
      </c>
      <c r="R49" s="174" t="n">
        <v>1.3</v>
      </c>
      <c r="S49" s="173" t="s">
        <v>1051</v>
      </c>
      <c r="T49" s="174" t="n">
        <v>1.3</v>
      </c>
      <c r="U49" s="173" t="s">
        <v>1052</v>
      </c>
      <c r="V49" s="174" t="n">
        <v>0.7</v>
      </c>
      <c r="W49" s="181" t="s">
        <v>1053</v>
      </c>
      <c r="X49" s="175" t="n">
        <v>0.7</v>
      </c>
      <c r="Y49" s="181" t="s">
        <v>1054</v>
      </c>
      <c r="Z49" s="175" t="n">
        <v>1.1</v>
      </c>
      <c r="AA49" s="181" t="s">
        <v>1055</v>
      </c>
      <c r="AB49" s="175" t="n">
        <v>2</v>
      </c>
      <c r="AC49" s="170" t="s">
        <v>1056</v>
      </c>
      <c r="AD49" s="171" t="n">
        <v>2.2</v>
      </c>
      <c r="AE49" s="173" t="s">
        <v>1057</v>
      </c>
      <c r="AF49" s="174" t="n">
        <v>4</v>
      </c>
      <c r="AG49" s="193" t="s">
        <v>1058</v>
      </c>
      <c r="AH49" s="192" t="n">
        <v>1.2</v>
      </c>
      <c r="AI49" s="181" t="s">
        <v>1059</v>
      </c>
      <c r="AJ49" s="175" t="n">
        <v>0.4</v>
      </c>
      <c r="AK49" s="170" t="s">
        <v>1060</v>
      </c>
      <c r="AL49" s="171" t="n">
        <v>0.4</v>
      </c>
      <c r="AM49" s="173" t="s">
        <v>1061</v>
      </c>
      <c r="AN49" s="174" t="n">
        <v>0.4</v>
      </c>
      <c r="AO49" s="173" t="s">
        <v>1062</v>
      </c>
      <c r="AP49" s="174" t="n">
        <v>0.5</v>
      </c>
      <c r="AQ49" s="173" t="s">
        <v>1063</v>
      </c>
      <c r="AR49" s="174" t="n">
        <v>0.9</v>
      </c>
      <c r="AS49" s="179" t="s">
        <v>1064</v>
      </c>
      <c r="AT49" s="194" t="n">
        <v>0.8</v>
      </c>
      <c r="AU49" s="170"/>
      <c r="AV49" s="172" t="n">
        <f aca="false">IFERROR(VLOOKUP(A49,'Site check'!A:Q,14,0),0)</f>
        <v>0</v>
      </c>
    </row>
    <row r="50" customFormat="false" ht="13.15" hidden="false" customHeight="false" outlineLevel="0" collapsed="false">
      <c r="A50" s="32" t="s">
        <v>66</v>
      </c>
      <c r="B50" s="159"/>
      <c r="C50" s="167"/>
      <c r="D50" s="167"/>
      <c r="E50" s="167"/>
      <c r="F50" s="167"/>
      <c r="G50" s="168" t="n">
        <f aca="false">SUM(J50,L50,N50,P50,R50,T50,V50,X50,Z50,AB50,AD50,AF50,AH50,AJ50,AL50,AN50,AP50,AR50,AT50,AV50)</f>
        <v>7.9</v>
      </c>
      <c r="H50" s="169" t="n">
        <f aca="false">SUM(G50*1000)/54.5</f>
        <v>144.954128440367</v>
      </c>
      <c r="I50" s="181" t="s">
        <v>1065</v>
      </c>
      <c r="J50" s="175" t="n">
        <v>2</v>
      </c>
      <c r="K50" s="179" t="s">
        <v>1066</v>
      </c>
      <c r="L50" s="180" t="n">
        <v>2</v>
      </c>
      <c r="M50" s="181"/>
      <c r="N50" s="175"/>
      <c r="O50" s="179" t="s">
        <v>1067</v>
      </c>
      <c r="P50" s="180" t="n">
        <v>0.6</v>
      </c>
      <c r="Q50" s="179" t="s">
        <v>1068</v>
      </c>
      <c r="R50" s="180" t="n">
        <v>1.1</v>
      </c>
      <c r="S50" s="179" t="s">
        <v>1069</v>
      </c>
      <c r="T50" s="180" t="n">
        <v>1.1</v>
      </c>
      <c r="U50" s="179" t="s">
        <v>1070</v>
      </c>
      <c r="V50" s="180" t="n">
        <v>1.1</v>
      </c>
      <c r="W50" s="170"/>
      <c r="X50" s="171"/>
      <c r="Y50" s="170"/>
      <c r="Z50" s="171"/>
      <c r="AA50" s="170"/>
      <c r="AB50" s="171"/>
      <c r="AC50" s="170"/>
      <c r="AD50" s="171"/>
      <c r="AE50" s="170"/>
      <c r="AF50" s="171"/>
      <c r="AG50" s="170"/>
      <c r="AH50" s="171"/>
      <c r="AI50" s="170"/>
      <c r="AJ50" s="171"/>
      <c r="AK50" s="170"/>
      <c r="AL50" s="171"/>
      <c r="AM50" s="170"/>
      <c r="AN50" s="171"/>
      <c r="AO50" s="170"/>
      <c r="AP50" s="171"/>
      <c r="AQ50" s="170"/>
      <c r="AR50" s="171"/>
      <c r="AS50" s="170"/>
      <c r="AT50" s="171"/>
      <c r="AU50" s="170"/>
      <c r="AV50" s="172" t="n">
        <f aca="false">IFERROR(VLOOKUP(A50,'Site check'!A:Q,14,0),0)</f>
        <v>0</v>
      </c>
    </row>
    <row r="51" customFormat="false" ht="13.15" hidden="false" customHeight="false" outlineLevel="0" collapsed="false">
      <c r="A51" s="32" t="s">
        <v>67</v>
      </c>
      <c r="B51" s="159"/>
      <c r="C51" s="167"/>
      <c r="D51" s="167"/>
      <c r="E51" s="167"/>
      <c r="F51" s="167"/>
      <c r="G51" s="168" t="n">
        <f aca="false">SUM(J51,L51,N51,P51,R51,T51,V51,X51,Z51,AB51,AD51,AF51,AH51,AJ51,AL51,AN51,AP51,AR51,AT51,AV51)</f>
        <v>5.9</v>
      </c>
      <c r="H51" s="169" t="n">
        <f aca="false">SUM(G51*1000)/54.5</f>
        <v>108.256880733945</v>
      </c>
      <c r="I51" s="181"/>
      <c r="J51" s="175"/>
      <c r="K51" s="179" t="s">
        <v>1066</v>
      </c>
      <c r="L51" s="180" t="n">
        <v>2</v>
      </c>
      <c r="M51" s="181"/>
      <c r="N51" s="175"/>
      <c r="O51" s="179" t="s">
        <v>1067</v>
      </c>
      <c r="P51" s="180" t="n">
        <v>0.6</v>
      </c>
      <c r="Q51" s="179" t="s">
        <v>1068</v>
      </c>
      <c r="R51" s="180" t="n">
        <v>1.1</v>
      </c>
      <c r="S51" s="179" t="s">
        <v>1069</v>
      </c>
      <c r="T51" s="180" t="n">
        <v>1.1</v>
      </c>
      <c r="U51" s="179" t="s">
        <v>1070</v>
      </c>
      <c r="V51" s="180" t="n">
        <v>1.1</v>
      </c>
      <c r="W51" s="170"/>
      <c r="X51" s="171"/>
      <c r="Y51" s="170"/>
      <c r="Z51" s="171"/>
      <c r="AA51" s="170"/>
      <c r="AB51" s="171"/>
      <c r="AC51" s="170"/>
      <c r="AD51" s="171"/>
      <c r="AE51" s="170"/>
      <c r="AF51" s="171"/>
      <c r="AG51" s="170"/>
      <c r="AH51" s="171"/>
      <c r="AI51" s="170"/>
      <c r="AJ51" s="171"/>
      <c r="AK51" s="170"/>
      <c r="AL51" s="171"/>
      <c r="AM51" s="170"/>
      <c r="AN51" s="171"/>
      <c r="AO51" s="170"/>
      <c r="AP51" s="171"/>
      <c r="AQ51" s="170"/>
      <c r="AR51" s="171"/>
      <c r="AS51" s="170"/>
      <c r="AT51" s="171"/>
      <c r="AU51" s="170"/>
      <c r="AV51" s="172" t="n">
        <f aca="false">IFERROR(VLOOKUP(A51,'Site check'!A:Q,14,0),0)</f>
        <v>0</v>
      </c>
    </row>
    <row r="52" customFormat="false" ht="13.15" hidden="false" customHeight="false" outlineLevel="0" collapsed="false">
      <c r="A52" s="20" t="s">
        <v>68</v>
      </c>
      <c r="B52" s="184" t="s">
        <v>17</v>
      </c>
      <c r="C52" s="167"/>
      <c r="D52" s="167"/>
      <c r="E52" s="167"/>
      <c r="F52" s="167"/>
      <c r="G52" s="168" t="n">
        <f aca="false">SUM(J52,L52,N52,P52,R52,T52,V52,X52,Z52,AB52,AD52,AF52,AH52,AJ52,AL52,AN52,AP52,AR52,AT52,AV52)</f>
        <v>0</v>
      </c>
      <c r="H52" s="169" t="n">
        <f aca="false">SUM(G52*1000)/54.5</f>
        <v>0</v>
      </c>
      <c r="I52" s="179"/>
      <c r="J52" s="180"/>
      <c r="K52" s="179"/>
      <c r="L52" s="180"/>
      <c r="M52" s="179"/>
      <c r="N52" s="180"/>
      <c r="O52" s="170"/>
      <c r="P52" s="171"/>
      <c r="Q52" s="170"/>
      <c r="R52" s="171"/>
      <c r="S52" s="179"/>
      <c r="T52" s="180"/>
      <c r="U52" s="179"/>
      <c r="V52" s="180"/>
      <c r="W52" s="179"/>
      <c r="X52" s="180"/>
      <c r="Y52" s="170"/>
      <c r="Z52" s="171"/>
      <c r="AA52" s="170"/>
      <c r="AB52" s="171"/>
      <c r="AC52" s="181"/>
      <c r="AD52" s="175"/>
      <c r="AE52" s="170"/>
      <c r="AF52" s="171"/>
      <c r="AG52" s="170"/>
      <c r="AH52" s="171"/>
      <c r="AI52" s="170"/>
      <c r="AJ52" s="171"/>
      <c r="AK52" s="170"/>
      <c r="AL52" s="171"/>
      <c r="AM52" s="170"/>
      <c r="AN52" s="171"/>
      <c r="AO52" s="170"/>
      <c r="AP52" s="171"/>
      <c r="AQ52" s="170"/>
      <c r="AR52" s="171"/>
      <c r="AS52" s="170"/>
      <c r="AT52" s="171"/>
      <c r="AU52" s="170"/>
      <c r="AV52" s="172" t="n">
        <f aca="false">IFERROR(VLOOKUP(A52,'Site check'!A:Q,14,0),0)</f>
        <v>0</v>
      </c>
    </row>
    <row r="53" customFormat="false" ht="13.15" hidden="false" customHeight="false" outlineLevel="0" collapsed="false">
      <c r="A53" s="20" t="s">
        <v>69</v>
      </c>
      <c r="B53" s="159"/>
      <c r="C53" s="176" t="s">
        <v>18</v>
      </c>
      <c r="D53" s="176" t="s">
        <v>19</v>
      </c>
      <c r="E53" s="167"/>
      <c r="F53" s="176" t="s">
        <v>958</v>
      </c>
      <c r="G53" s="168" t="n">
        <f aca="false">SUM(J53,L53,N53,P53,R53,T53,V53,X53,Z53,AB53,AD53,AF53,AH53,AJ53,AL53,AN53,AP53,AR53,AT53,AV53)</f>
        <v>28.6</v>
      </c>
      <c r="H53" s="169" t="n">
        <f aca="false">SUM(G53*1000)/54.5</f>
        <v>524.770642201835</v>
      </c>
      <c r="I53" s="170" t="s">
        <v>1071</v>
      </c>
      <c r="J53" s="171" t="n">
        <v>2.5</v>
      </c>
      <c r="K53" s="170"/>
      <c r="L53" s="171"/>
      <c r="M53" s="170" t="s">
        <v>1072</v>
      </c>
      <c r="N53" s="171" t="n">
        <v>1.6</v>
      </c>
      <c r="O53" s="170" t="s">
        <v>1073</v>
      </c>
      <c r="P53" s="171" t="n">
        <v>1.3</v>
      </c>
      <c r="Q53" s="170" t="s">
        <v>1074</v>
      </c>
      <c r="R53" s="171" t="n">
        <v>10.2</v>
      </c>
      <c r="S53" s="170" t="s">
        <v>1075</v>
      </c>
      <c r="T53" s="171" t="n">
        <v>0.5</v>
      </c>
      <c r="U53" s="181" t="s">
        <v>1076</v>
      </c>
      <c r="V53" s="175" t="n">
        <v>1.7</v>
      </c>
      <c r="W53" s="181" t="s">
        <v>1077</v>
      </c>
      <c r="X53" s="175" t="n">
        <v>1.8</v>
      </c>
      <c r="Y53" s="181"/>
      <c r="Z53" s="175"/>
      <c r="AA53" s="195" t="s">
        <v>1078</v>
      </c>
      <c r="AB53" s="174" t="n">
        <v>2</v>
      </c>
      <c r="AC53" s="181" t="s">
        <v>1079</v>
      </c>
      <c r="AD53" s="175" t="n">
        <v>2.4</v>
      </c>
      <c r="AE53" s="173" t="s">
        <v>1080</v>
      </c>
      <c r="AF53" s="174" t="n">
        <v>1.7</v>
      </c>
      <c r="AG53" s="173" t="s">
        <v>1081</v>
      </c>
      <c r="AH53" s="174" t="n">
        <v>0.5</v>
      </c>
      <c r="AI53" s="173" t="s">
        <v>1082</v>
      </c>
      <c r="AJ53" s="171" t="n">
        <v>2.4</v>
      </c>
      <c r="AK53" s="173"/>
      <c r="AL53" s="174"/>
      <c r="AM53" s="170"/>
      <c r="AN53" s="171"/>
      <c r="AO53" s="170"/>
      <c r="AP53" s="171"/>
      <c r="AQ53" s="170"/>
      <c r="AR53" s="171"/>
      <c r="AS53" s="170"/>
      <c r="AT53" s="171"/>
      <c r="AU53" s="170"/>
      <c r="AV53" s="172" t="n">
        <f aca="false">IFERROR(VLOOKUP(A53,'Site check'!A:Q,14,0),0)</f>
        <v>0</v>
      </c>
    </row>
    <row r="54" customFormat="false" ht="13.15" hidden="false" customHeight="false" outlineLevel="0" collapsed="false">
      <c r="A54" s="37" t="s">
        <v>70</v>
      </c>
      <c r="B54" s="159"/>
      <c r="C54" s="167"/>
      <c r="D54" s="167"/>
      <c r="E54" s="167"/>
      <c r="F54" s="167"/>
      <c r="G54" s="168" t="n">
        <f aca="false">SUM(J54,L54,N54,P54,R54,T54,V54,X54,Z54,AB54,AD54,AF54,AH54,AJ54,AL54,AN54,AP54,AR54,AT54,AV54)</f>
        <v>2.25</v>
      </c>
      <c r="H54" s="169" t="n">
        <f aca="false">SUM(G54*1000)/54.5</f>
        <v>41.2844036697248</v>
      </c>
      <c r="I54" s="173" t="s">
        <v>1083</v>
      </c>
      <c r="J54" s="174" t="n">
        <v>2</v>
      </c>
      <c r="K54" s="170" t="s">
        <v>1084</v>
      </c>
      <c r="L54" s="171" t="n">
        <v>0.25</v>
      </c>
      <c r="M54" s="170"/>
      <c r="N54" s="171"/>
      <c r="O54" s="170" t="n">
        <v>36.75</v>
      </c>
      <c r="P54" s="171"/>
      <c r="Q54" s="170"/>
      <c r="R54" s="171"/>
      <c r="S54" s="170"/>
      <c r="T54" s="171"/>
      <c r="U54" s="170"/>
      <c r="V54" s="171"/>
      <c r="W54" s="170"/>
      <c r="X54" s="171"/>
      <c r="Y54" s="170"/>
      <c r="Z54" s="171"/>
      <c r="AA54" s="170"/>
      <c r="AB54" s="171"/>
      <c r="AC54" s="170"/>
      <c r="AD54" s="171"/>
      <c r="AE54" s="170"/>
      <c r="AF54" s="171"/>
      <c r="AG54" s="170"/>
      <c r="AH54" s="171"/>
      <c r="AI54" s="170"/>
      <c r="AJ54" s="171"/>
      <c r="AK54" s="170"/>
      <c r="AL54" s="171"/>
      <c r="AM54" s="170"/>
      <c r="AN54" s="171"/>
      <c r="AO54" s="170"/>
      <c r="AP54" s="171"/>
      <c r="AQ54" s="170"/>
      <c r="AR54" s="171"/>
      <c r="AS54" s="170"/>
      <c r="AT54" s="171"/>
      <c r="AU54" s="170"/>
      <c r="AV54" s="172" t="n">
        <f aca="false">IFERROR(VLOOKUP(A54,'Site check'!A:Q,14,0),0)</f>
        <v>0</v>
      </c>
    </row>
    <row r="55" customFormat="false" ht="13.15" hidden="false" customHeight="false" outlineLevel="0" collapsed="false">
      <c r="A55" s="37" t="s">
        <v>71</v>
      </c>
      <c r="B55" s="184" t="s">
        <v>17</v>
      </c>
      <c r="C55" s="167"/>
      <c r="D55" s="167"/>
      <c r="E55" s="167"/>
      <c r="F55" s="167"/>
      <c r="G55" s="168" t="n">
        <f aca="false">SUM(J55,L55,N55,P55,R55,T55,V55,X55,Z55,AB55,AD54,AF55,AH55,AJ55,AL55,AN55,AP55,AR55,AT55,AV55)</f>
        <v>5</v>
      </c>
      <c r="H55" s="169" t="n">
        <f aca="false">SUM(G55*1000)/54.5</f>
        <v>91.743119266055</v>
      </c>
      <c r="I55" s="173" t="s">
        <v>1085</v>
      </c>
      <c r="J55" s="174" t="n">
        <v>2</v>
      </c>
      <c r="K55" s="196" t="s">
        <v>1086</v>
      </c>
      <c r="L55" s="197" t="n">
        <v>3</v>
      </c>
      <c r="M55" s="198"/>
      <c r="N55" s="199"/>
      <c r="O55" s="179"/>
      <c r="P55" s="180"/>
      <c r="Q55" s="170"/>
      <c r="R55" s="171"/>
      <c r="S55" s="170"/>
      <c r="T55" s="171"/>
      <c r="U55" s="170"/>
      <c r="V55" s="171"/>
      <c r="W55" s="170"/>
      <c r="X55" s="171"/>
      <c r="Y55" s="170"/>
      <c r="Z55" s="171"/>
      <c r="AA55" s="170"/>
      <c r="AB55" s="171"/>
      <c r="AC55" s="170"/>
      <c r="AD55" s="171"/>
      <c r="AE55" s="170"/>
      <c r="AF55" s="171"/>
      <c r="AG55" s="170"/>
      <c r="AH55" s="171"/>
      <c r="AI55" s="170"/>
      <c r="AJ55" s="171"/>
      <c r="AK55" s="170"/>
      <c r="AL55" s="171"/>
      <c r="AM55" s="170"/>
      <c r="AN55" s="171"/>
      <c r="AO55" s="170"/>
      <c r="AP55" s="171"/>
      <c r="AQ55" s="170"/>
      <c r="AR55" s="171"/>
      <c r="AS55" s="170"/>
      <c r="AT55" s="171"/>
      <c r="AU55" s="170"/>
      <c r="AV55" s="172" t="n">
        <f aca="false">IFERROR(VLOOKUP(A55,'Site check'!A:Q,14,0),0)</f>
        <v>0</v>
      </c>
    </row>
    <row r="56" customFormat="false" ht="13.15" hidden="false" customHeight="false" outlineLevel="0" collapsed="false">
      <c r="A56" s="37" t="s">
        <v>72</v>
      </c>
      <c r="B56" s="159"/>
      <c r="C56" s="176" t="s">
        <v>18</v>
      </c>
      <c r="D56" s="176" t="s">
        <v>19</v>
      </c>
      <c r="E56" s="176" t="s">
        <v>1087</v>
      </c>
      <c r="F56" s="176" t="s">
        <v>958</v>
      </c>
      <c r="G56" s="168" t="n">
        <f aca="false">SUM(J56,L56,N56,P56,R56,T56,V56,X56,Z56,AB56,AD56,AF56,AH56,AJ56,AL56,AN56,AP56,AR56,AT56,AV56)</f>
        <v>42.43</v>
      </c>
      <c r="H56" s="169" t="n">
        <f aca="false">SUM(G56*1000)/54.5</f>
        <v>778.532110091743</v>
      </c>
      <c r="I56" s="170" t="s">
        <v>1088</v>
      </c>
      <c r="J56" s="171" t="n">
        <v>1.7</v>
      </c>
      <c r="K56" s="170" t="s">
        <v>1089</v>
      </c>
      <c r="L56" s="171" t="n">
        <v>0.9</v>
      </c>
      <c r="M56" s="170" t="s">
        <v>1090</v>
      </c>
      <c r="N56" s="171" t="n">
        <v>4.2</v>
      </c>
      <c r="O56" s="170" t="s">
        <v>1091</v>
      </c>
      <c r="P56" s="171" t="n">
        <v>1.7</v>
      </c>
      <c r="Q56" s="170" t="s">
        <v>1092</v>
      </c>
      <c r="R56" s="171" t="n">
        <v>1.8</v>
      </c>
      <c r="S56" s="170" t="s">
        <v>1093</v>
      </c>
      <c r="T56" s="171" t="n">
        <v>11.8</v>
      </c>
      <c r="U56" s="181" t="s">
        <v>1094</v>
      </c>
      <c r="V56" s="175" t="n">
        <v>1.8</v>
      </c>
      <c r="W56" s="181"/>
      <c r="X56" s="175"/>
      <c r="Y56" s="181" t="s">
        <v>1095</v>
      </c>
      <c r="Z56" s="175" t="n">
        <v>1.2</v>
      </c>
      <c r="AA56" s="173" t="s">
        <v>1096</v>
      </c>
      <c r="AB56" s="174" t="n">
        <v>0.5</v>
      </c>
      <c r="AC56" s="193" t="s">
        <v>1097</v>
      </c>
      <c r="AD56" s="192" t="n">
        <v>5.9</v>
      </c>
      <c r="AE56" s="186" t="s">
        <v>1098</v>
      </c>
      <c r="AF56" s="192" t="n">
        <v>1.7</v>
      </c>
      <c r="AG56" s="177" t="s">
        <v>1099</v>
      </c>
      <c r="AH56" s="200" t="n">
        <v>2.9</v>
      </c>
      <c r="AI56" s="177" t="s">
        <v>1100</v>
      </c>
      <c r="AJ56" s="200" t="n">
        <v>0.93</v>
      </c>
      <c r="AK56" s="181" t="s">
        <v>1101</v>
      </c>
      <c r="AL56" s="175" t="n">
        <v>1.6</v>
      </c>
      <c r="AM56" s="181" t="s">
        <v>1102</v>
      </c>
      <c r="AN56" s="175" t="n">
        <v>2.2</v>
      </c>
      <c r="AO56" s="179" t="s">
        <v>1103</v>
      </c>
      <c r="AP56" s="194" t="n">
        <v>1.6</v>
      </c>
      <c r="AQ56" s="170"/>
      <c r="AR56" s="171"/>
      <c r="AS56" s="170"/>
      <c r="AT56" s="171"/>
      <c r="AU56" s="170"/>
      <c r="AV56" s="172" t="n">
        <f aca="false">IFERROR(VLOOKUP(A56,'Site check'!A:Q,14,0),0)</f>
        <v>0</v>
      </c>
    </row>
    <row r="57" customFormat="false" ht="13.15" hidden="false" customHeight="false" outlineLevel="0" collapsed="false">
      <c r="A57" s="20" t="s">
        <v>73</v>
      </c>
      <c r="B57" s="159"/>
      <c r="C57" s="176" t="s">
        <v>18</v>
      </c>
      <c r="D57" s="167"/>
      <c r="E57" s="167"/>
      <c r="F57" s="167"/>
      <c r="G57" s="168" t="n">
        <f aca="false">SUM(J57,L57,N57,P57,R57,T57,V57,X57,Z57,AB57,AD57,AF57,AH57,AJ57,AL57,AN57,AP57,AR57,AT57,AV57)</f>
        <v>6.9</v>
      </c>
      <c r="H57" s="169" t="n">
        <f aca="false">SUM(G57*1000)/54.5</f>
        <v>126.605504587156</v>
      </c>
      <c r="I57" s="170" t="s">
        <v>1104</v>
      </c>
      <c r="J57" s="171" t="n">
        <v>1.7</v>
      </c>
      <c r="K57" s="193" t="s">
        <v>1105</v>
      </c>
      <c r="L57" s="192" t="n">
        <v>1</v>
      </c>
      <c r="M57" s="179" t="s">
        <v>1106</v>
      </c>
      <c r="N57" s="180" t="n">
        <v>4.2</v>
      </c>
      <c r="O57" s="170"/>
      <c r="P57" s="171"/>
      <c r="Q57" s="170"/>
      <c r="R57" s="171"/>
      <c r="S57" s="170"/>
      <c r="T57" s="171"/>
      <c r="U57" s="170"/>
      <c r="V57" s="171"/>
      <c r="W57" s="170"/>
      <c r="X57" s="171"/>
      <c r="Y57" s="170"/>
      <c r="Z57" s="171"/>
      <c r="AA57" s="170"/>
      <c r="AB57" s="171"/>
      <c r="AC57" s="170"/>
      <c r="AD57" s="171"/>
      <c r="AE57" s="170"/>
      <c r="AF57" s="171"/>
      <c r="AG57" s="170"/>
      <c r="AH57" s="171"/>
      <c r="AI57" s="170"/>
      <c r="AJ57" s="171"/>
      <c r="AK57" s="170"/>
      <c r="AL57" s="171"/>
      <c r="AM57" s="170"/>
      <c r="AN57" s="171"/>
      <c r="AO57" s="170"/>
      <c r="AP57" s="171"/>
      <c r="AQ57" s="170"/>
      <c r="AR57" s="171"/>
      <c r="AS57" s="170"/>
      <c r="AT57" s="171"/>
      <c r="AU57" s="170"/>
      <c r="AV57" s="172" t="n">
        <f aca="false">IFERROR(VLOOKUP(A57,'Site check'!A:Q,14,0),0)</f>
        <v>0</v>
      </c>
    </row>
    <row r="58" customFormat="false" ht="13.15" hidden="false" customHeight="false" outlineLevel="0" collapsed="false">
      <c r="A58" s="20" t="s">
        <v>74</v>
      </c>
      <c r="B58" s="159"/>
      <c r="C58" s="167"/>
      <c r="D58" s="167"/>
      <c r="E58" s="167"/>
      <c r="F58" s="167"/>
      <c r="G58" s="168" t="n">
        <f aca="false">SUM(J58,L58,N58,P58,R58,T58,V58,X58,Z58,AB58,AD58,AF58,AH58,AJ58,AL58,AN58,AP58,AR58,AT58,AV58)</f>
        <v>0</v>
      </c>
      <c r="H58" s="169" t="n">
        <f aca="false">SUM(G58*1000)/54.5</f>
        <v>0</v>
      </c>
      <c r="I58" s="170"/>
      <c r="J58" s="171"/>
      <c r="K58" s="170"/>
      <c r="L58" s="171"/>
      <c r="M58" s="170"/>
      <c r="N58" s="171"/>
      <c r="O58" s="170"/>
      <c r="P58" s="171"/>
      <c r="Q58" s="170"/>
      <c r="R58" s="171"/>
      <c r="S58" s="170"/>
      <c r="T58" s="171"/>
      <c r="U58" s="170"/>
      <c r="V58" s="171"/>
      <c r="W58" s="170"/>
      <c r="X58" s="171"/>
      <c r="Y58" s="170"/>
      <c r="Z58" s="171"/>
      <c r="AA58" s="170"/>
      <c r="AB58" s="171"/>
      <c r="AC58" s="170"/>
      <c r="AD58" s="171"/>
      <c r="AE58" s="170"/>
      <c r="AF58" s="171"/>
      <c r="AG58" s="170"/>
      <c r="AH58" s="171"/>
      <c r="AI58" s="170"/>
      <c r="AJ58" s="171"/>
      <c r="AK58" s="170"/>
      <c r="AL58" s="171"/>
      <c r="AM58" s="170"/>
      <c r="AN58" s="171"/>
      <c r="AO58" s="170"/>
      <c r="AP58" s="171"/>
      <c r="AQ58" s="170"/>
      <c r="AR58" s="171"/>
      <c r="AS58" s="170"/>
      <c r="AT58" s="171"/>
      <c r="AU58" s="170"/>
      <c r="AV58" s="172" t="n">
        <f aca="false">IFERROR(VLOOKUP(A58,'Site check'!A:Q,14,0),0)</f>
        <v>0</v>
      </c>
    </row>
    <row r="59" customFormat="false" ht="13.15" hidden="false" customHeight="false" outlineLevel="0" collapsed="false">
      <c r="A59" s="20" t="s">
        <v>75</v>
      </c>
      <c r="B59" s="159"/>
      <c r="C59" s="167"/>
      <c r="D59" s="167"/>
      <c r="E59" s="167"/>
      <c r="F59" s="167"/>
      <c r="G59" s="168" t="n">
        <f aca="false">SUM(J59,L59,N59,P59,R59,T59,V59,X59,Z59,AB59,AD59,AF59,AH59,AJ59,AL59,AN59,AP59,AR59,AT59,AV59)</f>
        <v>0.3</v>
      </c>
      <c r="H59" s="169" t="n">
        <f aca="false">SUM(G59*1000)/54.5</f>
        <v>5.5045871559633</v>
      </c>
      <c r="I59" s="179" t="s">
        <v>1107</v>
      </c>
      <c r="J59" s="180" t="n">
        <v>0.3</v>
      </c>
      <c r="K59" s="170"/>
      <c r="L59" s="171"/>
      <c r="M59" s="170"/>
      <c r="N59" s="171"/>
      <c r="O59" s="170"/>
      <c r="P59" s="171"/>
      <c r="Q59" s="170"/>
      <c r="R59" s="171"/>
      <c r="S59" s="170"/>
      <c r="T59" s="171"/>
      <c r="U59" s="170"/>
      <c r="V59" s="171"/>
      <c r="W59" s="170"/>
      <c r="X59" s="171"/>
      <c r="Y59" s="170"/>
      <c r="Z59" s="171"/>
      <c r="AA59" s="170"/>
      <c r="AB59" s="171"/>
      <c r="AC59" s="170"/>
      <c r="AD59" s="171"/>
      <c r="AE59" s="170"/>
      <c r="AF59" s="171"/>
      <c r="AG59" s="170"/>
      <c r="AH59" s="171"/>
      <c r="AI59" s="170"/>
      <c r="AJ59" s="171"/>
      <c r="AK59" s="170"/>
      <c r="AL59" s="171"/>
      <c r="AM59" s="170"/>
      <c r="AN59" s="171"/>
      <c r="AO59" s="170"/>
      <c r="AP59" s="171"/>
      <c r="AQ59" s="170"/>
      <c r="AR59" s="171"/>
      <c r="AS59" s="170"/>
      <c r="AT59" s="171"/>
      <c r="AU59" s="170"/>
      <c r="AV59" s="172" t="n">
        <f aca="false">IFERROR(VLOOKUP(A59,'Site check'!A:Q,14,0),0)</f>
        <v>0</v>
      </c>
    </row>
    <row r="60" customFormat="false" ht="13.15" hidden="false" customHeight="false" outlineLevel="0" collapsed="false">
      <c r="A60" s="20" t="s">
        <v>76</v>
      </c>
      <c r="B60" s="159"/>
      <c r="C60" s="167"/>
      <c r="D60" s="167"/>
      <c r="E60" s="167"/>
      <c r="F60" s="167"/>
      <c r="G60" s="168" t="n">
        <f aca="false">SUM(J60,L60,N60,P60,R60,T60,V60,X60,Z60,AB60,AD60,AF60,AH60,AJ60,AL60,AN60,AP60,AR60,AT60,AV60)</f>
        <v>0</v>
      </c>
      <c r="H60" s="169" t="n">
        <f aca="false">SUM(G60*1000)/54.5</f>
        <v>0</v>
      </c>
      <c r="I60" s="170"/>
      <c r="J60" s="171"/>
      <c r="K60" s="170"/>
      <c r="L60" s="171"/>
      <c r="M60" s="170"/>
      <c r="N60" s="171"/>
      <c r="O60" s="170"/>
      <c r="P60" s="171"/>
      <c r="Q60" s="170"/>
      <c r="R60" s="171"/>
      <c r="S60" s="170"/>
      <c r="T60" s="171"/>
      <c r="U60" s="170"/>
      <c r="V60" s="171"/>
      <c r="W60" s="170"/>
      <c r="X60" s="171"/>
      <c r="Y60" s="170"/>
      <c r="Z60" s="171"/>
      <c r="AA60" s="170"/>
      <c r="AB60" s="171"/>
      <c r="AC60" s="170"/>
      <c r="AD60" s="171"/>
      <c r="AE60" s="170"/>
      <c r="AF60" s="171"/>
      <c r="AG60" s="170"/>
      <c r="AH60" s="171"/>
      <c r="AI60" s="170"/>
      <c r="AJ60" s="171"/>
      <c r="AK60" s="170"/>
      <c r="AL60" s="171"/>
      <c r="AM60" s="170"/>
      <c r="AN60" s="171"/>
      <c r="AO60" s="170"/>
      <c r="AP60" s="171"/>
      <c r="AQ60" s="170"/>
      <c r="AR60" s="171"/>
      <c r="AS60" s="170"/>
      <c r="AT60" s="171"/>
      <c r="AU60" s="170"/>
      <c r="AV60" s="172" t="n">
        <f aca="false">IFERROR(VLOOKUP(A60,'Site check'!A:Q,14,0),0)</f>
        <v>0</v>
      </c>
    </row>
    <row r="61" customFormat="false" ht="13.15" hidden="false" customHeight="false" outlineLevel="0" collapsed="false">
      <c r="A61" s="20" t="s">
        <v>77</v>
      </c>
      <c r="B61" s="159"/>
      <c r="C61" s="167"/>
      <c r="D61" s="167"/>
      <c r="E61" s="167"/>
      <c r="F61" s="167"/>
      <c r="G61" s="168" t="n">
        <f aca="false">SUM(J61,L61,N61,P61,R61,T61,V61,X61,Z61,AB61,AD61,AF61,AH61,AJ61,AL61,AN61,AP61,AR61,AT61,AV61)</f>
        <v>1</v>
      </c>
      <c r="H61" s="169" t="n">
        <f aca="false">SUM(G61*1000)/54.5</f>
        <v>18.348623853211</v>
      </c>
      <c r="I61" s="186" t="s">
        <v>1108</v>
      </c>
      <c r="J61" s="192" t="n">
        <v>1</v>
      </c>
      <c r="K61" s="170"/>
      <c r="L61" s="171"/>
      <c r="M61" s="170"/>
      <c r="N61" s="171"/>
      <c r="O61" s="170"/>
      <c r="P61" s="171"/>
      <c r="Q61" s="170"/>
      <c r="R61" s="171"/>
      <c r="S61" s="170"/>
      <c r="T61" s="171"/>
      <c r="U61" s="170"/>
      <c r="V61" s="171"/>
      <c r="W61" s="170"/>
      <c r="X61" s="171"/>
      <c r="Y61" s="170"/>
      <c r="Z61" s="171"/>
      <c r="AA61" s="170"/>
      <c r="AB61" s="171"/>
      <c r="AC61" s="170"/>
      <c r="AD61" s="171"/>
      <c r="AE61" s="170"/>
      <c r="AF61" s="171"/>
      <c r="AG61" s="170"/>
      <c r="AH61" s="171"/>
      <c r="AI61" s="170"/>
      <c r="AJ61" s="171"/>
      <c r="AK61" s="170"/>
      <c r="AL61" s="171"/>
      <c r="AM61" s="170"/>
      <c r="AN61" s="171"/>
      <c r="AO61" s="170"/>
      <c r="AP61" s="171"/>
      <c r="AQ61" s="170"/>
      <c r="AR61" s="171"/>
      <c r="AS61" s="170"/>
      <c r="AT61" s="171"/>
      <c r="AU61" s="170"/>
      <c r="AV61" s="172" t="n">
        <f aca="false">IFERROR(VLOOKUP(A61,'Site check'!A:Q,14,0),0)</f>
        <v>0</v>
      </c>
    </row>
    <row r="62" customFormat="false" ht="13.15" hidden="false" customHeight="false" outlineLevel="0" collapsed="false">
      <c r="A62" s="20" t="s">
        <v>78</v>
      </c>
      <c r="B62" s="159"/>
      <c r="C62" s="167"/>
      <c r="D62" s="167"/>
      <c r="E62" s="167"/>
      <c r="F62" s="167"/>
      <c r="G62" s="168" t="n">
        <f aca="false">SUM(J62,L62,N62,P62,R62,T62,V62,X62,Z62,AB62,AD62,AF62,AH62,AJ62,AL62,AN62,AP62,AR62,AT62,AV62)</f>
        <v>0</v>
      </c>
      <c r="H62" s="169" t="n">
        <f aca="false">SUM(G62*1000)/54.5</f>
        <v>0</v>
      </c>
      <c r="I62" s="179"/>
      <c r="J62" s="180"/>
      <c r="K62" s="170"/>
      <c r="L62" s="171"/>
      <c r="M62" s="170"/>
      <c r="N62" s="171"/>
      <c r="O62" s="170"/>
      <c r="P62" s="171"/>
      <c r="Q62" s="170"/>
      <c r="R62" s="171"/>
      <c r="S62" s="170"/>
      <c r="T62" s="171"/>
      <c r="U62" s="170"/>
      <c r="V62" s="171"/>
      <c r="W62" s="170"/>
      <c r="X62" s="171"/>
      <c r="Y62" s="170"/>
      <c r="Z62" s="171"/>
      <c r="AA62" s="170"/>
      <c r="AB62" s="171"/>
      <c r="AC62" s="170"/>
      <c r="AD62" s="171"/>
      <c r="AE62" s="170"/>
      <c r="AF62" s="171"/>
      <c r="AG62" s="170"/>
      <c r="AH62" s="171"/>
      <c r="AI62" s="170"/>
      <c r="AJ62" s="171"/>
      <c r="AK62" s="170"/>
      <c r="AL62" s="171"/>
      <c r="AM62" s="170"/>
      <c r="AN62" s="171"/>
      <c r="AO62" s="170"/>
      <c r="AP62" s="171"/>
      <c r="AQ62" s="170"/>
      <c r="AR62" s="171"/>
      <c r="AS62" s="170"/>
      <c r="AT62" s="171"/>
      <c r="AU62" s="170"/>
      <c r="AV62" s="172" t="n">
        <f aca="false">IFERROR(VLOOKUP(A62,'Site check'!A:Q,14,0),0)</f>
        <v>0</v>
      </c>
    </row>
    <row r="63" customFormat="false" ht="13.15" hidden="false" customHeight="false" outlineLevel="0" collapsed="false">
      <c r="A63" s="20" t="s">
        <v>79</v>
      </c>
      <c r="B63" s="159"/>
      <c r="C63" s="167"/>
      <c r="D63" s="167"/>
      <c r="E63" s="167"/>
      <c r="F63" s="167"/>
      <c r="G63" s="168" t="n">
        <f aca="false">SUM(J63,L63,N63,P63,R63,T63,V63,X63,Z63,AB63,AD63,AF63,AH63,AJ63,AL63,AN63,AP63,AR63,AT63,AV63)</f>
        <v>1</v>
      </c>
      <c r="H63" s="169" t="n">
        <f aca="false">SUM(G63*1000)/54.5</f>
        <v>18.348623853211</v>
      </c>
      <c r="I63" s="186" t="s">
        <v>1109</v>
      </c>
      <c r="J63" s="192" t="n">
        <v>1</v>
      </c>
      <c r="K63" s="170"/>
      <c r="L63" s="171"/>
      <c r="M63" s="170"/>
      <c r="N63" s="171"/>
      <c r="O63" s="170"/>
      <c r="P63" s="171"/>
      <c r="Q63" s="170"/>
      <c r="R63" s="171"/>
      <c r="S63" s="170"/>
      <c r="T63" s="171"/>
      <c r="U63" s="170"/>
      <c r="V63" s="171"/>
      <c r="W63" s="170"/>
      <c r="X63" s="171"/>
      <c r="Y63" s="170"/>
      <c r="Z63" s="171"/>
      <c r="AA63" s="170"/>
      <c r="AB63" s="171"/>
      <c r="AC63" s="170"/>
      <c r="AD63" s="171"/>
      <c r="AE63" s="170"/>
      <c r="AF63" s="171"/>
      <c r="AG63" s="170"/>
      <c r="AH63" s="171"/>
      <c r="AI63" s="170"/>
      <c r="AJ63" s="171"/>
      <c r="AK63" s="170"/>
      <c r="AL63" s="171"/>
      <c r="AM63" s="170"/>
      <c r="AN63" s="171"/>
      <c r="AO63" s="170"/>
      <c r="AP63" s="171"/>
      <c r="AQ63" s="170"/>
      <c r="AR63" s="171"/>
      <c r="AS63" s="170"/>
      <c r="AT63" s="171"/>
      <c r="AU63" s="170"/>
      <c r="AV63" s="172" t="n">
        <f aca="false">IFERROR(VLOOKUP(A63,'Site check'!A:Q,14,0),0)</f>
        <v>0</v>
      </c>
    </row>
    <row r="64" customFormat="false" ht="13.15" hidden="false" customHeight="false" outlineLevel="0" collapsed="false">
      <c r="A64" s="20" t="s">
        <v>80</v>
      </c>
      <c r="B64" s="159"/>
      <c r="C64" s="167"/>
      <c r="D64" s="167"/>
      <c r="E64" s="167"/>
      <c r="F64" s="167"/>
      <c r="G64" s="168" t="n">
        <f aca="false">SUM(J64,L64,N64,P64,R64,T64,V64,X64,Z64,AB64,AD64,AF64,AH64,AJ64,AL64,AN64,AP64,AR64,AT64,AV64)</f>
        <v>3</v>
      </c>
      <c r="H64" s="169" t="n">
        <f aca="false">SUM(G64*1000)/54.5</f>
        <v>55.045871559633</v>
      </c>
      <c r="I64" s="170" t="s">
        <v>1110</v>
      </c>
      <c r="J64" s="171" t="n">
        <v>0.5</v>
      </c>
      <c r="K64" s="170" t="s">
        <v>1111</v>
      </c>
      <c r="L64" s="171" t="n">
        <v>2.5</v>
      </c>
      <c r="M64" s="170"/>
      <c r="N64" s="171"/>
      <c r="O64" s="170"/>
      <c r="P64" s="171"/>
      <c r="Q64" s="170"/>
      <c r="R64" s="171"/>
      <c r="S64" s="170"/>
      <c r="T64" s="171"/>
      <c r="U64" s="170"/>
      <c r="V64" s="171"/>
      <c r="W64" s="170"/>
      <c r="X64" s="171"/>
      <c r="Y64" s="170"/>
      <c r="Z64" s="171"/>
      <c r="AA64" s="170"/>
      <c r="AB64" s="171"/>
      <c r="AC64" s="170"/>
      <c r="AD64" s="171"/>
      <c r="AE64" s="170"/>
      <c r="AF64" s="171"/>
      <c r="AG64" s="170"/>
      <c r="AH64" s="171"/>
      <c r="AI64" s="170"/>
      <c r="AJ64" s="171"/>
      <c r="AK64" s="170"/>
      <c r="AL64" s="171"/>
      <c r="AM64" s="170"/>
      <c r="AN64" s="171"/>
      <c r="AO64" s="170"/>
      <c r="AP64" s="171"/>
      <c r="AQ64" s="170"/>
      <c r="AR64" s="171"/>
      <c r="AS64" s="170"/>
      <c r="AT64" s="171"/>
      <c r="AU64" s="170"/>
      <c r="AV64" s="172" t="n">
        <f aca="false">IFERROR(VLOOKUP(A64,'Site check'!A:Q,14,0),0)</f>
        <v>0</v>
      </c>
    </row>
    <row r="65" customFormat="false" ht="13.15" hidden="false" customHeight="false" outlineLevel="0" collapsed="false">
      <c r="A65" s="20" t="s">
        <v>81</v>
      </c>
      <c r="B65" s="159"/>
      <c r="C65" s="167"/>
      <c r="D65" s="167"/>
      <c r="E65" s="167"/>
      <c r="F65" s="167"/>
      <c r="G65" s="168" t="n">
        <f aca="false">SUM(J65,L65,N65,P65,R65,T65,V65,X65,Z65,AB65,AD65,AF65,AH65,AJ65,AL65,AN65,AP65,AR65,AT65,AV65)</f>
        <v>0</v>
      </c>
      <c r="H65" s="169" t="n">
        <f aca="false">SUM(G65*1000)/54.5</f>
        <v>0</v>
      </c>
      <c r="I65" s="170"/>
      <c r="J65" s="171"/>
      <c r="K65" s="170"/>
      <c r="L65" s="171"/>
      <c r="M65" s="170"/>
      <c r="N65" s="171"/>
      <c r="O65" s="170"/>
      <c r="P65" s="171"/>
      <c r="Q65" s="170"/>
      <c r="R65" s="171"/>
      <c r="S65" s="170"/>
      <c r="T65" s="171"/>
      <c r="U65" s="170"/>
      <c r="V65" s="171"/>
      <c r="W65" s="170"/>
      <c r="X65" s="171"/>
      <c r="Y65" s="170"/>
      <c r="Z65" s="171"/>
      <c r="AA65" s="170"/>
      <c r="AB65" s="171"/>
      <c r="AC65" s="170"/>
      <c r="AD65" s="171"/>
      <c r="AE65" s="170"/>
      <c r="AF65" s="171"/>
      <c r="AG65" s="170"/>
      <c r="AH65" s="171"/>
      <c r="AI65" s="170"/>
      <c r="AJ65" s="171"/>
      <c r="AK65" s="170"/>
      <c r="AL65" s="171"/>
      <c r="AM65" s="170"/>
      <c r="AN65" s="171"/>
      <c r="AO65" s="170"/>
      <c r="AP65" s="171"/>
      <c r="AQ65" s="170"/>
      <c r="AR65" s="171"/>
      <c r="AS65" s="170"/>
      <c r="AT65" s="171"/>
      <c r="AU65" s="170"/>
      <c r="AV65" s="172" t="n">
        <f aca="false">IFERROR(VLOOKUP(A65,'Site check'!A:Q,14,0),0)</f>
        <v>0</v>
      </c>
    </row>
    <row r="66" customFormat="false" ht="13.15" hidden="false" customHeight="false" outlineLevel="0" collapsed="false">
      <c r="A66" s="20" t="s">
        <v>82</v>
      </c>
      <c r="B66" s="159"/>
      <c r="C66" s="167"/>
      <c r="D66" s="167"/>
      <c r="E66" s="167"/>
      <c r="F66" s="167"/>
      <c r="G66" s="168" t="n">
        <f aca="false">SUM(J66,L66,N66,P66,R66,T66,V66,X66,Z66,AB66,AD66,AF66,AH66,AJ66,AL66,AN66,AP66,AR66,AT66,AV66)</f>
        <v>1.5</v>
      </c>
      <c r="H66" s="169" t="n">
        <f aca="false">SUM(G66*1000)/54.5</f>
        <v>27.5229357798165</v>
      </c>
      <c r="I66" s="173" t="s">
        <v>1112</v>
      </c>
      <c r="J66" s="174" t="n">
        <v>0.5</v>
      </c>
      <c r="K66" s="173" t="s">
        <v>1113</v>
      </c>
      <c r="L66" s="174" t="n">
        <v>1</v>
      </c>
      <c r="M66" s="170"/>
      <c r="N66" s="171"/>
      <c r="O66" s="170"/>
      <c r="P66" s="171"/>
      <c r="Q66" s="170"/>
      <c r="R66" s="171"/>
      <c r="S66" s="170"/>
      <c r="T66" s="171"/>
      <c r="U66" s="170"/>
      <c r="V66" s="171"/>
      <c r="W66" s="170"/>
      <c r="X66" s="171"/>
      <c r="Y66" s="170"/>
      <c r="Z66" s="171"/>
      <c r="AA66" s="170"/>
      <c r="AB66" s="171"/>
      <c r="AC66" s="170"/>
      <c r="AD66" s="171"/>
      <c r="AE66" s="170"/>
      <c r="AF66" s="171"/>
      <c r="AG66" s="170"/>
      <c r="AH66" s="171"/>
      <c r="AI66" s="170"/>
      <c r="AJ66" s="171"/>
      <c r="AK66" s="170"/>
      <c r="AL66" s="171"/>
      <c r="AM66" s="170"/>
      <c r="AN66" s="171"/>
      <c r="AO66" s="170"/>
      <c r="AP66" s="171"/>
      <c r="AQ66" s="170"/>
      <c r="AR66" s="171"/>
      <c r="AS66" s="170"/>
      <c r="AT66" s="171"/>
      <c r="AU66" s="170"/>
      <c r="AV66" s="172" t="n">
        <f aca="false">IFERROR(VLOOKUP(A66,'Site check'!A:Q,14,0),0)</f>
        <v>0</v>
      </c>
    </row>
    <row r="67" customFormat="false" ht="13.15" hidden="false" customHeight="false" outlineLevel="0" collapsed="false">
      <c r="A67" s="20" t="s">
        <v>83</v>
      </c>
      <c r="B67" s="159"/>
      <c r="C67" s="167"/>
      <c r="D67" s="167"/>
      <c r="E67" s="167"/>
      <c r="F67" s="167"/>
      <c r="G67" s="168" t="n">
        <f aca="false">SUM(J67,L67,N67,P67,R67,T67,V67,X67,Z67,AB67,AD67,AF67,AH67,AJ67,AL67,AN67,AP67,AR67,AT67,AV67)</f>
        <v>0</v>
      </c>
      <c r="H67" s="169" t="n">
        <f aca="false">SUM(G67*1000)/54.5</f>
        <v>0</v>
      </c>
      <c r="I67" s="170"/>
      <c r="J67" s="171"/>
      <c r="K67" s="170"/>
      <c r="L67" s="171"/>
      <c r="M67" s="170"/>
      <c r="N67" s="171"/>
      <c r="O67" s="170"/>
      <c r="P67" s="171"/>
      <c r="Q67" s="170"/>
      <c r="R67" s="171"/>
      <c r="S67" s="170"/>
      <c r="T67" s="171"/>
      <c r="U67" s="170"/>
      <c r="V67" s="171"/>
      <c r="W67" s="170"/>
      <c r="X67" s="171"/>
      <c r="Y67" s="170"/>
      <c r="Z67" s="171"/>
      <c r="AA67" s="170"/>
      <c r="AB67" s="171"/>
      <c r="AC67" s="170"/>
      <c r="AD67" s="171"/>
      <c r="AE67" s="170"/>
      <c r="AF67" s="171"/>
      <c r="AG67" s="170"/>
      <c r="AH67" s="171"/>
      <c r="AI67" s="170"/>
      <c r="AJ67" s="171"/>
      <c r="AK67" s="170"/>
      <c r="AL67" s="171"/>
      <c r="AM67" s="170"/>
      <c r="AN67" s="171"/>
      <c r="AO67" s="170"/>
      <c r="AP67" s="171"/>
      <c r="AQ67" s="170"/>
      <c r="AR67" s="171"/>
      <c r="AS67" s="170"/>
      <c r="AT67" s="171"/>
      <c r="AU67" s="170"/>
      <c r="AV67" s="172" t="n">
        <f aca="false">IFERROR(VLOOKUP(A67,'Site check'!A:Q,14,0),0)</f>
        <v>0</v>
      </c>
    </row>
    <row r="68" customFormat="false" ht="13.15" hidden="false" customHeight="false" outlineLevel="0" collapsed="false">
      <c r="A68" s="20" t="s">
        <v>84</v>
      </c>
      <c r="B68" s="159"/>
      <c r="C68" s="167"/>
      <c r="D68" s="167"/>
      <c r="E68" s="167"/>
      <c r="F68" s="167"/>
      <c r="G68" s="168" t="n">
        <f aca="false">SUM(J68,L68,N68,P68,R68,T68,V68,X68,Z68,AB68,AD68,AF68,AH68,AJ68,AL68,AN68,AP68,AR68,AT68,AV68)</f>
        <v>0</v>
      </c>
      <c r="H68" s="169" t="n">
        <f aca="false">SUM(G68*1000)/54.5</f>
        <v>0</v>
      </c>
      <c r="I68" s="170"/>
      <c r="J68" s="171"/>
      <c r="K68" s="170"/>
      <c r="L68" s="171"/>
      <c r="M68" s="170"/>
      <c r="N68" s="171"/>
      <c r="O68" s="170"/>
      <c r="P68" s="171"/>
      <c r="Q68" s="170"/>
      <c r="R68" s="171"/>
      <c r="S68" s="170"/>
      <c r="T68" s="171"/>
      <c r="U68" s="170"/>
      <c r="V68" s="171"/>
      <c r="W68" s="170"/>
      <c r="X68" s="171"/>
      <c r="Y68" s="170"/>
      <c r="Z68" s="171"/>
      <c r="AA68" s="170"/>
      <c r="AB68" s="171"/>
      <c r="AC68" s="170"/>
      <c r="AD68" s="171"/>
      <c r="AE68" s="170"/>
      <c r="AF68" s="171"/>
      <c r="AG68" s="170"/>
      <c r="AH68" s="171"/>
      <c r="AI68" s="170"/>
      <c r="AJ68" s="171"/>
      <c r="AK68" s="170"/>
      <c r="AL68" s="171"/>
      <c r="AM68" s="170"/>
      <c r="AN68" s="171"/>
      <c r="AO68" s="170"/>
      <c r="AP68" s="171"/>
      <c r="AQ68" s="170"/>
      <c r="AR68" s="171"/>
      <c r="AS68" s="170"/>
      <c r="AT68" s="171"/>
      <c r="AU68" s="170"/>
      <c r="AV68" s="172" t="n">
        <f aca="false">IFERROR(VLOOKUP(A68,'Site check'!A:Q,14,0),0)</f>
        <v>0</v>
      </c>
    </row>
    <row r="69" customFormat="false" ht="13.15" hidden="false" customHeight="false" outlineLevel="0" collapsed="false">
      <c r="A69" s="37" t="s">
        <v>85</v>
      </c>
      <c r="B69" s="184" t="s">
        <v>17</v>
      </c>
      <c r="C69" s="167"/>
      <c r="D69" s="167"/>
      <c r="E69" s="167"/>
      <c r="F69" s="167"/>
      <c r="G69" s="168" t="n">
        <f aca="false">SUM(J69,L69,N69,P69,R69,T69,V69,X69,Z69,AB69,AD69,AF69,AH69,AJ69,AL69,AN69,AP69,AR69,AT69,AV69)</f>
        <v>15.5</v>
      </c>
      <c r="H69" s="169" t="n">
        <f aca="false">SUM(G69*1000)/54.5</f>
        <v>284.403669724771</v>
      </c>
      <c r="I69" s="170" t="s">
        <v>1114</v>
      </c>
      <c r="J69" s="171" t="n">
        <v>1</v>
      </c>
      <c r="K69" s="170" t="s">
        <v>1115</v>
      </c>
      <c r="L69" s="171" t="n">
        <v>1</v>
      </c>
      <c r="M69" s="186" t="s">
        <v>1116</v>
      </c>
      <c r="N69" s="192" t="n">
        <v>2</v>
      </c>
      <c r="O69" s="193" t="s">
        <v>1117</v>
      </c>
      <c r="P69" s="192" t="n">
        <v>2</v>
      </c>
      <c r="Q69" s="186" t="s">
        <v>1118</v>
      </c>
      <c r="R69" s="192" t="n">
        <v>2</v>
      </c>
      <c r="S69" s="193" t="s">
        <v>1119</v>
      </c>
      <c r="T69" s="192" t="n">
        <v>2</v>
      </c>
      <c r="U69" s="201" t="s">
        <v>1120</v>
      </c>
      <c r="V69" s="71" t="n">
        <v>1.1</v>
      </c>
      <c r="W69" s="202" t="s">
        <v>1121</v>
      </c>
      <c r="X69" s="178" t="n">
        <v>2.2</v>
      </c>
      <c r="Y69" s="202" t="s">
        <v>1122</v>
      </c>
      <c r="Z69" s="178" t="n">
        <v>2.2</v>
      </c>
      <c r="AA69" s="170"/>
      <c r="AB69" s="171"/>
      <c r="AC69" s="170"/>
      <c r="AD69" s="171"/>
      <c r="AE69" s="170"/>
      <c r="AF69" s="171"/>
      <c r="AG69" s="170"/>
      <c r="AH69" s="171"/>
      <c r="AI69" s="170"/>
      <c r="AJ69" s="171"/>
      <c r="AK69" s="170"/>
      <c r="AL69" s="171"/>
      <c r="AM69" s="170"/>
      <c r="AN69" s="171"/>
      <c r="AO69" s="170"/>
      <c r="AP69" s="171"/>
      <c r="AQ69" s="170"/>
      <c r="AR69" s="171"/>
      <c r="AS69" s="170"/>
      <c r="AT69" s="171"/>
      <c r="AU69" s="170"/>
      <c r="AV69" s="172" t="n">
        <f aca="false">IFERROR(VLOOKUP(A69,'Site check'!A:Q,14,0),0)</f>
        <v>0</v>
      </c>
    </row>
    <row r="70" customFormat="false" ht="13.15" hidden="false" customHeight="false" outlineLevel="0" collapsed="false">
      <c r="A70" s="37" t="s">
        <v>86</v>
      </c>
      <c r="B70" s="184" t="s">
        <v>17</v>
      </c>
      <c r="C70" s="167"/>
      <c r="D70" s="167"/>
      <c r="E70" s="167"/>
      <c r="F70" s="167"/>
      <c r="G70" s="168" t="n">
        <f aca="false">SUM(J70,L70,N70,P70,R70,T70,V70,X70,Z70,AB70,AD70,AF70,AH70,AJ70,AL70,AN70,AP70,AR70,AT70,AV70)</f>
        <v>1.5</v>
      </c>
      <c r="H70" s="169" t="n">
        <f aca="false">SUM(G70*1000)/54.5</f>
        <v>27.5229357798165</v>
      </c>
      <c r="I70" s="170" t="s">
        <v>1123</v>
      </c>
      <c r="J70" s="171" t="n">
        <v>1.5</v>
      </c>
      <c r="K70" s="170"/>
      <c r="L70" s="171"/>
      <c r="M70" s="170"/>
      <c r="N70" s="171"/>
      <c r="O70" s="170"/>
      <c r="P70" s="171"/>
      <c r="Q70" s="170"/>
      <c r="R70" s="171"/>
      <c r="S70" s="170"/>
      <c r="T70" s="171"/>
      <c r="U70" s="170"/>
      <c r="V70" s="171"/>
      <c r="W70" s="170"/>
      <c r="X70" s="171"/>
      <c r="Y70" s="170"/>
      <c r="Z70" s="171"/>
      <c r="AA70" s="170"/>
      <c r="AB70" s="171"/>
      <c r="AC70" s="170"/>
      <c r="AD70" s="171"/>
      <c r="AE70" s="170"/>
      <c r="AF70" s="171"/>
      <c r="AG70" s="170"/>
      <c r="AH70" s="171"/>
      <c r="AI70" s="170"/>
      <c r="AJ70" s="171"/>
      <c r="AK70" s="170"/>
      <c r="AL70" s="171"/>
      <c r="AM70" s="170"/>
      <c r="AN70" s="171"/>
      <c r="AO70" s="170"/>
      <c r="AP70" s="171"/>
      <c r="AQ70" s="170"/>
      <c r="AR70" s="171"/>
      <c r="AS70" s="170"/>
      <c r="AT70" s="171"/>
      <c r="AU70" s="170"/>
      <c r="AV70" s="172" t="n">
        <f aca="false">IFERROR(VLOOKUP(A70,'Site check'!A:Q,14,0),0)</f>
        <v>0</v>
      </c>
    </row>
    <row r="71" customFormat="false" ht="23.45" hidden="false" customHeight="false" outlineLevel="0" collapsed="false">
      <c r="A71" s="32" t="s">
        <v>87</v>
      </c>
      <c r="B71" s="159"/>
      <c r="C71" s="176" t="s">
        <v>18</v>
      </c>
      <c r="D71" s="176" t="s">
        <v>19</v>
      </c>
      <c r="E71" s="167"/>
      <c r="F71" s="176" t="s">
        <v>958</v>
      </c>
      <c r="G71" s="168" t="n">
        <f aca="false">SUM(J71,L71,N71,P71,R71,T71,V71,X71,Z71,AB71,AD71,AF71,AH71,AJ71,AL71,AN71,AP71,AR71,AT71,AV71)</f>
        <v>8.25</v>
      </c>
      <c r="H71" s="169" t="n">
        <f aca="false">SUM(G71*1000)/54.5</f>
        <v>151.376146788991</v>
      </c>
      <c r="I71" s="173"/>
      <c r="J71" s="174"/>
      <c r="K71" s="170" t="s">
        <v>1124</v>
      </c>
      <c r="L71" s="171" t="n">
        <v>0.65</v>
      </c>
      <c r="M71" s="170" t="s">
        <v>1125</v>
      </c>
      <c r="N71" s="171" t="n">
        <v>0.85</v>
      </c>
      <c r="O71" s="170" t="s">
        <v>1126</v>
      </c>
      <c r="P71" s="171" t="n">
        <v>0.4</v>
      </c>
      <c r="Q71" s="170" t="s">
        <v>1127</v>
      </c>
      <c r="R71" s="171" t="n">
        <v>1.1</v>
      </c>
      <c r="S71" s="181" t="s">
        <v>1128</v>
      </c>
      <c r="T71" s="175" t="n">
        <v>0.45</v>
      </c>
      <c r="U71" s="173" t="s">
        <v>1057</v>
      </c>
      <c r="V71" s="174" t="n">
        <v>4</v>
      </c>
      <c r="W71" s="185" t="s">
        <v>1129</v>
      </c>
      <c r="X71" s="180" t="n">
        <v>0.8</v>
      </c>
      <c r="Y71" s="170"/>
      <c r="Z71" s="171"/>
      <c r="AA71" s="170"/>
      <c r="AB71" s="171"/>
      <c r="AC71" s="170"/>
      <c r="AD71" s="171"/>
      <c r="AE71" s="170"/>
      <c r="AF71" s="171"/>
      <c r="AG71" s="170"/>
      <c r="AH71" s="171"/>
      <c r="AI71" s="170"/>
      <c r="AJ71" s="171"/>
      <c r="AK71" s="170"/>
      <c r="AL71" s="171"/>
      <c r="AM71" s="170"/>
      <c r="AN71" s="171"/>
      <c r="AO71" s="170"/>
      <c r="AP71" s="171"/>
      <c r="AQ71" s="170"/>
      <c r="AR71" s="171"/>
      <c r="AS71" s="170"/>
      <c r="AT71" s="171"/>
      <c r="AU71" s="170"/>
      <c r="AV71" s="172" t="n">
        <f aca="false">IFERROR(VLOOKUP(A71,'Site check'!A:Q,14,0),0)</f>
        <v>0</v>
      </c>
    </row>
    <row r="72" customFormat="false" ht="23.45" hidden="false" customHeight="false" outlineLevel="0" collapsed="false">
      <c r="A72" s="32" t="s">
        <v>88</v>
      </c>
      <c r="B72" s="159"/>
      <c r="C72" s="167"/>
      <c r="D72" s="167"/>
      <c r="E72" s="167"/>
      <c r="F72" s="167"/>
      <c r="G72" s="168" t="n">
        <f aca="false">SUM(J72,L72,N72,P72,R72,T72,V72,X72,Z72,AB72,AD72,AF72,AH72,AJ72,AL72,AN72,AP72,AR72,AT72,AV72)</f>
        <v>8.25</v>
      </c>
      <c r="H72" s="169" t="n">
        <f aca="false">SUM(G72*1000)/54.5</f>
        <v>151.376146788991</v>
      </c>
      <c r="I72" s="173"/>
      <c r="J72" s="174"/>
      <c r="K72" s="170" t="s">
        <v>1124</v>
      </c>
      <c r="L72" s="171" t="n">
        <v>0.65</v>
      </c>
      <c r="M72" s="170" t="s">
        <v>1125</v>
      </c>
      <c r="N72" s="171" t="n">
        <v>0.85</v>
      </c>
      <c r="O72" s="170" t="s">
        <v>1126</v>
      </c>
      <c r="P72" s="171" t="n">
        <v>0.4</v>
      </c>
      <c r="Q72" s="170" t="s">
        <v>1127</v>
      </c>
      <c r="R72" s="171" t="n">
        <v>1.1</v>
      </c>
      <c r="S72" s="181" t="s">
        <v>1128</v>
      </c>
      <c r="T72" s="175" t="n">
        <v>0.45</v>
      </c>
      <c r="U72" s="173" t="s">
        <v>1057</v>
      </c>
      <c r="V72" s="174" t="n">
        <v>4</v>
      </c>
      <c r="W72" s="185" t="s">
        <v>1129</v>
      </c>
      <c r="X72" s="180" t="n">
        <v>0.8</v>
      </c>
      <c r="Y72" s="170"/>
      <c r="Z72" s="171"/>
      <c r="AA72" s="170"/>
      <c r="AB72" s="171"/>
      <c r="AC72" s="170"/>
      <c r="AD72" s="171"/>
      <c r="AE72" s="170"/>
      <c r="AF72" s="171"/>
      <c r="AG72" s="170"/>
      <c r="AH72" s="171"/>
      <c r="AI72" s="170"/>
      <c r="AJ72" s="171"/>
      <c r="AK72" s="170"/>
      <c r="AL72" s="171"/>
      <c r="AM72" s="170"/>
      <c r="AN72" s="171"/>
      <c r="AO72" s="170"/>
      <c r="AP72" s="171"/>
      <c r="AQ72" s="170"/>
      <c r="AR72" s="171"/>
      <c r="AS72" s="170"/>
      <c r="AT72" s="171"/>
      <c r="AU72" s="170"/>
      <c r="AV72" s="172" t="n">
        <f aca="false">IFERROR(VLOOKUP(A72,'Site check'!A:Q,14,0),0)</f>
        <v>0</v>
      </c>
    </row>
    <row r="73" customFormat="false" ht="13.15" hidden="false" customHeight="false" outlineLevel="0" collapsed="false">
      <c r="A73" s="33" t="s">
        <v>89</v>
      </c>
      <c r="B73" s="159"/>
      <c r="C73" s="159"/>
      <c r="D73" s="167"/>
      <c r="E73" s="176" t="s">
        <v>1087</v>
      </c>
      <c r="F73" s="167"/>
      <c r="G73" s="168" t="n">
        <f aca="false">SUM(J73,L73,N73,P73,R73,T73,V73,X73,Z73,AB73,AD73,AF73,AH73,AJ73,AL73,AN73,AP73,AR73,AT73,AV73)</f>
        <v>6.8</v>
      </c>
      <c r="H73" s="169" t="n">
        <f aca="false">SUM(G73*1000)/54.5</f>
        <v>124.770642201835</v>
      </c>
      <c r="I73" s="170" t="s">
        <v>1130</v>
      </c>
      <c r="J73" s="171" t="n">
        <v>5.8</v>
      </c>
      <c r="K73" s="190" t="s">
        <v>1131</v>
      </c>
      <c r="L73" s="203" t="n">
        <v>1</v>
      </c>
      <c r="M73" s="177"/>
      <c r="N73" s="203"/>
      <c r="O73" s="170"/>
      <c r="P73" s="171"/>
      <c r="Q73" s="170"/>
      <c r="R73" s="171"/>
      <c r="S73" s="170"/>
      <c r="T73" s="171"/>
      <c r="U73" s="170"/>
      <c r="V73" s="171"/>
      <c r="W73" s="170"/>
      <c r="X73" s="171"/>
      <c r="Y73" s="170"/>
      <c r="Z73" s="171"/>
      <c r="AA73" s="170"/>
      <c r="AB73" s="171"/>
      <c r="AC73" s="170"/>
      <c r="AD73" s="171"/>
      <c r="AE73" s="170"/>
      <c r="AF73" s="171"/>
      <c r="AG73" s="170"/>
      <c r="AH73" s="171"/>
      <c r="AI73" s="170"/>
      <c r="AJ73" s="171"/>
      <c r="AK73" s="170"/>
      <c r="AL73" s="171"/>
      <c r="AM73" s="170"/>
      <c r="AN73" s="171"/>
      <c r="AO73" s="170"/>
      <c r="AP73" s="171"/>
      <c r="AQ73" s="170"/>
      <c r="AR73" s="171"/>
      <c r="AS73" s="170"/>
      <c r="AT73" s="171"/>
      <c r="AU73" s="170"/>
      <c r="AV73" s="172" t="n">
        <f aca="false">IFERROR(VLOOKUP(A73,'Site check'!A:Q,14,0),0)</f>
        <v>0</v>
      </c>
    </row>
    <row r="74" customFormat="false" ht="13.15" hidden="false" customHeight="false" outlineLevel="0" collapsed="false">
      <c r="A74" s="33" t="s">
        <v>90</v>
      </c>
      <c r="B74" s="159"/>
      <c r="C74" s="159"/>
      <c r="D74" s="167"/>
      <c r="E74" s="167"/>
      <c r="F74" s="167"/>
      <c r="G74" s="168" t="n">
        <f aca="false">SUM(J74,L74,N74,P74,R74,T74,V74,X74,Z74,AB74,AD74,AF74,AH74,AJ74,AL74,AN74,AP74,AR74,AT74,AV74)</f>
        <v>6.8</v>
      </c>
      <c r="H74" s="169" t="n">
        <f aca="false">SUM(G74*1000)/54.5</f>
        <v>124.770642201835</v>
      </c>
      <c r="I74" s="170" t="s">
        <v>1130</v>
      </c>
      <c r="J74" s="171" t="n">
        <v>5.8</v>
      </c>
      <c r="K74" s="190" t="s">
        <v>1131</v>
      </c>
      <c r="L74" s="203" t="n">
        <v>1</v>
      </c>
      <c r="M74" s="177"/>
      <c r="N74" s="203"/>
      <c r="O74" s="170"/>
      <c r="P74" s="171"/>
      <c r="Q74" s="170"/>
      <c r="R74" s="171"/>
      <c r="S74" s="170"/>
      <c r="T74" s="171"/>
      <c r="U74" s="170"/>
      <c r="V74" s="171"/>
      <c r="W74" s="170"/>
      <c r="X74" s="171"/>
      <c r="Y74" s="170"/>
      <c r="Z74" s="171"/>
      <c r="AA74" s="170"/>
      <c r="AB74" s="171"/>
      <c r="AC74" s="170"/>
      <c r="AD74" s="171"/>
      <c r="AE74" s="170"/>
      <c r="AF74" s="171"/>
      <c r="AG74" s="170"/>
      <c r="AH74" s="171"/>
      <c r="AI74" s="170"/>
      <c r="AJ74" s="171"/>
      <c r="AK74" s="170"/>
      <c r="AL74" s="171"/>
      <c r="AM74" s="170"/>
      <c r="AN74" s="171"/>
      <c r="AO74" s="170"/>
      <c r="AP74" s="171"/>
      <c r="AQ74" s="170"/>
      <c r="AR74" s="171"/>
      <c r="AS74" s="170"/>
      <c r="AT74" s="171"/>
      <c r="AU74" s="170"/>
      <c r="AV74" s="172" t="n">
        <f aca="false">IFERROR(VLOOKUP(A74,'Site check'!A:Q,14,0),0)</f>
        <v>0</v>
      </c>
    </row>
    <row r="75" customFormat="false" ht="13.15" hidden="false" customHeight="false" outlineLevel="0" collapsed="false">
      <c r="A75" s="32" t="s">
        <v>91</v>
      </c>
      <c r="B75" s="159"/>
      <c r="C75" s="159"/>
      <c r="D75" s="167"/>
      <c r="E75" s="167"/>
      <c r="F75" s="176" t="s">
        <v>958</v>
      </c>
      <c r="G75" s="168" t="n">
        <f aca="false">SUM(J75,L75,N75,P75,R75,T75,V75,X75,Z75,AB75,AD75,AF75,AH75,AJ75,AL75,AN75,AP75,AR75,AT75,AV75)</f>
        <v>10.35</v>
      </c>
      <c r="H75" s="169" t="n">
        <f aca="false">SUM(G75*1000)/54.5</f>
        <v>189.908256880734</v>
      </c>
      <c r="I75" s="170" t="s">
        <v>1132</v>
      </c>
      <c r="J75" s="171" t="n">
        <v>2.25</v>
      </c>
      <c r="K75" s="170" t="s">
        <v>1133</v>
      </c>
      <c r="L75" s="171" t="n">
        <v>2.25</v>
      </c>
      <c r="M75" s="170" t="s">
        <v>1134</v>
      </c>
      <c r="N75" s="171" t="n">
        <v>2.25</v>
      </c>
      <c r="O75" s="186" t="s">
        <v>1135</v>
      </c>
      <c r="P75" s="192" t="n">
        <v>1</v>
      </c>
      <c r="Q75" s="177" t="s">
        <v>1136</v>
      </c>
      <c r="R75" s="178" t="n">
        <v>1.5</v>
      </c>
      <c r="S75" s="179" t="s">
        <v>1137</v>
      </c>
      <c r="T75" s="180" t="n">
        <v>1.1</v>
      </c>
      <c r="U75" s="170"/>
      <c r="V75" s="171"/>
      <c r="W75" s="170"/>
      <c r="X75" s="171"/>
      <c r="Y75" s="170"/>
      <c r="Z75" s="171"/>
      <c r="AA75" s="170"/>
      <c r="AB75" s="171"/>
      <c r="AC75" s="170"/>
      <c r="AD75" s="171"/>
      <c r="AE75" s="170"/>
      <c r="AF75" s="171"/>
      <c r="AG75" s="170"/>
      <c r="AH75" s="171"/>
      <c r="AI75" s="170"/>
      <c r="AJ75" s="171"/>
      <c r="AK75" s="170"/>
      <c r="AL75" s="171"/>
      <c r="AM75" s="170"/>
      <c r="AN75" s="171"/>
      <c r="AO75" s="170"/>
      <c r="AP75" s="171"/>
      <c r="AQ75" s="170"/>
      <c r="AR75" s="171"/>
      <c r="AS75" s="170"/>
      <c r="AT75" s="171"/>
      <c r="AU75" s="170"/>
      <c r="AV75" s="172" t="n">
        <f aca="false">IFERROR(VLOOKUP(A75,'Site check'!A:Q,14,0),0)</f>
        <v>0</v>
      </c>
    </row>
    <row r="76" customFormat="false" ht="13.15" hidden="false" customHeight="false" outlineLevel="0" collapsed="false">
      <c r="A76" s="32" t="s">
        <v>92</v>
      </c>
      <c r="B76" s="159"/>
      <c r="C76" s="159"/>
      <c r="D76" s="167"/>
      <c r="E76" s="167"/>
      <c r="F76" s="176"/>
      <c r="G76" s="168" t="n">
        <f aca="false">SUM(J76,L76,N76,P76,R76,T76,V76,X76,Z76,AB76,AD76,AF76,AH76,AJ76,AL76,AN76,AP76,AR76,AT76,AV76)</f>
        <v>10.35</v>
      </c>
      <c r="H76" s="169" t="n">
        <f aca="false">SUM(G76*1000)/54.5</f>
        <v>189.908256880734</v>
      </c>
      <c r="I76" s="170" t="s">
        <v>1132</v>
      </c>
      <c r="J76" s="171" t="n">
        <v>2.25</v>
      </c>
      <c r="K76" s="170" t="s">
        <v>1133</v>
      </c>
      <c r="L76" s="171" t="n">
        <v>2.25</v>
      </c>
      <c r="M76" s="170" t="s">
        <v>1134</v>
      </c>
      <c r="N76" s="171" t="n">
        <v>2.25</v>
      </c>
      <c r="O76" s="186" t="s">
        <v>1135</v>
      </c>
      <c r="P76" s="192" t="n">
        <v>1</v>
      </c>
      <c r="Q76" s="177" t="s">
        <v>1136</v>
      </c>
      <c r="R76" s="178" t="n">
        <v>1.5</v>
      </c>
      <c r="S76" s="179" t="s">
        <v>1137</v>
      </c>
      <c r="T76" s="180" t="n">
        <v>1.1</v>
      </c>
      <c r="U76" s="170"/>
      <c r="V76" s="171"/>
      <c r="W76" s="170"/>
      <c r="X76" s="171"/>
      <c r="Y76" s="170"/>
      <c r="Z76" s="171"/>
      <c r="AA76" s="170"/>
      <c r="AB76" s="171"/>
      <c r="AC76" s="170"/>
      <c r="AD76" s="171"/>
      <c r="AE76" s="170"/>
      <c r="AF76" s="171"/>
      <c r="AG76" s="170"/>
      <c r="AH76" s="171"/>
      <c r="AI76" s="170"/>
      <c r="AJ76" s="171"/>
      <c r="AK76" s="170"/>
      <c r="AL76" s="171"/>
      <c r="AM76" s="170"/>
      <c r="AN76" s="171"/>
      <c r="AO76" s="170"/>
      <c r="AP76" s="171"/>
      <c r="AQ76" s="170"/>
      <c r="AR76" s="171"/>
      <c r="AS76" s="170"/>
      <c r="AT76" s="171"/>
      <c r="AU76" s="170"/>
      <c r="AV76" s="172" t="n">
        <f aca="false">IFERROR(VLOOKUP(A76,'Site check'!A:Q,14,0),0)</f>
        <v>0</v>
      </c>
    </row>
    <row r="77" customFormat="false" ht="13.15" hidden="false" customHeight="false" outlineLevel="0" collapsed="false">
      <c r="A77" s="20" t="s">
        <v>93</v>
      </c>
      <c r="B77" s="159"/>
      <c r="C77" s="167"/>
      <c r="D77" s="167"/>
      <c r="E77" s="167"/>
      <c r="F77" s="167"/>
      <c r="G77" s="168" t="n">
        <f aca="false">SUM(J77,L77,N77,P77,R77,T77,V77,X77,Z77,AB77,AD77,AF77,AH77,AJ77,AL77,AN77,AP77,AR77,AT77,AV77)</f>
        <v>0</v>
      </c>
      <c r="H77" s="169" t="n">
        <f aca="false">SUM(G77*1000)/54.5</f>
        <v>0</v>
      </c>
      <c r="I77" s="170"/>
      <c r="J77" s="171"/>
      <c r="K77" s="170"/>
      <c r="L77" s="171"/>
      <c r="M77" s="170"/>
      <c r="N77" s="171"/>
      <c r="O77" s="170"/>
      <c r="P77" s="171"/>
      <c r="Q77" s="170"/>
      <c r="R77" s="171"/>
      <c r="S77" s="170"/>
      <c r="T77" s="171"/>
      <c r="U77" s="170"/>
      <c r="V77" s="171"/>
      <c r="W77" s="170"/>
      <c r="X77" s="171"/>
      <c r="Y77" s="170"/>
      <c r="Z77" s="171"/>
      <c r="AA77" s="170"/>
      <c r="AB77" s="171"/>
      <c r="AC77" s="170"/>
      <c r="AD77" s="171"/>
      <c r="AE77" s="170"/>
      <c r="AF77" s="171"/>
      <c r="AG77" s="170"/>
      <c r="AH77" s="171"/>
      <c r="AI77" s="170"/>
      <c r="AJ77" s="171"/>
      <c r="AK77" s="170"/>
      <c r="AL77" s="171"/>
      <c r="AM77" s="170"/>
      <c r="AN77" s="171"/>
      <c r="AO77" s="170"/>
      <c r="AP77" s="171"/>
      <c r="AQ77" s="170"/>
      <c r="AR77" s="171"/>
      <c r="AS77" s="170"/>
      <c r="AT77" s="171"/>
      <c r="AU77" s="170"/>
      <c r="AV77" s="172" t="n">
        <f aca="false">IFERROR(VLOOKUP(A77,'Site check'!A:Q,14,0),0)</f>
        <v>0</v>
      </c>
    </row>
    <row r="78" customFormat="false" ht="13.15" hidden="false" customHeight="false" outlineLevel="0" collapsed="false">
      <c r="A78" s="20" t="s">
        <v>94</v>
      </c>
      <c r="B78" s="159"/>
      <c r="C78" s="167"/>
      <c r="D78" s="167"/>
      <c r="E78" s="167"/>
      <c r="F78" s="167"/>
      <c r="G78" s="168" t="n">
        <f aca="false">SUM(J78,L78,N78,P78,R78,T78,V78,X78,Z78,AB78,AD78,AF78,AH78,AJ78,AL78,AN78,AP78,AR78,AT78,AV78)</f>
        <v>1</v>
      </c>
      <c r="H78" s="169" t="n">
        <f aca="false">SUM(G78*1000)/54.5</f>
        <v>18.348623853211</v>
      </c>
      <c r="I78" s="173" t="s">
        <v>1138</v>
      </c>
      <c r="J78" s="174" t="n">
        <v>1</v>
      </c>
      <c r="K78" s="170"/>
      <c r="L78" s="171"/>
      <c r="M78" s="170"/>
      <c r="N78" s="171"/>
      <c r="O78" s="170"/>
      <c r="P78" s="171"/>
      <c r="Q78" s="170"/>
      <c r="R78" s="171"/>
      <c r="S78" s="170"/>
      <c r="T78" s="171"/>
      <c r="U78" s="170"/>
      <c r="V78" s="171"/>
      <c r="W78" s="170"/>
      <c r="X78" s="171"/>
      <c r="Y78" s="170"/>
      <c r="Z78" s="171"/>
      <c r="AA78" s="170"/>
      <c r="AB78" s="171"/>
      <c r="AC78" s="170"/>
      <c r="AD78" s="171"/>
      <c r="AE78" s="170"/>
      <c r="AF78" s="171"/>
      <c r="AG78" s="170"/>
      <c r="AH78" s="171"/>
      <c r="AI78" s="170"/>
      <c r="AJ78" s="171"/>
      <c r="AK78" s="170"/>
      <c r="AL78" s="171"/>
      <c r="AM78" s="170"/>
      <c r="AN78" s="171"/>
      <c r="AO78" s="170"/>
      <c r="AP78" s="171"/>
      <c r="AQ78" s="170"/>
      <c r="AR78" s="171"/>
      <c r="AS78" s="170"/>
      <c r="AT78" s="171"/>
      <c r="AU78" s="170"/>
      <c r="AV78" s="172" t="n">
        <f aca="false">IFERROR(VLOOKUP(A78,'Site check'!A:Q,14,0),0)</f>
        <v>0</v>
      </c>
    </row>
    <row r="79" customFormat="false" ht="13.15" hidden="false" customHeight="false" outlineLevel="0" collapsed="false">
      <c r="A79" s="33" t="s">
        <v>95</v>
      </c>
      <c r="B79" s="159"/>
      <c r="C79" s="167"/>
      <c r="D79" s="167"/>
      <c r="E79" s="176" t="s">
        <v>1087</v>
      </c>
      <c r="F79" s="167"/>
      <c r="G79" s="168" t="n">
        <f aca="false">SUM(J79,L79,N79,P79,R79,T79,V79,X79,Z79,AB79,AD79,AF79,AH79,AJ79,AL79,AN79,AP79,AR79,AT79,AV79)</f>
        <v>6.75</v>
      </c>
      <c r="H79" s="169" t="n">
        <f aca="false">SUM(G79*1000)/54.5</f>
        <v>123.853211009174</v>
      </c>
      <c r="I79" s="170" t="s">
        <v>1139</v>
      </c>
      <c r="J79" s="171" t="n">
        <v>5.75</v>
      </c>
      <c r="K79" s="190" t="s">
        <v>1140</v>
      </c>
      <c r="L79" s="175" t="n">
        <v>1</v>
      </c>
      <c r="M79" s="190"/>
      <c r="N79" s="175"/>
      <c r="O79" s="170"/>
      <c r="P79" s="171"/>
      <c r="Q79" s="170"/>
      <c r="R79" s="171"/>
      <c r="S79" s="170"/>
      <c r="T79" s="171"/>
      <c r="U79" s="170"/>
      <c r="V79" s="171"/>
      <c r="W79" s="170"/>
      <c r="X79" s="171"/>
      <c r="Y79" s="170"/>
      <c r="Z79" s="171"/>
      <c r="AA79" s="170"/>
      <c r="AB79" s="171"/>
      <c r="AC79" s="170"/>
      <c r="AD79" s="171"/>
      <c r="AE79" s="170"/>
      <c r="AF79" s="171"/>
      <c r="AG79" s="170"/>
      <c r="AH79" s="171"/>
      <c r="AI79" s="170"/>
      <c r="AJ79" s="171"/>
      <c r="AK79" s="170"/>
      <c r="AL79" s="171"/>
      <c r="AM79" s="170"/>
      <c r="AN79" s="171"/>
      <c r="AO79" s="170"/>
      <c r="AP79" s="171"/>
      <c r="AQ79" s="170"/>
      <c r="AR79" s="171"/>
      <c r="AS79" s="170"/>
      <c r="AT79" s="171"/>
      <c r="AU79" s="170"/>
      <c r="AV79" s="172" t="n">
        <f aca="false">IFERROR(VLOOKUP(A79,'Site check'!A:Q,14,0),0)</f>
        <v>0</v>
      </c>
    </row>
    <row r="80" customFormat="false" ht="13.15" hidden="false" customHeight="false" outlineLevel="0" collapsed="false">
      <c r="A80" s="33" t="s">
        <v>96</v>
      </c>
      <c r="B80" s="159"/>
      <c r="C80" s="167"/>
      <c r="D80" s="167"/>
      <c r="E80" s="167"/>
      <c r="F80" s="167"/>
      <c r="G80" s="168" t="n">
        <f aca="false">SUM(J80,L80,N80,P80,R80,T80,V80,X80,Z80,AB80,AD80,AF80,AH80,AJ80,AL80,AN80,AP80,AR80,AT80,AV80)</f>
        <v>6.75</v>
      </c>
      <c r="H80" s="169" t="n">
        <f aca="false">SUM(G80*1000)/54.5</f>
        <v>123.853211009174</v>
      </c>
      <c r="I80" s="170" t="s">
        <v>1139</v>
      </c>
      <c r="J80" s="171" t="n">
        <v>5.75</v>
      </c>
      <c r="K80" s="190" t="s">
        <v>1140</v>
      </c>
      <c r="L80" s="175" t="n">
        <v>1</v>
      </c>
      <c r="M80" s="190"/>
      <c r="N80" s="175"/>
      <c r="O80" s="170"/>
      <c r="P80" s="171"/>
      <c r="Q80" s="170"/>
      <c r="R80" s="171"/>
      <c r="S80" s="170"/>
      <c r="T80" s="171"/>
      <c r="U80" s="170"/>
      <c r="V80" s="171"/>
      <c r="W80" s="170"/>
      <c r="X80" s="171"/>
      <c r="Y80" s="170"/>
      <c r="Z80" s="171"/>
      <c r="AA80" s="170"/>
      <c r="AB80" s="171"/>
      <c r="AC80" s="170"/>
      <c r="AD80" s="171"/>
      <c r="AE80" s="170"/>
      <c r="AF80" s="171"/>
      <c r="AG80" s="170"/>
      <c r="AH80" s="171"/>
      <c r="AI80" s="170"/>
      <c r="AJ80" s="171"/>
      <c r="AK80" s="170"/>
      <c r="AL80" s="171"/>
      <c r="AM80" s="170"/>
      <c r="AN80" s="171"/>
      <c r="AO80" s="170"/>
      <c r="AP80" s="171"/>
      <c r="AQ80" s="170"/>
      <c r="AR80" s="171"/>
      <c r="AS80" s="170"/>
      <c r="AT80" s="171"/>
      <c r="AU80" s="170"/>
      <c r="AV80" s="172" t="n">
        <f aca="false">IFERROR(VLOOKUP(A80,'Site check'!A:Q,14,0),0)</f>
        <v>0</v>
      </c>
    </row>
    <row r="81" customFormat="false" ht="13.15" hidden="false" customHeight="false" outlineLevel="0" collapsed="false">
      <c r="A81" s="20" t="s">
        <v>97</v>
      </c>
      <c r="B81" s="159"/>
      <c r="C81" s="167"/>
      <c r="D81" s="167"/>
      <c r="E81" s="167"/>
      <c r="F81" s="167"/>
      <c r="G81" s="168" t="n">
        <f aca="false">SUM(J81,L81,N81,P81,R81,T81,V81,X81,Z81,AB81,AD81,AF81,AH81,AJ81,AL81,AN81,AP81,AR81,AT81,AV81)</f>
        <v>0</v>
      </c>
      <c r="H81" s="169" t="n">
        <f aca="false">SUM(G81*1000)/54.5</f>
        <v>0</v>
      </c>
      <c r="I81" s="170"/>
      <c r="J81" s="171"/>
      <c r="K81" s="170"/>
      <c r="L81" s="171"/>
      <c r="M81" s="170"/>
      <c r="N81" s="171"/>
      <c r="O81" s="170"/>
      <c r="P81" s="171"/>
      <c r="Q81" s="170"/>
      <c r="R81" s="171"/>
      <c r="S81" s="170"/>
      <c r="T81" s="171"/>
      <c r="U81" s="170"/>
      <c r="V81" s="171"/>
      <c r="W81" s="170"/>
      <c r="X81" s="171"/>
      <c r="Y81" s="170"/>
      <c r="Z81" s="171"/>
      <c r="AA81" s="170"/>
      <c r="AB81" s="171"/>
      <c r="AC81" s="170"/>
      <c r="AD81" s="171"/>
      <c r="AE81" s="170"/>
      <c r="AF81" s="171"/>
      <c r="AG81" s="170"/>
      <c r="AH81" s="171"/>
      <c r="AI81" s="170"/>
      <c r="AJ81" s="171"/>
      <c r="AK81" s="170"/>
      <c r="AL81" s="171"/>
      <c r="AM81" s="170"/>
      <c r="AN81" s="171"/>
      <c r="AO81" s="170"/>
      <c r="AP81" s="171"/>
      <c r="AQ81" s="170"/>
      <c r="AR81" s="171"/>
      <c r="AS81" s="170"/>
      <c r="AT81" s="171"/>
      <c r="AU81" s="170"/>
      <c r="AV81" s="172" t="n">
        <f aca="false">IFERROR(VLOOKUP(A81,'Site check'!A:Q,14,0),0)</f>
        <v>0</v>
      </c>
    </row>
    <row r="82" customFormat="false" ht="13.15" hidden="false" customHeight="false" outlineLevel="0" collapsed="false">
      <c r="A82" s="20" t="s">
        <v>98</v>
      </c>
      <c r="B82" s="159"/>
      <c r="C82" s="176" t="s">
        <v>18</v>
      </c>
      <c r="D82" s="167"/>
      <c r="E82" s="167"/>
      <c r="F82" s="167"/>
      <c r="G82" s="168" t="n">
        <f aca="false">SUM(J82,L82,N82,P82,R82,T82,V82,X82,Z82,AB82,AD82,AF82,AH82,AJ82,AL82,AN82,AP82,AR82,AT82,AV82)</f>
        <v>4</v>
      </c>
      <c r="H82" s="169" t="n">
        <f aca="false">SUM(G82*1000)/54.5</f>
        <v>73.394495412844</v>
      </c>
      <c r="I82" s="170" t="s">
        <v>1141</v>
      </c>
      <c r="J82" s="171" t="n">
        <v>3</v>
      </c>
      <c r="K82" s="193" t="s">
        <v>1142</v>
      </c>
      <c r="L82" s="192" t="n">
        <v>1</v>
      </c>
      <c r="M82" s="170"/>
      <c r="N82" s="171"/>
      <c r="O82" s="170"/>
      <c r="P82" s="171"/>
      <c r="Q82" s="170"/>
      <c r="R82" s="171"/>
      <c r="S82" s="170"/>
      <c r="T82" s="171"/>
      <c r="U82" s="170"/>
      <c r="V82" s="171"/>
      <c r="W82" s="170"/>
      <c r="X82" s="171"/>
      <c r="Y82" s="170"/>
      <c r="Z82" s="171"/>
      <c r="AA82" s="170"/>
      <c r="AB82" s="171"/>
      <c r="AC82" s="170"/>
      <c r="AD82" s="171"/>
      <c r="AE82" s="170"/>
      <c r="AF82" s="171"/>
      <c r="AG82" s="170"/>
      <c r="AH82" s="171"/>
      <c r="AI82" s="170"/>
      <c r="AJ82" s="171"/>
      <c r="AK82" s="170"/>
      <c r="AL82" s="171"/>
      <c r="AM82" s="170"/>
      <c r="AN82" s="171"/>
      <c r="AO82" s="170"/>
      <c r="AP82" s="171"/>
      <c r="AQ82" s="170"/>
      <c r="AR82" s="171"/>
      <c r="AS82" s="170"/>
      <c r="AT82" s="171"/>
      <c r="AU82" s="170"/>
      <c r="AV82" s="172" t="n">
        <f aca="false">IFERROR(VLOOKUP(A82,'Site check'!A:Q,14,0),0)</f>
        <v>0</v>
      </c>
    </row>
    <row r="83" customFormat="false" ht="13.15" hidden="false" customHeight="false" outlineLevel="0" collapsed="false">
      <c r="A83" s="20" t="s">
        <v>99</v>
      </c>
      <c r="B83" s="159"/>
      <c r="C83" s="167"/>
      <c r="D83" s="167"/>
      <c r="E83" s="167"/>
      <c r="F83" s="167"/>
      <c r="G83" s="168" t="n">
        <f aca="false">SUM(J83,L83,N83,P83,R83,T83,V83,X83,Z83,AB83,AD83,AF83,AH83,AJ83,AL83,AN83,AP83,AR83,AT83,AV83)</f>
        <v>3</v>
      </c>
      <c r="H83" s="169" t="n">
        <f aca="false">SUM(G83*1000)/54.5</f>
        <v>55.045871559633</v>
      </c>
      <c r="I83" s="170" t="s">
        <v>1143</v>
      </c>
      <c r="J83" s="171" t="n">
        <v>2</v>
      </c>
      <c r="K83" s="186" t="s">
        <v>1144</v>
      </c>
      <c r="L83" s="192" t="n">
        <v>1</v>
      </c>
      <c r="M83" s="170"/>
      <c r="N83" s="171"/>
      <c r="O83" s="170"/>
      <c r="P83" s="171"/>
      <c r="Q83" s="170"/>
      <c r="R83" s="171"/>
      <c r="S83" s="170"/>
      <c r="T83" s="171"/>
      <c r="U83" s="170"/>
      <c r="V83" s="171"/>
      <c r="W83" s="170"/>
      <c r="X83" s="171"/>
      <c r="Y83" s="170"/>
      <c r="Z83" s="171"/>
      <c r="AA83" s="170"/>
      <c r="AB83" s="171"/>
      <c r="AC83" s="170"/>
      <c r="AD83" s="171"/>
      <c r="AE83" s="170"/>
      <c r="AF83" s="171"/>
      <c r="AG83" s="170"/>
      <c r="AH83" s="171"/>
      <c r="AI83" s="170"/>
      <c r="AJ83" s="171"/>
      <c r="AK83" s="170"/>
      <c r="AL83" s="171"/>
      <c r="AM83" s="170"/>
      <c r="AN83" s="171"/>
      <c r="AO83" s="170"/>
      <c r="AP83" s="171"/>
      <c r="AQ83" s="170"/>
      <c r="AR83" s="171"/>
      <c r="AS83" s="170"/>
      <c r="AT83" s="171"/>
      <c r="AU83" s="170"/>
      <c r="AV83" s="172" t="n">
        <f aca="false">IFERROR(VLOOKUP(A83,'Site check'!A:Q,14,0),0)</f>
        <v>0</v>
      </c>
    </row>
    <row r="84" customFormat="false" ht="13.15" hidden="false" customHeight="false" outlineLevel="0" collapsed="false">
      <c r="A84" s="20" t="s">
        <v>100</v>
      </c>
      <c r="B84" s="159"/>
      <c r="C84" s="167"/>
      <c r="D84" s="167"/>
      <c r="E84" s="167"/>
      <c r="F84" s="167"/>
      <c r="G84" s="168" t="n">
        <f aca="false">SUM(J84,L84,N84,P84,R84,T84,V84,X84,Z84,AB84,AD84,AF84,AH84,AJ84,AL84,AN84,AP84,AR84,AT84,AV84)</f>
        <v>1</v>
      </c>
      <c r="H84" s="169" t="n">
        <f aca="false">SUM(G84*1000)/54.5</f>
        <v>18.348623853211</v>
      </c>
      <c r="I84" s="170"/>
      <c r="J84" s="171"/>
      <c r="K84" s="186" t="s">
        <v>1145</v>
      </c>
      <c r="L84" s="192" t="n">
        <v>1</v>
      </c>
      <c r="M84" s="170"/>
      <c r="N84" s="171"/>
      <c r="O84" s="170"/>
      <c r="P84" s="171"/>
      <c r="Q84" s="170"/>
      <c r="R84" s="171"/>
      <c r="S84" s="170"/>
      <c r="T84" s="171"/>
      <c r="U84" s="170"/>
      <c r="V84" s="171"/>
      <c r="W84" s="170"/>
      <c r="X84" s="171"/>
      <c r="Y84" s="170"/>
      <c r="Z84" s="171"/>
      <c r="AA84" s="170"/>
      <c r="AB84" s="171"/>
      <c r="AC84" s="170"/>
      <c r="AD84" s="171"/>
      <c r="AE84" s="170"/>
      <c r="AF84" s="171"/>
      <c r="AG84" s="170"/>
      <c r="AH84" s="171"/>
      <c r="AI84" s="170"/>
      <c r="AJ84" s="171"/>
      <c r="AK84" s="170"/>
      <c r="AL84" s="171"/>
      <c r="AM84" s="170"/>
      <c r="AN84" s="171"/>
      <c r="AO84" s="170"/>
      <c r="AP84" s="171"/>
      <c r="AQ84" s="170"/>
      <c r="AR84" s="171"/>
      <c r="AS84" s="170"/>
      <c r="AT84" s="171"/>
      <c r="AU84" s="170"/>
      <c r="AV84" s="172" t="n">
        <f aca="false">IFERROR(VLOOKUP(A84,'Site check'!A:Q,14,0),0)</f>
        <v>0</v>
      </c>
    </row>
    <row r="85" customFormat="false" ht="13.15" hidden="false" customHeight="false" outlineLevel="0" collapsed="false">
      <c r="A85" s="20" t="s">
        <v>101</v>
      </c>
      <c r="B85" s="159"/>
      <c r="C85" s="167"/>
      <c r="D85" s="167"/>
      <c r="E85" s="167"/>
      <c r="F85" s="167"/>
      <c r="G85" s="168" t="n">
        <f aca="false">SUM(J85,L85,N85,P85,R85,T85,V85,X85,Z85,AB85,AD85,AF85,AH85,AJ85,AL85,AN85,AP85,AR85,AT85,AV85)</f>
        <v>4.9</v>
      </c>
      <c r="H85" s="169" t="n">
        <f aca="false">SUM(G85*1000)/54.5</f>
        <v>89.908256880734</v>
      </c>
      <c r="I85" s="179"/>
      <c r="J85" s="180" t="n">
        <v>4.4</v>
      </c>
      <c r="K85" s="179" t="s">
        <v>1146</v>
      </c>
      <c r="L85" s="180" t="n">
        <v>0.5</v>
      </c>
      <c r="M85" s="179"/>
      <c r="N85" s="180"/>
      <c r="O85" s="170"/>
      <c r="P85" s="171"/>
      <c r="Q85" s="170"/>
      <c r="R85" s="171"/>
      <c r="S85" s="170"/>
      <c r="T85" s="171"/>
      <c r="U85" s="170"/>
      <c r="V85" s="171"/>
      <c r="W85" s="170"/>
      <c r="X85" s="171"/>
      <c r="Y85" s="170"/>
      <c r="Z85" s="171"/>
      <c r="AA85" s="170"/>
      <c r="AB85" s="171"/>
      <c r="AC85" s="170"/>
      <c r="AD85" s="171"/>
      <c r="AE85" s="170"/>
      <c r="AF85" s="171"/>
      <c r="AG85" s="170"/>
      <c r="AH85" s="171"/>
      <c r="AI85" s="170"/>
      <c r="AJ85" s="171"/>
      <c r="AK85" s="170"/>
      <c r="AL85" s="171"/>
      <c r="AM85" s="170"/>
      <c r="AN85" s="171"/>
      <c r="AO85" s="170"/>
      <c r="AP85" s="171"/>
      <c r="AQ85" s="170"/>
      <c r="AR85" s="171"/>
      <c r="AS85" s="170"/>
      <c r="AT85" s="171"/>
      <c r="AU85" s="170"/>
      <c r="AV85" s="172" t="n">
        <f aca="false">IFERROR(VLOOKUP(A85,'Site check'!A:Q,14,0),0)</f>
        <v>0</v>
      </c>
    </row>
    <row r="86" customFormat="false" ht="13.15" hidden="false" customHeight="false" outlineLevel="0" collapsed="false">
      <c r="A86" s="37" t="s">
        <v>102</v>
      </c>
      <c r="B86" s="159"/>
      <c r="C86" s="167"/>
      <c r="D86" s="167"/>
      <c r="E86" s="167"/>
      <c r="F86" s="167"/>
      <c r="G86" s="168" t="n">
        <f aca="false">SUM(J86,L86,N86,P86,R86,T86,V86,X86,Z86,AB86,AD86,AF86,AH86,AJ86,AL86,AN86,AP86,AR86,AT86,AV86)</f>
        <v>1</v>
      </c>
      <c r="H86" s="169" t="n">
        <f aca="false">SUM(G86*1000)/54.5</f>
        <v>18.348623853211</v>
      </c>
      <c r="I86" s="173"/>
      <c r="J86" s="174"/>
      <c r="K86" s="173" t="s">
        <v>1147</v>
      </c>
      <c r="L86" s="174" t="n">
        <v>1</v>
      </c>
      <c r="M86" s="170"/>
      <c r="N86" s="171"/>
      <c r="O86" s="170"/>
      <c r="P86" s="171"/>
      <c r="Q86" s="170"/>
      <c r="R86" s="171"/>
      <c r="S86" s="170"/>
      <c r="T86" s="171"/>
      <c r="U86" s="170"/>
      <c r="V86" s="171"/>
      <c r="W86" s="170"/>
      <c r="X86" s="171"/>
      <c r="Y86" s="170"/>
      <c r="Z86" s="171"/>
      <c r="AA86" s="170"/>
      <c r="AB86" s="171"/>
      <c r="AC86" s="170"/>
      <c r="AD86" s="171"/>
      <c r="AE86" s="170"/>
      <c r="AF86" s="171"/>
      <c r="AG86" s="170"/>
      <c r="AH86" s="171"/>
      <c r="AI86" s="170"/>
      <c r="AJ86" s="171"/>
      <c r="AK86" s="170"/>
      <c r="AL86" s="171"/>
      <c r="AM86" s="170"/>
      <c r="AN86" s="171"/>
      <c r="AO86" s="170"/>
      <c r="AP86" s="171"/>
      <c r="AQ86" s="170"/>
      <c r="AR86" s="171"/>
      <c r="AS86" s="170"/>
      <c r="AT86" s="171"/>
      <c r="AU86" s="170"/>
      <c r="AV86" s="172" t="n">
        <f aca="false">IFERROR(VLOOKUP(A86,'Site check'!A:Q,14,0),0)</f>
        <v>0</v>
      </c>
    </row>
    <row r="87" customFormat="false" ht="13.15" hidden="false" customHeight="false" outlineLevel="0" collapsed="false">
      <c r="A87" s="37" t="s">
        <v>103</v>
      </c>
      <c r="B87" s="159"/>
      <c r="C87" s="167"/>
      <c r="D87" s="167"/>
      <c r="E87" s="167"/>
      <c r="F87" s="167"/>
      <c r="G87" s="168" t="n">
        <f aca="false">SUM(J87,L87,N87,P87,R87,T87,V87,X87,Z87,AB87,AD87,AF87,AH87,AJ87,AL87,AN87,AP87,AR87,AT87,AV87)</f>
        <v>0</v>
      </c>
      <c r="H87" s="169" t="n">
        <f aca="false">SUM(G87*1000)/54.5</f>
        <v>0</v>
      </c>
      <c r="I87" s="173"/>
      <c r="J87" s="174"/>
      <c r="K87" s="170"/>
      <c r="L87" s="171"/>
      <c r="M87" s="170"/>
      <c r="N87" s="171"/>
      <c r="O87" s="170"/>
      <c r="P87" s="171"/>
      <c r="Q87" s="170"/>
      <c r="R87" s="171"/>
      <c r="S87" s="170"/>
      <c r="T87" s="171"/>
      <c r="U87" s="170"/>
      <c r="V87" s="171"/>
      <c r="W87" s="170"/>
      <c r="X87" s="171"/>
      <c r="Y87" s="170"/>
      <c r="Z87" s="171"/>
      <c r="AA87" s="170"/>
      <c r="AB87" s="171"/>
      <c r="AC87" s="170"/>
      <c r="AD87" s="171"/>
      <c r="AE87" s="170"/>
      <c r="AF87" s="171"/>
      <c r="AG87" s="170"/>
      <c r="AH87" s="171"/>
      <c r="AI87" s="170"/>
      <c r="AJ87" s="171"/>
      <c r="AK87" s="170"/>
      <c r="AL87" s="171"/>
      <c r="AM87" s="170"/>
      <c r="AN87" s="171"/>
      <c r="AO87" s="170"/>
      <c r="AP87" s="171"/>
      <c r="AQ87" s="170"/>
      <c r="AR87" s="171"/>
      <c r="AS87" s="170"/>
      <c r="AT87" s="171"/>
      <c r="AU87" s="170"/>
      <c r="AV87" s="172" t="n">
        <f aca="false">IFERROR(VLOOKUP(A87,'Site check'!A:Q,14,0),0)</f>
        <v>0</v>
      </c>
    </row>
    <row r="88" customFormat="false" ht="13.15" hidden="false" customHeight="false" outlineLevel="0" collapsed="false">
      <c r="A88" s="20" t="s">
        <v>104</v>
      </c>
      <c r="B88" s="159"/>
      <c r="C88" s="167"/>
      <c r="D88" s="167"/>
      <c r="E88" s="167"/>
      <c r="F88" s="167"/>
      <c r="G88" s="168" t="n">
        <f aca="false">SUM(J88,L88,N88,P88,R88,T88,V88,X88,Z88,AB88,AD88,AF88,AH88,AJ88,AL88,AN88,AP88,AR88,AT88,AV88)</f>
        <v>0</v>
      </c>
      <c r="H88" s="169" t="n">
        <f aca="false">SUM(G88*1000)/54.5</f>
        <v>0</v>
      </c>
      <c r="I88" s="173"/>
      <c r="J88" s="174"/>
      <c r="K88" s="170"/>
      <c r="L88" s="171"/>
      <c r="M88" s="170"/>
      <c r="N88" s="171"/>
      <c r="O88" s="170"/>
      <c r="P88" s="171"/>
      <c r="Q88" s="170"/>
      <c r="R88" s="171"/>
      <c r="S88" s="170"/>
      <c r="T88" s="171"/>
      <c r="U88" s="170"/>
      <c r="V88" s="171"/>
      <c r="W88" s="170"/>
      <c r="X88" s="171"/>
      <c r="Y88" s="170"/>
      <c r="Z88" s="171"/>
      <c r="AA88" s="170"/>
      <c r="AB88" s="171"/>
      <c r="AC88" s="170"/>
      <c r="AD88" s="171"/>
      <c r="AE88" s="170"/>
      <c r="AF88" s="171"/>
      <c r="AG88" s="170"/>
      <c r="AH88" s="171"/>
      <c r="AI88" s="170"/>
      <c r="AJ88" s="171"/>
      <c r="AK88" s="170"/>
      <c r="AL88" s="171"/>
      <c r="AM88" s="170"/>
      <c r="AN88" s="171"/>
      <c r="AO88" s="170"/>
      <c r="AP88" s="171"/>
      <c r="AQ88" s="170"/>
      <c r="AR88" s="171"/>
      <c r="AS88" s="170"/>
      <c r="AT88" s="171"/>
      <c r="AU88" s="170"/>
      <c r="AV88" s="172" t="n">
        <f aca="false">IFERROR(VLOOKUP(A88,'Site check'!A:Q,14,0),0)</f>
        <v>0</v>
      </c>
    </row>
    <row r="89" customFormat="false" ht="13.15" hidden="false" customHeight="false" outlineLevel="0" collapsed="false">
      <c r="A89" s="20" t="s">
        <v>105</v>
      </c>
      <c r="B89" s="159"/>
      <c r="C89" s="167"/>
      <c r="D89" s="167"/>
      <c r="E89" s="167"/>
      <c r="F89" s="167"/>
      <c r="G89" s="168" t="n">
        <f aca="false">SUM(J89,L89,N89,P89,R89,T89,V89,X89,Z89,AB89,AD89,AF89,AH89,AJ89,AL89,AN89,AP89,AR89,AT89,AV89)</f>
        <v>0</v>
      </c>
      <c r="H89" s="169" t="n">
        <f aca="false">SUM(G89*1000)/54.5</f>
        <v>0</v>
      </c>
      <c r="I89" s="173"/>
      <c r="J89" s="174"/>
      <c r="K89" s="170"/>
      <c r="L89" s="171"/>
      <c r="M89" s="170"/>
      <c r="N89" s="171"/>
      <c r="O89" s="170" t="s">
        <v>1148</v>
      </c>
      <c r="P89" s="171"/>
      <c r="Q89" s="170"/>
      <c r="R89" s="171"/>
      <c r="S89" s="170"/>
      <c r="T89" s="171"/>
      <c r="U89" s="170"/>
      <c r="V89" s="171"/>
      <c r="W89" s="170"/>
      <c r="X89" s="171"/>
      <c r="Y89" s="170"/>
      <c r="Z89" s="171"/>
      <c r="AA89" s="170"/>
      <c r="AB89" s="171"/>
      <c r="AC89" s="170"/>
      <c r="AD89" s="171"/>
      <c r="AE89" s="170"/>
      <c r="AF89" s="171"/>
      <c r="AG89" s="170"/>
      <c r="AH89" s="171"/>
      <c r="AI89" s="170"/>
      <c r="AJ89" s="171"/>
      <c r="AK89" s="170"/>
      <c r="AL89" s="171"/>
      <c r="AM89" s="170"/>
      <c r="AN89" s="171"/>
      <c r="AO89" s="170"/>
      <c r="AP89" s="171"/>
      <c r="AQ89" s="170"/>
      <c r="AR89" s="171"/>
      <c r="AS89" s="170"/>
      <c r="AT89" s="171"/>
      <c r="AU89" s="170"/>
      <c r="AV89" s="172" t="n">
        <f aca="false">IFERROR(VLOOKUP(A89,'Site check'!A:Q,14,0),0)</f>
        <v>0</v>
      </c>
    </row>
    <row r="90" customFormat="false" ht="13.15" hidden="false" customHeight="false" outlineLevel="0" collapsed="false">
      <c r="A90" s="20" t="s">
        <v>106</v>
      </c>
      <c r="B90" s="159"/>
      <c r="C90" s="176" t="s">
        <v>18</v>
      </c>
      <c r="D90" s="167"/>
      <c r="E90" s="167"/>
      <c r="F90" s="167"/>
      <c r="G90" s="168" t="n">
        <f aca="false">SUM(J90,L90,N90,P90,R90,T90,V90,X90,Z90,AB90,AD90,AF90,AH90,AJ90,AL90,AN90,AP90,AR90,AT90,AV90)</f>
        <v>7.4</v>
      </c>
      <c r="H90" s="169" t="n">
        <f aca="false">SUM(G90*1000)/54.5</f>
        <v>135.779816513761</v>
      </c>
      <c r="I90" s="173" t="s">
        <v>1149</v>
      </c>
      <c r="J90" s="174" t="n">
        <v>2.4</v>
      </c>
      <c r="K90" s="193" t="s">
        <v>1150</v>
      </c>
      <c r="L90" s="192" t="n">
        <v>2</v>
      </c>
      <c r="M90" s="186" t="s">
        <v>1151</v>
      </c>
      <c r="N90" s="192" t="n">
        <v>2</v>
      </c>
      <c r="O90" s="204" t="s">
        <v>1152</v>
      </c>
      <c r="P90" s="205" t="n">
        <v>1</v>
      </c>
      <c r="Q90" s="170"/>
      <c r="R90" s="171"/>
      <c r="S90" s="170"/>
      <c r="T90" s="171"/>
      <c r="U90" s="170"/>
      <c r="V90" s="171"/>
      <c r="W90" s="170"/>
      <c r="X90" s="171"/>
      <c r="Y90" s="170"/>
      <c r="Z90" s="171"/>
      <c r="AA90" s="170"/>
      <c r="AB90" s="171"/>
      <c r="AC90" s="170"/>
      <c r="AD90" s="171"/>
      <c r="AE90" s="170"/>
      <c r="AF90" s="171"/>
      <c r="AG90" s="170"/>
      <c r="AH90" s="171"/>
      <c r="AI90" s="170"/>
      <c r="AJ90" s="171"/>
      <c r="AK90" s="170"/>
      <c r="AL90" s="171"/>
      <c r="AM90" s="170"/>
      <c r="AN90" s="171"/>
      <c r="AO90" s="170"/>
      <c r="AP90" s="171"/>
      <c r="AQ90" s="170"/>
      <c r="AR90" s="171"/>
      <c r="AS90" s="170"/>
      <c r="AT90" s="171"/>
      <c r="AU90" s="170"/>
      <c r="AV90" s="172" t="n">
        <f aca="false">IFERROR(VLOOKUP(A90,'Site check'!A:Q,14,0),0)</f>
        <v>0</v>
      </c>
    </row>
    <row r="91" customFormat="false" ht="13.15" hidden="false" customHeight="false" outlineLevel="0" collapsed="false">
      <c r="A91" s="20" t="s">
        <v>107</v>
      </c>
      <c r="B91" s="159"/>
      <c r="C91" s="167"/>
      <c r="D91" s="167"/>
      <c r="E91" s="167"/>
      <c r="F91" s="167"/>
      <c r="G91" s="168" t="n">
        <f aca="false">SUM(J91,L91,N91,P91,R91,T91,V91,X91,Z91,AB91,AD91,AF91,AH91,AJ91,AL91,AN91,AP91,AR91,AT91,AV91)</f>
        <v>0</v>
      </c>
      <c r="H91" s="169" t="n">
        <f aca="false">SUM(G91*1000)/54.5</f>
        <v>0</v>
      </c>
      <c r="I91" s="173"/>
      <c r="J91" s="174"/>
      <c r="K91" s="170"/>
      <c r="L91" s="171"/>
      <c r="M91" s="170"/>
      <c r="N91" s="171"/>
      <c r="O91" s="170"/>
      <c r="P91" s="171"/>
      <c r="Q91" s="170"/>
      <c r="R91" s="171"/>
      <c r="S91" s="170"/>
      <c r="T91" s="171"/>
      <c r="U91" s="170"/>
      <c r="V91" s="171"/>
      <c r="W91" s="170"/>
      <c r="X91" s="171"/>
      <c r="Y91" s="170"/>
      <c r="Z91" s="171"/>
      <c r="AA91" s="170"/>
      <c r="AB91" s="171"/>
      <c r="AC91" s="170"/>
      <c r="AD91" s="171"/>
      <c r="AE91" s="170"/>
      <c r="AF91" s="171"/>
      <c r="AG91" s="170"/>
      <c r="AH91" s="171"/>
      <c r="AI91" s="170"/>
      <c r="AJ91" s="171"/>
      <c r="AK91" s="170"/>
      <c r="AL91" s="171"/>
      <c r="AM91" s="170"/>
      <c r="AN91" s="171"/>
      <c r="AO91" s="170"/>
      <c r="AP91" s="171"/>
      <c r="AQ91" s="170"/>
      <c r="AR91" s="171"/>
      <c r="AS91" s="170"/>
      <c r="AT91" s="171"/>
      <c r="AU91" s="170"/>
      <c r="AV91" s="172" t="n">
        <f aca="false">IFERROR(VLOOKUP(A91,'Site check'!A:Q,14,0),0)</f>
        <v>0</v>
      </c>
    </row>
    <row r="92" customFormat="false" ht="13.15" hidden="false" customHeight="false" outlineLevel="0" collapsed="false">
      <c r="A92" s="20" t="s">
        <v>108</v>
      </c>
      <c r="B92" s="159"/>
      <c r="C92" s="167"/>
      <c r="D92" s="167"/>
      <c r="E92" s="167"/>
      <c r="F92" s="167"/>
      <c r="G92" s="168" t="n">
        <f aca="false">SUM(J92,L92,N92,P92,R92,T92,V92,X92,Z92,AB92,AD92,AF92,AH92,AJ92,AL92,AN92,AP92,AR92,AT92,AV92)</f>
        <v>0</v>
      </c>
      <c r="H92" s="169" t="n">
        <f aca="false">SUM(G92*1000)/54.5</f>
        <v>0</v>
      </c>
      <c r="I92" s="173"/>
      <c r="J92" s="174"/>
      <c r="K92" s="206"/>
      <c r="L92" s="207"/>
      <c r="M92" s="170"/>
      <c r="N92" s="171"/>
      <c r="O92" s="170"/>
      <c r="P92" s="171"/>
      <c r="Q92" s="170"/>
      <c r="R92" s="171"/>
      <c r="S92" s="170"/>
      <c r="T92" s="171"/>
      <c r="U92" s="170"/>
      <c r="V92" s="171"/>
      <c r="W92" s="170"/>
      <c r="X92" s="171"/>
      <c r="Y92" s="170"/>
      <c r="Z92" s="171"/>
      <c r="AA92" s="170"/>
      <c r="AB92" s="171"/>
      <c r="AC92" s="170"/>
      <c r="AD92" s="171"/>
      <c r="AE92" s="170"/>
      <c r="AF92" s="171"/>
      <c r="AG92" s="170"/>
      <c r="AH92" s="171"/>
      <c r="AI92" s="170"/>
      <c r="AJ92" s="171"/>
      <c r="AK92" s="170"/>
      <c r="AL92" s="171"/>
      <c r="AM92" s="170"/>
      <c r="AN92" s="171"/>
      <c r="AO92" s="170"/>
      <c r="AP92" s="171"/>
      <c r="AQ92" s="170"/>
      <c r="AR92" s="171"/>
      <c r="AS92" s="170"/>
      <c r="AT92" s="171"/>
      <c r="AU92" s="170"/>
      <c r="AV92" s="172" t="n">
        <f aca="false">IFERROR(VLOOKUP(A92,'Site check'!A:Q,14,0),0)</f>
        <v>0</v>
      </c>
    </row>
    <row r="93" customFormat="false" ht="13.15" hidden="false" customHeight="false" outlineLevel="0" collapsed="false">
      <c r="A93" s="20" t="s">
        <v>109</v>
      </c>
      <c r="B93" s="159"/>
      <c r="C93" s="176" t="s">
        <v>18</v>
      </c>
      <c r="D93" s="167"/>
      <c r="E93" s="167"/>
      <c r="F93" s="167"/>
      <c r="G93" s="168" t="n">
        <f aca="false">SUM(J93,L93,N93,P93,R93,T93,V93,X93,Z93,AB93,AD93,AF93,AH93,AJ93,AL93,AN93,AP93,AR93,AT93,AV93)</f>
        <v>2.7</v>
      </c>
      <c r="H93" s="169" t="n">
        <f aca="false">SUM(G93*1000)/54.5</f>
        <v>49.5412844036697</v>
      </c>
      <c r="I93" s="170" t="s">
        <v>1153</v>
      </c>
      <c r="J93" s="171" t="n">
        <v>1.7</v>
      </c>
      <c r="K93" s="179" t="s">
        <v>1154</v>
      </c>
      <c r="L93" s="180" t="n">
        <v>1</v>
      </c>
      <c r="M93" s="179"/>
      <c r="N93" s="180"/>
      <c r="O93" s="173"/>
      <c r="P93" s="174"/>
      <c r="Q93" s="179"/>
      <c r="R93" s="180"/>
      <c r="S93" s="170"/>
      <c r="T93" s="171"/>
      <c r="U93" s="170"/>
      <c r="V93" s="171"/>
      <c r="W93" s="170"/>
      <c r="X93" s="171"/>
      <c r="Y93" s="170"/>
      <c r="Z93" s="171"/>
      <c r="AA93" s="170"/>
      <c r="AB93" s="171"/>
      <c r="AC93" s="170"/>
      <c r="AD93" s="171"/>
      <c r="AE93" s="170"/>
      <c r="AF93" s="171"/>
      <c r="AG93" s="170"/>
      <c r="AH93" s="171"/>
      <c r="AI93" s="170"/>
      <c r="AJ93" s="171"/>
      <c r="AK93" s="170"/>
      <c r="AL93" s="171"/>
      <c r="AM93" s="170"/>
      <c r="AN93" s="171"/>
      <c r="AO93" s="170"/>
      <c r="AP93" s="171"/>
      <c r="AQ93" s="170"/>
      <c r="AR93" s="171"/>
      <c r="AS93" s="170"/>
      <c r="AT93" s="171"/>
      <c r="AU93" s="170"/>
      <c r="AV93" s="172" t="n">
        <f aca="false">IFERROR(VLOOKUP(A93,'Site check'!A:Q,14,0),0)</f>
        <v>0</v>
      </c>
    </row>
    <row r="94" customFormat="false" ht="13.15" hidden="false" customHeight="false" outlineLevel="0" collapsed="false">
      <c r="A94" s="20" t="s">
        <v>110</v>
      </c>
      <c r="B94" s="159"/>
      <c r="C94" s="167"/>
      <c r="D94" s="167"/>
      <c r="E94" s="167"/>
      <c r="F94" s="167"/>
      <c r="G94" s="168" t="n">
        <f aca="false">SUM(J94,L94,N94,P94,R94,T94,V94,X94,Z94,AB94,AD94,AF94,AH94,AJ94,AL94,AN94,AP94,AR94,AT94,AV94)</f>
        <v>0</v>
      </c>
      <c r="H94" s="169" t="n">
        <f aca="false">SUM(G94*1000)/54.5</f>
        <v>0</v>
      </c>
      <c r="I94" s="170"/>
      <c r="J94" s="171"/>
      <c r="K94" s="170"/>
      <c r="L94" s="171"/>
      <c r="M94" s="170"/>
      <c r="N94" s="171"/>
      <c r="O94" s="170"/>
      <c r="P94" s="171"/>
      <c r="Q94" s="170"/>
      <c r="R94" s="171"/>
      <c r="S94" s="170"/>
      <c r="T94" s="171"/>
      <c r="U94" s="170"/>
      <c r="V94" s="171"/>
      <c r="W94" s="170"/>
      <c r="X94" s="171"/>
      <c r="Y94" s="170"/>
      <c r="Z94" s="171"/>
      <c r="AA94" s="170"/>
      <c r="AB94" s="171"/>
      <c r="AC94" s="170"/>
      <c r="AD94" s="171"/>
      <c r="AE94" s="170"/>
      <c r="AF94" s="171"/>
      <c r="AG94" s="170"/>
      <c r="AH94" s="171"/>
      <c r="AI94" s="170"/>
      <c r="AJ94" s="171"/>
      <c r="AK94" s="170"/>
      <c r="AL94" s="171"/>
      <c r="AM94" s="170"/>
      <c r="AN94" s="171"/>
      <c r="AO94" s="170"/>
      <c r="AP94" s="171"/>
      <c r="AQ94" s="170"/>
      <c r="AR94" s="171"/>
      <c r="AS94" s="170"/>
      <c r="AT94" s="171"/>
      <c r="AU94" s="170"/>
      <c r="AV94" s="172" t="n">
        <f aca="false">IFERROR(VLOOKUP(A94,'Site check'!A:Q,14,0),0)</f>
        <v>0</v>
      </c>
    </row>
    <row r="95" customFormat="false" ht="13.15" hidden="false" customHeight="false" outlineLevel="0" collapsed="false">
      <c r="A95" s="20" t="s">
        <v>111</v>
      </c>
      <c r="B95" s="159"/>
      <c r="C95" s="167"/>
      <c r="D95" s="167"/>
      <c r="E95" s="167"/>
      <c r="F95" s="167"/>
      <c r="G95" s="168" t="n">
        <f aca="false">SUM(J95,L95,N95,P95,R95,T95,V95,X95,Z95,AB95,AD95,AF95,AH95,AJ95,AL95,AN95,AP95,AR95,AT95,AV95)</f>
        <v>0.5</v>
      </c>
      <c r="H95" s="169" t="n">
        <f aca="false">SUM(G95*1000)/54.5</f>
        <v>9.1743119266055</v>
      </c>
      <c r="I95" s="170" t="s">
        <v>1155</v>
      </c>
      <c r="J95" s="171" t="n">
        <v>0.5</v>
      </c>
      <c r="K95" s="170"/>
      <c r="L95" s="171"/>
      <c r="M95" s="170"/>
      <c r="N95" s="171"/>
      <c r="O95" s="170"/>
      <c r="P95" s="171"/>
      <c r="Q95" s="170"/>
      <c r="R95" s="171"/>
      <c r="S95" s="170"/>
      <c r="T95" s="171"/>
      <c r="U95" s="170"/>
      <c r="V95" s="171"/>
      <c r="W95" s="170"/>
      <c r="X95" s="171"/>
      <c r="Y95" s="170"/>
      <c r="Z95" s="171"/>
      <c r="AA95" s="170"/>
      <c r="AB95" s="171"/>
      <c r="AC95" s="170"/>
      <c r="AD95" s="171"/>
      <c r="AE95" s="170"/>
      <c r="AF95" s="171"/>
      <c r="AG95" s="170"/>
      <c r="AH95" s="171"/>
      <c r="AI95" s="170"/>
      <c r="AJ95" s="171"/>
      <c r="AK95" s="170"/>
      <c r="AL95" s="171"/>
      <c r="AM95" s="170"/>
      <c r="AN95" s="171"/>
      <c r="AO95" s="170"/>
      <c r="AP95" s="171"/>
      <c r="AQ95" s="170"/>
      <c r="AR95" s="171"/>
      <c r="AS95" s="170"/>
      <c r="AT95" s="171"/>
      <c r="AU95" s="170"/>
      <c r="AV95" s="172" t="n">
        <f aca="false">IFERROR(VLOOKUP(A95,'Site check'!A:Q,14,0),0)</f>
        <v>0</v>
      </c>
    </row>
    <row r="96" customFormat="false" ht="13.15" hidden="false" customHeight="false" outlineLevel="0" collapsed="false">
      <c r="A96" s="20" t="s">
        <v>112</v>
      </c>
      <c r="B96" s="159"/>
      <c r="C96" s="167"/>
      <c r="D96" s="167"/>
      <c r="E96" s="167"/>
      <c r="F96" s="167"/>
      <c r="G96" s="168" t="n">
        <f aca="false">SUM(J96,L96,N96,P96,R96,T96,V96,X96,Z96,AB96,AD96,AF96,AH96,AJ96,AL96,AN96,AP96,AR96,AT96,AV96)</f>
        <v>0</v>
      </c>
      <c r="H96" s="169" t="n">
        <f aca="false">SUM(G96*1000)/54.5</f>
        <v>0</v>
      </c>
      <c r="I96" s="170"/>
      <c r="J96" s="171"/>
      <c r="K96" s="170"/>
      <c r="L96" s="171"/>
      <c r="M96" s="170"/>
      <c r="N96" s="171"/>
      <c r="O96" s="170"/>
      <c r="P96" s="171"/>
      <c r="Q96" s="170"/>
      <c r="R96" s="171"/>
      <c r="S96" s="170"/>
      <c r="T96" s="171"/>
      <c r="U96" s="170"/>
      <c r="V96" s="171"/>
      <c r="W96" s="170"/>
      <c r="X96" s="171"/>
      <c r="Y96" s="170"/>
      <c r="Z96" s="171"/>
      <c r="AA96" s="170"/>
      <c r="AB96" s="171"/>
      <c r="AC96" s="170"/>
      <c r="AD96" s="171"/>
      <c r="AE96" s="170"/>
      <c r="AF96" s="171"/>
      <c r="AG96" s="170"/>
      <c r="AH96" s="171"/>
      <c r="AI96" s="170"/>
      <c r="AJ96" s="171"/>
      <c r="AK96" s="170"/>
      <c r="AL96" s="171"/>
      <c r="AM96" s="170"/>
      <c r="AN96" s="171"/>
      <c r="AO96" s="170"/>
      <c r="AP96" s="171"/>
      <c r="AQ96" s="170"/>
      <c r="AR96" s="171"/>
      <c r="AS96" s="170"/>
      <c r="AT96" s="171"/>
      <c r="AU96" s="170"/>
      <c r="AV96" s="172" t="n">
        <f aca="false">IFERROR(VLOOKUP(A96,'Site check'!A:Q,14,0),0)</f>
        <v>0</v>
      </c>
    </row>
    <row r="97" customFormat="false" ht="13.15" hidden="false" customHeight="false" outlineLevel="0" collapsed="false">
      <c r="A97" s="20" t="s">
        <v>113</v>
      </c>
      <c r="B97" s="159"/>
      <c r="C97" s="167"/>
      <c r="D97" s="167"/>
      <c r="E97" s="167"/>
      <c r="F97" s="167"/>
      <c r="G97" s="168" t="n">
        <f aca="false">SUM(J97,L97,N97,P97,R97,T97,V97,X97,Z97,AB97,AD97,AF97,AH97,AJ97,AL97,AN97,AP97,AR97,AT97,AV97)</f>
        <v>0</v>
      </c>
      <c r="H97" s="169" t="n">
        <f aca="false">SUM(G97*1000)/54.5</f>
        <v>0</v>
      </c>
      <c r="I97" s="170"/>
      <c r="J97" s="171"/>
      <c r="K97" s="170"/>
      <c r="L97" s="171"/>
      <c r="M97" s="170"/>
      <c r="N97" s="171"/>
      <c r="O97" s="170"/>
      <c r="P97" s="171"/>
      <c r="Q97" s="170"/>
      <c r="R97" s="171"/>
      <c r="S97" s="170"/>
      <c r="T97" s="171"/>
      <c r="U97" s="170"/>
      <c r="V97" s="171"/>
      <c r="W97" s="170"/>
      <c r="X97" s="171"/>
      <c r="Y97" s="170"/>
      <c r="Z97" s="171"/>
      <c r="AA97" s="170"/>
      <c r="AB97" s="171"/>
      <c r="AC97" s="170"/>
      <c r="AD97" s="171"/>
      <c r="AE97" s="170"/>
      <c r="AF97" s="171"/>
      <c r="AG97" s="170"/>
      <c r="AH97" s="171"/>
      <c r="AI97" s="170"/>
      <c r="AJ97" s="171"/>
      <c r="AK97" s="170"/>
      <c r="AL97" s="171"/>
      <c r="AM97" s="170"/>
      <c r="AN97" s="171"/>
      <c r="AO97" s="170"/>
      <c r="AP97" s="171"/>
      <c r="AQ97" s="170"/>
      <c r="AR97" s="171"/>
      <c r="AS97" s="170"/>
      <c r="AT97" s="171"/>
      <c r="AU97" s="170"/>
      <c r="AV97" s="172" t="n">
        <f aca="false">IFERROR(VLOOKUP(A97,'Site check'!A:Q,14,0),0)</f>
        <v>0</v>
      </c>
    </row>
    <row r="98" customFormat="false" ht="13.15" hidden="false" customHeight="false" outlineLevel="0" collapsed="false">
      <c r="A98" s="20" t="s">
        <v>114</v>
      </c>
      <c r="B98" s="159"/>
      <c r="C98" s="167"/>
      <c r="D98" s="167"/>
      <c r="E98" s="167"/>
      <c r="F98" s="167"/>
      <c r="G98" s="168" t="n">
        <f aca="false">SUM(J98,L98,N98,P98,R98,T98,V98,X98,Z98,AB98,AD98,AF98,AH98,AJ98,AL98,AN98,AP98,AR98,AT98,AV98)</f>
        <v>4</v>
      </c>
      <c r="H98" s="169" t="n">
        <f aca="false">SUM(G98*1000)/54.5</f>
        <v>73.394495412844</v>
      </c>
      <c r="I98" s="181" t="s">
        <v>1156</v>
      </c>
      <c r="J98" s="175" t="n">
        <v>4</v>
      </c>
      <c r="K98" s="170"/>
      <c r="L98" s="171"/>
      <c r="M98" s="170"/>
      <c r="N98" s="171"/>
      <c r="O98" s="170"/>
      <c r="P98" s="171"/>
      <c r="Q98" s="170"/>
      <c r="R98" s="171"/>
      <c r="S98" s="170"/>
      <c r="T98" s="171"/>
      <c r="U98" s="170"/>
      <c r="V98" s="171"/>
      <c r="W98" s="170"/>
      <c r="X98" s="171"/>
      <c r="Y98" s="170"/>
      <c r="Z98" s="171"/>
      <c r="AA98" s="170"/>
      <c r="AB98" s="171"/>
      <c r="AC98" s="170"/>
      <c r="AD98" s="171"/>
      <c r="AE98" s="170"/>
      <c r="AF98" s="171"/>
      <c r="AG98" s="170"/>
      <c r="AH98" s="171"/>
      <c r="AI98" s="170"/>
      <c r="AJ98" s="171"/>
      <c r="AK98" s="170"/>
      <c r="AL98" s="171"/>
      <c r="AM98" s="170"/>
      <c r="AN98" s="171"/>
      <c r="AO98" s="170"/>
      <c r="AP98" s="171"/>
      <c r="AQ98" s="170"/>
      <c r="AR98" s="171"/>
      <c r="AS98" s="170"/>
      <c r="AT98" s="171"/>
      <c r="AU98" s="170"/>
      <c r="AV98" s="172" t="n">
        <f aca="false">IFERROR(VLOOKUP(A98,'Site check'!A:Q,14,0),0)</f>
        <v>0</v>
      </c>
    </row>
    <row r="99" customFormat="false" ht="13.15" hidden="false" customHeight="false" outlineLevel="0" collapsed="false">
      <c r="A99" s="20" t="s">
        <v>115</v>
      </c>
      <c r="B99" s="159"/>
      <c r="C99" s="167"/>
      <c r="D99" s="167"/>
      <c r="E99" s="167"/>
      <c r="F99" s="167"/>
      <c r="G99" s="168" t="n">
        <f aca="false">SUM(J99,L99,N99,P99,R99,T99,V99,X99,Z99,AB99,AD99,AF99,AH99,AJ99,AL99,AN99,AP99,AR99,AT99,AV99)</f>
        <v>1</v>
      </c>
      <c r="H99" s="169" t="n">
        <f aca="false">SUM(G99*1000)/54.5</f>
        <v>18.348623853211</v>
      </c>
      <c r="I99" s="173" t="s">
        <v>1157</v>
      </c>
      <c r="J99" s="174" t="n">
        <v>1</v>
      </c>
      <c r="K99" s="170"/>
      <c r="L99" s="171"/>
      <c r="M99" s="170"/>
      <c r="N99" s="171"/>
      <c r="O99" s="170"/>
      <c r="P99" s="171"/>
      <c r="Q99" s="170"/>
      <c r="R99" s="171"/>
      <c r="S99" s="170"/>
      <c r="T99" s="171"/>
      <c r="U99" s="170"/>
      <c r="V99" s="171"/>
      <c r="W99" s="170"/>
      <c r="X99" s="171"/>
      <c r="Y99" s="170"/>
      <c r="Z99" s="171"/>
      <c r="AA99" s="170"/>
      <c r="AB99" s="171"/>
      <c r="AC99" s="170"/>
      <c r="AD99" s="171"/>
      <c r="AE99" s="170"/>
      <c r="AF99" s="171"/>
      <c r="AG99" s="170"/>
      <c r="AH99" s="171"/>
      <c r="AI99" s="170"/>
      <c r="AJ99" s="171"/>
      <c r="AK99" s="170"/>
      <c r="AL99" s="171"/>
      <c r="AM99" s="170"/>
      <c r="AN99" s="171"/>
      <c r="AO99" s="170"/>
      <c r="AP99" s="171"/>
      <c r="AQ99" s="170"/>
      <c r="AR99" s="171"/>
      <c r="AS99" s="170"/>
      <c r="AT99" s="171"/>
      <c r="AU99" s="170"/>
      <c r="AV99" s="172" t="n">
        <f aca="false">IFERROR(VLOOKUP(A99,'Site check'!A:Q,14,0),0)</f>
        <v>0</v>
      </c>
    </row>
    <row r="100" customFormat="false" ht="13.15" hidden="false" customHeight="false" outlineLevel="0" collapsed="false">
      <c r="A100" s="20" t="s">
        <v>116</v>
      </c>
      <c r="B100" s="159"/>
      <c r="C100" s="167"/>
      <c r="D100" s="167"/>
      <c r="E100" s="167"/>
      <c r="F100" s="167"/>
      <c r="G100" s="168" t="n">
        <f aca="false">SUM(J100,L100,N100,P100,R100,T100,V100,X100,Z100,AB100,AD100,AF100,AH100,AJ100,AL100,AN100,AP100,AR100,AT100,AV100)</f>
        <v>0</v>
      </c>
      <c r="H100" s="169" t="n">
        <f aca="false">SUM(G100*1000)/54.5</f>
        <v>0</v>
      </c>
      <c r="I100" s="173"/>
      <c r="J100" s="174"/>
      <c r="K100" s="170"/>
      <c r="L100" s="171"/>
      <c r="M100" s="170"/>
      <c r="N100" s="171"/>
      <c r="O100" s="170"/>
      <c r="P100" s="171"/>
      <c r="Q100" s="170"/>
      <c r="R100" s="171"/>
      <c r="S100" s="170"/>
      <c r="T100" s="171"/>
      <c r="U100" s="170"/>
      <c r="V100" s="171"/>
      <c r="W100" s="170"/>
      <c r="X100" s="171"/>
      <c r="Y100" s="170"/>
      <c r="Z100" s="171"/>
      <c r="AA100" s="170"/>
      <c r="AB100" s="171"/>
      <c r="AC100" s="170"/>
      <c r="AD100" s="171"/>
      <c r="AE100" s="170"/>
      <c r="AF100" s="171"/>
      <c r="AG100" s="170"/>
      <c r="AH100" s="171"/>
      <c r="AI100" s="170"/>
      <c r="AJ100" s="171"/>
      <c r="AK100" s="170"/>
      <c r="AL100" s="180"/>
      <c r="AM100" s="170"/>
      <c r="AN100" s="171"/>
      <c r="AO100" s="170"/>
      <c r="AP100" s="171"/>
      <c r="AQ100" s="170"/>
      <c r="AR100" s="171"/>
      <c r="AS100" s="170"/>
      <c r="AT100" s="171"/>
      <c r="AU100" s="170"/>
      <c r="AV100" s="172" t="n">
        <f aca="false">IFERROR(VLOOKUP(A100,'Site check'!A:Q,14,0),0)</f>
        <v>0</v>
      </c>
    </row>
    <row r="101" customFormat="false" ht="13.5" hidden="false" customHeight="true" outlineLevel="0" collapsed="false">
      <c r="A101" s="32" t="s">
        <v>117</v>
      </c>
      <c r="B101" s="159"/>
      <c r="C101" s="176" t="s">
        <v>18</v>
      </c>
      <c r="D101" s="176" t="s">
        <v>19</v>
      </c>
      <c r="E101" s="167"/>
      <c r="F101" s="176" t="s">
        <v>958</v>
      </c>
      <c r="G101" s="168" t="n">
        <f aca="false">SUM(J101,L101,N101,P101,R101,T101,V101,X101,Z101,AB101,AD101,AF101,AH101,AJ101,AL101,AN101,AP101,AR101,AT101,AV101)</f>
        <v>23.35</v>
      </c>
      <c r="H101" s="169" t="n">
        <f aca="false">SUM(G101*1000)/54.5</f>
        <v>428.440366972477</v>
      </c>
      <c r="I101" s="173" t="s">
        <v>1158</v>
      </c>
      <c r="J101" s="174" t="n">
        <v>1</v>
      </c>
      <c r="K101" s="170" t="s">
        <v>1159</v>
      </c>
      <c r="L101" s="171" t="n">
        <v>0.55</v>
      </c>
      <c r="M101" s="170" t="s">
        <v>1160</v>
      </c>
      <c r="N101" s="171" t="n">
        <v>1.3</v>
      </c>
      <c r="O101" s="170" t="s">
        <v>1161</v>
      </c>
      <c r="P101" s="171" t="n">
        <v>1.45</v>
      </c>
      <c r="Q101" s="186" t="s">
        <v>1144</v>
      </c>
      <c r="R101" s="192" t="n">
        <v>0.3</v>
      </c>
      <c r="S101" s="186" t="s">
        <v>1162</v>
      </c>
      <c r="T101" s="192" t="n">
        <v>1.8</v>
      </c>
      <c r="U101" s="186" t="s">
        <v>1163</v>
      </c>
      <c r="V101" s="171" t="n">
        <v>1.7</v>
      </c>
      <c r="W101" s="179" t="s">
        <v>1164</v>
      </c>
      <c r="X101" s="180"/>
      <c r="Y101" s="179" t="s">
        <v>1165</v>
      </c>
      <c r="Z101" s="180" t="n">
        <v>3.25</v>
      </c>
      <c r="AA101" s="181" t="s">
        <v>1166</v>
      </c>
      <c r="AB101" s="175" t="n">
        <v>2.75</v>
      </c>
      <c r="AC101" s="181" t="s">
        <v>1167</v>
      </c>
      <c r="AD101" s="175" t="n">
        <v>2.75</v>
      </c>
      <c r="AE101" s="181" t="s">
        <v>1168</v>
      </c>
      <c r="AF101" s="175" t="n">
        <v>0.7</v>
      </c>
      <c r="AG101" s="181" t="s">
        <v>1169</v>
      </c>
      <c r="AH101" s="175" t="n">
        <v>2</v>
      </c>
      <c r="AI101" s="181" t="s">
        <v>1170</v>
      </c>
      <c r="AJ101" s="175" t="n">
        <v>2</v>
      </c>
      <c r="AK101" s="181" t="s">
        <v>1171</v>
      </c>
      <c r="AL101" s="175" t="n">
        <v>1</v>
      </c>
      <c r="AM101" s="185" t="s">
        <v>1172</v>
      </c>
      <c r="AN101" s="180" t="n">
        <v>0.8</v>
      </c>
      <c r="AO101" s="170"/>
      <c r="AP101" s="171"/>
      <c r="AQ101" s="170"/>
      <c r="AR101" s="171"/>
      <c r="AS101" s="170"/>
      <c r="AT101" s="171"/>
      <c r="AU101" s="170"/>
      <c r="AV101" s="172" t="n">
        <f aca="false">IFERROR(VLOOKUP(A101,'Site check'!A:Q,14,0),0)</f>
        <v>0</v>
      </c>
    </row>
    <row r="102" customFormat="false" ht="23.45" hidden="false" customHeight="false" outlineLevel="0" collapsed="false">
      <c r="A102" s="32" t="s">
        <v>118</v>
      </c>
      <c r="B102" s="159"/>
      <c r="C102" s="167"/>
      <c r="D102" s="167"/>
      <c r="E102" s="167"/>
      <c r="F102" s="167"/>
      <c r="G102" s="168" t="n">
        <f aca="false">SUM(J102,L102,N102,P102,R102,T102,V102,X102,Z102,AB102,AD102,AF102,AH102,AJ102,AL102,AN102,AP102,AR102,AT102,AV102)</f>
        <v>23.95</v>
      </c>
      <c r="H102" s="169" t="n">
        <f aca="false">SUM(G102*1000)/54.5</f>
        <v>439.449541284404</v>
      </c>
      <c r="I102" s="173" t="s">
        <v>1158</v>
      </c>
      <c r="J102" s="174" t="n">
        <v>1</v>
      </c>
      <c r="K102" s="170" t="s">
        <v>1159</v>
      </c>
      <c r="L102" s="171" t="n">
        <v>0.55</v>
      </c>
      <c r="M102" s="170" t="s">
        <v>1160</v>
      </c>
      <c r="N102" s="171" t="n">
        <v>1.3</v>
      </c>
      <c r="O102" s="170" t="s">
        <v>1161</v>
      </c>
      <c r="P102" s="171" t="n">
        <v>1.45</v>
      </c>
      <c r="Q102" s="186" t="s">
        <v>1144</v>
      </c>
      <c r="R102" s="192" t="n">
        <v>0.3</v>
      </c>
      <c r="S102" s="193" t="s">
        <v>1162</v>
      </c>
      <c r="T102" s="192" t="n">
        <v>1.8</v>
      </c>
      <c r="U102" s="186" t="s">
        <v>1163</v>
      </c>
      <c r="V102" s="171" t="n">
        <v>1.8</v>
      </c>
      <c r="W102" s="179" t="s">
        <v>1164</v>
      </c>
      <c r="X102" s="180"/>
      <c r="Y102" s="179" t="s">
        <v>1165</v>
      </c>
      <c r="Z102" s="180" t="n">
        <v>3.25</v>
      </c>
      <c r="AA102" s="181" t="s">
        <v>1166</v>
      </c>
      <c r="AB102" s="175" t="n">
        <v>2.75</v>
      </c>
      <c r="AC102" s="181" t="s">
        <v>1167</v>
      </c>
      <c r="AD102" s="175" t="n">
        <v>2.75</v>
      </c>
      <c r="AE102" s="181" t="s">
        <v>1168</v>
      </c>
      <c r="AF102" s="175" t="n">
        <v>1.2</v>
      </c>
      <c r="AG102" s="181" t="s">
        <v>1169</v>
      </c>
      <c r="AH102" s="175" t="n">
        <v>2</v>
      </c>
      <c r="AI102" s="181" t="s">
        <v>1170</v>
      </c>
      <c r="AJ102" s="175" t="n">
        <v>2</v>
      </c>
      <c r="AK102" s="181" t="s">
        <v>1171</v>
      </c>
      <c r="AL102" s="175" t="n">
        <v>1</v>
      </c>
      <c r="AM102" s="185" t="s">
        <v>1172</v>
      </c>
      <c r="AN102" s="180" t="n">
        <v>0.8</v>
      </c>
      <c r="AO102" s="170"/>
      <c r="AP102" s="171"/>
      <c r="AQ102" s="170"/>
      <c r="AR102" s="171"/>
      <c r="AS102" s="170"/>
      <c r="AT102" s="171"/>
      <c r="AU102" s="170"/>
      <c r="AV102" s="172" t="n">
        <f aca="false">IFERROR(VLOOKUP(A102,'Site check'!A:Q,14,0),0)</f>
        <v>0</v>
      </c>
    </row>
    <row r="103" customFormat="false" ht="13.15" hidden="false" customHeight="false" outlineLevel="0" collapsed="false">
      <c r="A103" s="33" t="s">
        <v>119</v>
      </c>
      <c r="B103" s="208" t="s">
        <v>17</v>
      </c>
      <c r="C103" s="167"/>
      <c r="D103" s="167"/>
      <c r="E103" s="167"/>
      <c r="F103" s="167"/>
      <c r="G103" s="168" t="n">
        <f aca="false">SUM(J103,L103,N103,P103,R103,T103,V103,X103,Z103,AB103,AD103,AF103,AH103,AJ103,AL103,AN103,AP103,AR103,AT103,AV103)</f>
        <v>7.7515</v>
      </c>
      <c r="H103" s="169" t="n">
        <f aca="false">SUM(G103*1000)/54.5</f>
        <v>142.229357798165</v>
      </c>
      <c r="I103" s="173" t="s">
        <v>1173</v>
      </c>
      <c r="J103" s="174" t="n">
        <v>1</v>
      </c>
      <c r="K103" s="170" t="s">
        <v>1174</v>
      </c>
      <c r="L103" s="171" t="n">
        <v>2.3</v>
      </c>
      <c r="M103" s="173" t="s">
        <v>1063</v>
      </c>
      <c r="N103" s="174" t="n">
        <v>0.9</v>
      </c>
      <c r="O103" s="173" t="s">
        <v>1175</v>
      </c>
      <c r="P103" s="174" t="n">
        <v>1.5</v>
      </c>
      <c r="Q103" s="193" t="s">
        <v>1176</v>
      </c>
      <c r="R103" s="192" t="n">
        <v>1</v>
      </c>
      <c r="S103" s="173" t="s">
        <v>1177</v>
      </c>
      <c r="T103" s="174" t="n">
        <v>0.3015</v>
      </c>
      <c r="U103" s="173" t="s">
        <v>1096</v>
      </c>
      <c r="V103" s="174" t="n">
        <v>0.25</v>
      </c>
      <c r="W103" s="170" t="s">
        <v>1178</v>
      </c>
      <c r="X103" s="171" t="n">
        <v>0.5</v>
      </c>
      <c r="Y103" s="170"/>
      <c r="Z103" s="171"/>
      <c r="AA103" s="170"/>
      <c r="AB103" s="171"/>
      <c r="AC103" s="170"/>
      <c r="AD103" s="171"/>
      <c r="AE103" s="170"/>
      <c r="AF103" s="171"/>
      <c r="AG103" s="170"/>
      <c r="AH103" s="171"/>
      <c r="AI103" s="170"/>
      <c r="AJ103" s="171"/>
      <c r="AK103" s="170"/>
      <c r="AL103" s="171"/>
      <c r="AM103" s="170"/>
      <c r="AN103" s="171"/>
      <c r="AO103" s="170"/>
      <c r="AP103" s="171"/>
      <c r="AQ103" s="170"/>
      <c r="AR103" s="171"/>
      <c r="AS103" s="170"/>
      <c r="AT103" s="171"/>
      <c r="AU103" s="170"/>
      <c r="AV103" s="172" t="n">
        <f aca="false">IFERROR(VLOOKUP(A103,'Site check'!A:Q,14,0),0)</f>
        <v>0</v>
      </c>
    </row>
    <row r="104" customFormat="false" ht="13.15" hidden="false" customHeight="false" outlineLevel="0" collapsed="false">
      <c r="A104" s="33" t="s">
        <v>120</v>
      </c>
      <c r="B104" s="167"/>
      <c r="C104" s="167"/>
      <c r="D104" s="167"/>
      <c r="E104" s="167"/>
      <c r="F104" s="167"/>
      <c r="G104" s="168" t="n">
        <f aca="false">SUM(J104,L104,N104,P104,R104,T104,V104,X104,Z104,AB104,AD104,AF104,AH104,AJ104,AL104,AN104,AP104,AR104,AT104,AV104)</f>
        <v>7.7515</v>
      </c>
      <c r="H104" s="169" t="n">
        <f aca="false">SUM(G104*1000)/54.5</f>
        <v>142.229357798165</v>
      </c>
      <c r="I104" s="173" t="s">
        <v>1179</v>
      </c>
      <c r="J104" s="174" t="n">
        <v>1</v>
      </c>
      <c r="K104" s="170" t="s">
        <v>1174</v>
      </c>
      <c r="L104" s="171" t="n">
        <v>2.3</v>
      </c>
      <c r="M104" s="173" t="s">
        <v>1063</v>
      </c>
      <c r="N104" s="174" t="n">
        <v>0.9</v>
      </c>
      <c r="O104" s="173" t="s">
        <v>1175</v>
      </c>
      <c r="P104" s="174" t="n">
        <v>1.5</v>
      </c>
      <c r="Q104" s="193" t="s">
        <v>1176</v>
      </c>
      <c r="R104" s="192" t="n">
        <v>1</v>
      </c>
      <c r="S104" s="173" t="s">
        <v>1177</v>
      </c>
      <c r="T104" s="174" t="n">
        <v>0.3015</v>
      </c>
      <c r="U104" s="173" t="s">
        <v>1096</v>
      </c>
      <c r="V104" s="174" t="n">
        <v>0.25</v>
      </c>
      <c r="W104" s="170" t="s">
        <v>1178</v>
      </c>
      <c r="X104" s="171" t="n">
        <v>0.5</v>
      </c>
      <c r="Y104" s="170"/>
      <c r="Z104" s="171"/>
      <c r="AA104" s="170"/>
      <c r="AB104" s="171"/>
      <c r="AC104" s="170"/>
      <c r="AD104" s="171"/>
      <c r="AE104" s="170"/>
      <c r="AF104" s="171"/>
      <c r="AG104" s="170"/>
      <c r="AH104" s="171"/>
      <c r="AI104" s="170"/>
      <c r="AJ104" s="171"/>
      <c r="AK104" s="170"/>
      <c r="AL104" s="171"/>
      <c r="AM104" s="170"/>
      <c r="AN104" s="171"/>
      <c r="AO104" s="170"/>
      <c r="AP104" s="171"/>
      <c r="AQ104" s="170"/>
      <c r="AR104" s="171"/>
      <c r="AS104" s="170"/>
      <c r="AT104" s="171"/>
      <c r="AU104" s="170"/>
      <c r="AV104" s="172" t="n">
        <f aca="false">IFERROR(VLOOKUP(A104,'Site check'!A:Q,14,0),0)</f>
        <v>0</v>
      </c>
    </row>
    <row r="105" customFormat="false" ht="13.15" hidden="false" customHeight="false" outlineLevel="0" collapsed="false">
      <c r="A105" s="20" t="s">
        <v>121</v>
      </c>
      <c r="B105" s="159"/>
      <c r="C105" s="167"/>
      <c r="D105" s="167"/>
      <c r="E105" s="167"/>
      <c r="F105" s="167"/>
      <c r="G105" s="168" t="n">
        <f aca="false">SUM(J105,L105,N105,P105,R105,T105,V105,X105,Z105,AB105,AD105,AF105,AH105,AJ105,AL105,AN105,AP105,AR105,AT105,AV105)</f>
        <v>1</v>
      </c>
      <c r="H105" s="169" t="n">
        <f aca="false">SUM(G105*1000)/54.5</f>
        <v>18.348623853211</v>
      </c>
      <c r="I105" s="173" t="s">
        <v>1180</v>
      </c>
      <c r="J105" s="174" t="n">
        <v>1</v>
      </c>
      <c r="K105" s="170"/>
      <c r="L105" s="171"/>
      <c r="M105" s="170"/>
      <c r="N105" s="171"/>
      <c r="O105" s="170"/>
      <c r="P105" s="171"/>
      <c r="Q105" s="170"/>
      <c r="R105" s="171"/>
      <c r="S105" s="170"/>
      <c r="T105" s="171"/>
      <c r="U105" s="170"/>
      <c r="V105" s="171"/>
      <c r="W105" s="170"/>
      <c r="X105" s="171"/>
      <c r="Y105" s="170"/>
      <c r="Z105" s="171"/>
      <c r="AA105" s="170"/>
      <c r="AB105" s="171"/>
      <c r="AC105" s="170"/>
      <c r="AD105" s="171"/>
      <c r="AE105" s="170"/>
      <c r="AF105" s="171"/>
      <c r="AG105" s="170"/>
      <c r="AH105" s="171"/>
      <c r="AI105" s="170"/>
      <c r="AJ105" s="171"/>
      <c r="AK105" s="170"/>
      <c r="AL105" s="171"/>
      <c r="AM105" s="170"/>
      <c r="AN105" s="171"/>
      <c r="AO105" s="170"/>
      <c r="AP105" s="171"/>
      <c r="AQ105" s="170"/>
      <c r="AR105" s="171"/>
      <c r="AS105" s="170"/>
      <c r="AT105" s="171"/>
      <c r="AU105" s="170"/>
      <c r="AV105" s="172" t="n">
        <f aca="false">IFERROR(VLOOKUP(A105,'Site check'!A:Q,14,0),0)</f>
        <v>0</v>
      </c>
    </row>
    <row r="106" customFormat="false" ht="13.15" hidden="false" customHeight="false" outlineLevel="0" collapsed="false">
      <c r="A106" s="20" t="s">
        <v>122</v>
      </c>
      <c r="B106" s="159"/>
      <c r="C106" s="167"/>
      <c r="D106" s="167"/>
      <c r="E106" s="167"/>
      <c r="F106" s="167"/>
      <c r="G106" s="168" t="n">
        <f aca="false">SUM(J106,L106,N106,P106,R106,T106,V106,X106,Z106,AB106,AD106,AF106,AH106,AJ106,AL106,AN106,AP106,AR106,AT106,AV106)</f>
        <v>1</v>
      </c>
      <c r="H106" s="169" t="n">
        <f aca="false">SUM(G106*1000)/54.5</f>
        <v>18.348623853211</v>
      </c>
      <c r="I106" s="173" t="s">
        <v>1181</v>
      </c>
      <c r="J106" s="174" t="n">
        <v>1</v>
      </c>
      <c r="K106" s="170"/>
      <c r="L106" s="171"/>
      <c r="M106" s="170"/>
      <c r="N106" s="171"/>
      <c r="O106" s="170"/>
      <c r="P106" s="171"/>
      <c r="Q106" s="170"/>
      <c r="R106" s="171"/>
      <c r="S106" s="170"/>
      <c r="T106" s="171"/>
      <c r="U106" s="170"/>
      <c r="V106" s="171"/>
      <c r="W106" s="170"/>
      <c r="X106" s="171"/>
      <c r="Y106" s="170"/>
      <c r="Z106" s="171"/>
      <c r="AA106" s="170"/>
      <c r="AB106" s="171"/>
      <c r="AC106" s="170"/>
      <c r="AD106" s="171"/>
      <c r="AE106" s="170"/>
      <c r="AF106" s="171"/>
      <c r="AG106" s="170"/>
      <c r="AH106" s="171"/>
      <c r="AI106" s="170"/>
      <c r="AJ106" s="171"/>
      <c r="AK106" s="170"/>
      <c r="AL106" s="171"/>
      <c r="AM106" s="170"/>
      <c r="AN106" s="171"/>
      <c r="AO106" s="170"/>
      <c r="AP106" s="171"/>
      <c r="AQ106" s="170"/>
      <c r="AR106" s="171"/>
      <c r="AS106" s="170"/>
      <c r="AT106" s="171"/>
      <c r="AU106" s="170"/>
      <c r="AV106" s="172" t="n">
        <f aca="false">IFERROR(VLOOKUP(A106,'Site check'!A:Q,14,0),0)</f>
        <v>0</v>
      </c>
    </row>
    <row r="107" customFormat="false" ht="13.15" hidden="false" customHeight="false" outlineLevel="0" collapsed="false">
      <c r="A107" s="20" t="s">
        <v>123</v>
      </c>
      <c r="B107" s="159"/>
      <c r="C107" s="167"/>
      <c r="D107" s="167"/>
      <c r="E107" s="167"/>
      <c r="F107" s="167"/>
      <c r="G107" s="168" t="n">
        <f aca="false">SUM(J107,L107,N107,P107,R107,T107,V107,X107,Z107,AB107,AD107,AF107,AH107,AJ107,AL107,AN107,AP107,AR107,AT107,AV107)</f>
        <v>3</v>
      </c>
      <c r="H107" s="169" t="n">
        <f aca="false">SUM(G107*1000)/54.5</f>
        <v>55.045871559633</v>
      </c>
      <c r="I107" s="181" t="s">
        <v>1182</v>
      </c>
      <c r="J107" s="175" t="n">
        <v>2</v>
      </c>
      <c r="K107" s="170" t="s">
        <v>1183</v>
      </c>
      <c r="L107" s="171" t="n">
        <v>1</v>
      </c>
      <c r="M107" s="170"/>
      <c r="N107" s="171"/>
      <c r="O107" s="170"/>
      <c r="P107" s="171"/>
      <c r="Q107" s="170"/>
      <c r="R107" s="171"/>
      <c r="S107" s="170"/>
      <c r="T107" s="171"/>
      <c r="U107" s="170"/>
      <c r="V107" s="171"/>
      <c r="W107" s="170"/>
      <c r="X107" s="171"/>
      <c r="Y107" s="170"/>
      <c r="Z107" s="171"/>
      <c r="AA107" s="170"/>
      <c r="AB107" s="171"/>
      <c r="AC107" s="170"/>
      <c r="AD107" s="171"/>
      <c r="AE107" s="170"/>
      <c r="AF107" s="171"/>
      <c r="AG107" s="170"/>
      <c r="AH107" s="171"/>
      <c r="AI107" s="170"/>
      <c r="AJ107" s="171"/>
      <c r="AK107" s="170"/>
      <c r="AL107" s="171"/>
      <c r="AM107" s="170"/>
      <c r="AN107" s="171"/>
      <c r="AO107" s="170"/>
      <c r="AP107" s="171"/>
      <c r="AQ107" s="170"/>
      <c r="AR107" s="171"/>
      <c r="AS107" s="170"/>
      <c r="AT107" s="171"/>
      <c r="AU107" s="170"/>
      <c r="AV107" s="172" t="n">
        <f aca="false">IFERROR(VLOOKUP(A107,'Site check'!A:Q,14,0),0)</f>
        <v>0</v>
      </c>
    </row>
    <row r="108" customFormat="false" ht="13.15" hidden="false" customHeight="false" outlineLevel="0" collapsed="false">
      <c r="A108" s="32" t="s">
        <v>124</v>
      </c>
      <c r="B108" s="159"/>
      <c r="C108" s="167"/>
      <c r="D108" s="167"/>
      <c r="E108" s="176" t="s">
        <v>1087</v>
      </c>
      <c r="F108" s="167"/>
      <c r="G108" s="168" t="n">
        <f aca="false">SUM(J108,L108,N108,P108,R108,T108,V108,X108,Z108,AB108,AD108,AF108,AH108,AJ108,AL108,AN108,AP108,AR108,AT108,AV108)</f>
        <v>5.85</v>
      </c>
      <c r="H108" s="169" t="n">
        <f aca="false">SUM(G108*1000)/54.5</f>
        <v>107.339449541284</v>
      </c>
      <c r="I108" s="170" t="s">
        <v>1184</v>
      </c>
      <c r="J108" s="171" t="n">
        <v>5.85</v>
      </c>
      <c r="K108" s="170"/>
      <c r="L108" s="171"/>
      <c r="M108" s="170"/>
      <c r="N108" s="171"/>
      <c r="O108" s="170"/>
      <c r="P108" s="171"/>
      <c r="Q108" s="170"/>
      <c r="R108" s="171"/>
      <c r="S108" s="170"/>
      <c r="T108" s="171"/>
      <c r="U108" s="170"/>
      <c r="V108" s="171"/>
      <c r="W108" s="170"/>
      <c r="X108" s="171"/>
      <c r="Y108" s="170"/>
      <c r="Z108" s="171"/>
      <c r="AA108" s="170"/>
      <c r="AB108" s="171"/>
      <c r="AC108" s="170"/>
      <c r="AD108" s="171"/>
      <c r="AE108" s="170"/>
      <c r="AF108" s="171"/>
      <c r="AG108" s="170"/>
      <c r="AH108" s="171"/>
      <c r="AI108" s="170"/>
      <c r="AJ108" s="171"/>
      <c r="AK108" s="170"/>
      <c r="AL108" s="171"/>
      <c r="AM108" s="170"/>
      <c r="AN108" s="171"/>
      <c r="AO108" s="170"/>
      <c r="AP108" s="171"/>
      <c r="AQ108" s="170"/>
      <c r="AR108" s="171"/>
      <c r="AS108" s="170"/>
      <c r="AT108" s="171"/>
      <c r="AU108" s="170"/>
      <c r="AV108" s="172" t="n">
        <f aca="false">IFERROR(VLOOKUP(A108,'Site check'!A:Q,14,0),0)</f>
        <v>0</v>
      </c>
    </row>
    <row r="109" customFormat="false" ht="13.15" hidden="false" customHeight="false" outlineLevel="0" collapsed="false">
      <c r="A109" s="32" t="s">
        <v>125</v>
      </c>
      <c r="B109" s="159"/>
      <c r="C109" s="167"/>
      <c r="D109" s="167"/>
      <c r="E109" s="167"/>
      <c r="F109" s="167"/>
      <c r="G109" s="168" t="n">
        <f aca="false">SUM(J109,L109,N109,P109,R109,T109,V109,X109,Z109,AB109,AD109,AF109,AH109,AJ109,AL109,AN109,AP109,AR109,AT109,AV109)</f>
        <v>5.85</v>
      </c>
      <c r="H109" s="169" t="n">
        <f aca="false">SUM(G109*1000)/54.5</f>
        <v>107.339449541284</v>
      </c>
      <c r="I109" s="170" t="s">
        <v>1184</v>
      </c>
      <c r="J109" s="171" t="n">
        <v>5.85</v>
      </c>
      <c r="K109" s="170"/>
      <c r="L109" s="171"/>
      <c r="M109" s="170"/>
      <c r="N109" s="171"/>
      <c r="O109" s="170"/>
      <c r="P109" s="171"/>
      <c r="Q109" s="170"/>
      <c r="R109" s="171"/>
      <c r="S109" s="170"/>
      <c r="T109" s="171"/>
      <c r="U109" s="170"/>
      <c r="V109" s="171"/>
      <c r="W109" s="170"/>
      <c r="X109" s="171"/>
      <c r="Y109" s="170"/>
      <c r="Z109" s="171"/>
      <c r="AA109" s="170"/>
      <c r="AB109" s="171"/>
      <c r="AC109" s="170"/>
      <c r="AD109" s="171"/>
      <c r="AE109" s="170"/>
      <c r="AF109" s="171"/>
      <c r="AG109" s="170"/>
      <c r="AH109" s="171"/>
      <c r="AI109" s="170"/>
      <c r="AJ109" s="171"/>
      <c r="AK109" s="170"/>
      <c r="AL109" s="171"/>
      <c r="AM109" s="170"/>
      <c r="AN109" s="171"/>
      <c r="AO109" s="170"/>
      <c r="AP109" s="171"/>
      <c r="AQ109" s="170"/>
      <c r="AR109" s="171"/>
      <c r="AS109" s="170"/>
      <c r="AT109" s="171"/>
      <c r="AU109" s="170"/>
      <c r="AV109" s="172" t="n">
        <f aca="false">IFERROR(VLOOKUP(A109,'Site check'!A:Q,14,0),0)</f>
        <v>0</v>
      </c>
    </row>
    <row r="110" customFormat="false" ht="13.15" hidden="false" customHeight="false" outlineLevel="0" collapsed="false">
      <c r="A110" s="20" t="s">
        <v>126</v>
      </c>
      <c r="B110" s="159"/>
      <c r="C110" s="167"/>
      <c r="D110" s="167"/>
      <c r="E110" s="167"/>
      <c r="F110" s="167"/>
      <c r="G110" s="168" t="n">
        <f aca="false">SUM(J110,L110,N110,P110,R110,T110,V110,X110,Z110,AB110,AD110,AF110,AH110,AJ110,AL110,AN110,AP110,AR110,AT110,AV110)</f>
        <v>0</v>
      </c>
      <c r="H110" s="169" t="n">
        <f aca="false">SUM(G110*1000)/54.5</f>
        <v>0</v>
      </c>
      <c r="I110" s="170"/>
      <c r="J110" s="171"/>
      <c r="K110" s="170"/>
      <c r="L110" s="171"/>
      <c r="M110" s="170"/>
      <c r="N110" s="171"/>
      <c r="O110" s="170"/>
      <c r="P110" s="171"/>
      <c r="Q110" s="170"/>
      <c r="R110" s="171"/>
      <c r="S110" s="170"/>
      <c r="T110" s="171"/>
      <c r="U110" s="170"/>
      <c r="V110" s="171"/>
      <c r="W110" s="170"/>
      <c r="X110" s="171"/>
      <c r="Y110" s="170"/>
      <c r="Z110" s="171"/>
      <c r="AA110" s="170"/>
      <c r="AB110" s="171"/>
      <c r="AC110" s="170"/>
      <c r="AD110" s="171"/>
      <c r="AE110" s="170"/>
      <c r="AF110" s="171"/>
      <c r="AG110" s="170"/>
      <c r="AH110" s="171"/>
      <c r="AI110" s="170"/>
      <c r="AJ110" s="171"/>
      <c r="AK110" s="170"/>
      <c r="AL110" s="171"/>
      <c r="AM110" s="170"/>
      <c r="AN110" s="171"/>
      <c r="AO110" s="170"/>
      <c r="AP110" s="171"/>
      <c r="AQ110" s="170"/>
      <c r="AR110" s="171"/>
      <c r="AS110" s="170"/>
      <c r="AT110" s="171"/>
      <c r="AU110" s="170"/>
      <c r="AV110" s="172" t="n">
        <f aca="false">IFERROR(VLOOKUP(A110,'Site check'!A:Q,14,0),0)</f>
        <v>0</v>
      </c>
    </row>
    <row r="111" customFormat="false" ht="13.15" hidden="false" customHeight="false" outlineLevel="0" collapsed="false">
      <c r="A111" s="20" t="s">
        <v>127</v>
      </c>
      <c r="B111" s="159"/>
      <c r="C111" s="167"/>
      <c r="D111" s="167"/>
      <c r="E111" s="167"/>
      <c r="F111" s="167"/>
      <c r="G111" s="168" t="n">
        <f aca="false">SUM(J111,L111,N111,P111,R111,T111,V111,X111,Z111,AB111,AD111,AF111,AH111,AJ111,AL111,AN111,AP111,AR111,AT111,AV111)</f>
        <v>0</v>
      </c>
      <c r="H111" s="169" t="n">
        <f aca="false">SUM(G111*1000)/54.5</f>
        <v>0</v>
      </c>
      <c r="I111" s="170"/>
      <c r="J111" s="171"/>
      <c r="K111" s="170"/>
      <c r="L111" s="171"/>
      <c r="M111" s="170"/>
      <c r="N111" s="171"/>
      <c r="O111" s="170"/>
      <c r="P111" s="171"/>
      <c r="Q111" s="170"/>
      <c r="R111" s="171"/>
      <c r="S111" s="170"/>
      <c r="T111" s="171"/>
      <c r="U111" s="170"/>
      <c r="V111" s="171"/>
      <c r="W111" s="170"/>
      <c r="X111" s="171"/>
      <c r="Y111" s="170"/>
      <c r="Z111" s="171"/>
      <c r="AA111" s="170"/>
      <c r="AB111" s="171"/>
      <c r="AC111" s="170"/>
      <c r="AD111" s="171"/>
      <c r="AE111" s="170"/>
      <c r="AF111" s="171"/>
      <c r="AG111" s="170"/>
      <c r="AH111" s="171"/>
      <c r="AI111" s="170"/>
      <c r="AJ111" s="171"/>
      <c r="AK111" s="170"/>
      <c r="AL111" s="171"/>
      <c r="AM111" s="170"/>
      <c r="AN111" s="171"/>
      <c r="AO111" s="170"/>
      <c r="AP111" s="171"/>
      <c r="AQ111" s="170"/>
      <c r="AR111" s="171"/>
      <c r="AS111" s="170"/>
      <c r="AT111" s="171"/>
      <c r="AU111" s="170"/>
      <c r="AV111" s="172" t="n">
        <f aca="false">IFERROR(VLOOKUP(A111,'Site check'!A:Q,14,0),0)</f>
        <v>0</v>
      </c>
    </row>
    <row r="112" customFormat="false" ht="13.15" hidden="false" customHeight="false" outlineLevel="0" collapsed="false">
      <c r="A112" s="20" t="s">
        <v>128</v>
      </c>
      <c r="B112" s="159"/>
      <c r="C112" s="167"/>
      <c r="D112" s="167"/>
      <c r="E112" s="167"/>
      <c r="F112" s="167"/>
      <c r="G112" s="168" t="n">
        <f aca="false">SUM(J112,L112,N112,P112,R112,T112,V112,X112,Z112,AB112,AD112,AF112,AH112,AJ112,AL112,AN112,AP112,AR112,AT112,AV112)</f>
        <v>0</v>
      </c>
      <c r="H112" s="169" t="n">
        <f aca="false">SUM(G112*1000)/54.5</f>
        <v>0</v>
      </c>
      <c r="I112" s="170"/>
      <c r="J112" s="171"/>
      <c r="K112" s="170"/>
      <c r="L112" s="171"/>
      <c r="M112" s="170"/>
      <c r="N112" s="171"/>
      <c r="O112" s="170"/>
      <c r="P112" s="171"/>
      <c r="Q112" s="170"/>
      <c r="R112" s="171"/>
      <c r="S112" s="170"/>
      <c r="T112" s="171"/>
      <c r="U112" s="170"/>
      <c r="V112" s="171"/>
      <c r="W112" s="170"/>
      <c r="X112" s="171"/>
      <c r="Y112" s="170"/>
      <c r="Z112" s="171"/>
      <c r="AA112" s="170"/>
      <c r="AB112" s="171"/>
      <c r="AC112" s="170"/>
      <c r="AD112" s="171"/>
      <c r="AE112" s="170"/>
      <c r="AF112" s="171"/>
      <c r="AG112" s="170"/>
      <c r="AH112" s="171"/>
      <c r="AI112" s="170"/>
      <c r="AJ112" s="171"/>
      <c r="AK112" s="170"/>
      <c r="AL112" s="171"/>
      <c r="AM112" s="170"/>
      <c r="AN112" s="171"/>
      <c r="AO112" s="170"/>
      <c r="AP112" s="171"/>
      <c r="AQ112" s="170"/>
      <c r="AR112" s="171"/>
      <c r="AS112" s="170"/>
      <c r="AT112" s="171"/>
      <c r="AU112" s="170"/>
      <c r="AV112" s="172" t="n">
        <f aca="false">IFERROR(VLOOKUP(A112,'Site check'!A:Q,14,0),0)</f>
        <v>0</v>
      </c>
    </row>
    <row r="113" customFormat="false" ht="13.15" hidden="false" customHeight="false" outlineLevel="0" collapsed="false">
      <c r="A113" s="33" t="s">
        <v>129</v>
      </c>
      <c r="B113" s="159"/>
      <c r="C113" s="167"/>
      <c r="D113" s="167"/>
      <c r="E113" s="176" t="s">
        <v>1087</v>
      </c>
      <c r="F113" s="167"/>
      <c r="G113" s="168" t="n">
        <f aca="false">SUM(J113,L113,N113,P113,R113,T113,V113,X113,Z113,AB113,AD113,AF113,AH113,AJ113,AL113,AN113,AP113,AR113,AT113,AV113)</f>
        <v>6.25</v>
      </c>
      <c r="H113" s="169" t="n">
        <f aca="false">SUM(G113*1000)/54.5</f>
        <v>114.678899082569</v>
      </c>
      <c r="I113" s="170" t="s">
        <v>1185</v>
      </c>
      <c r="J113" s="171" t="n">
        <v>5.75</v>
      </c>
      <c r="K113" s="181" t="s">
        <v>1186</v>
      </c>
      <c r="L113" s="175" t="n">
        <v>0.5</v>
      </c>
      <c r="M113" s="170"/>
      <c r="N113" s="171"/>
      <c r="O113" s="170"/>
      <c r="P113" s="171"/>
      <c r="Q113" s="170"/>
      <c r="R113" s="171"/>
      <c r="S113" s="170"/>
      <c r="T113" s="171"/>
      <c r="U113" s="170"/>
      <c r="V113" s="171"/>
      <c r="W113" s="170"/>
      <c r="X113" s="171"/>
      <c r="Y113" s="170"/>
      <c r="Z113" s="171"/>
      <c r="AA113" s="170"/>
      <c r="AB113" s="171"/>
      <c r="AC113" s="170"/>
      <c r="AD113" s="171"/>
      <c r="AE113" s="170"/>
      <c r="AF113" s="171"/>
      <c r="AG113" s="170"/>
      <c r="AH113" s="171"/>
      <c r="AI113" s="170"/>
      <c r="AJ113" s="171"/>
      <c r="AK113" s="170"/>
      <c r="AL113" s="171"/>
      <c r="AM113" s="170"/>
      <c r="AN113" s="171"/>
      <c r="AO113" s="170"/>
      <c r="AP113" s="171"/>
      <c r="AQ113" s="170"/>
      <c r="AR113" s="171"/>
      <c r="AS113" s="170"/>
      <c r="AT113" s="171"/>
      <c r="AU113" s="170"/>
      <c r="AV113" s="172" t="n">
        <f aca="false">IFERROR(VLOOKUP(A113,'Site check'!A:Q,14,0),0)</f>
        <v>0</v>
      </c>
    </row>
    <row r="114" customFormat="false" ht="13.15" hidden="false" customHeight="false" outlineLevel="0" collapsed="false">
      <c r="A114" s="33" t="s">
        <v>130</v>
      </c>
      <c r="B114" s="159"/>
      <c r="C114" s="167"/>
      <c r="D114" s="167"/>
      <c r="E114" s="167"/>
      <c r="F114" s="167"/>
      <c r="G114" s="168" t="n">
        <f aca="false">SUM(J114,L114,N114,P114,R114,T114,V114,X114,Z114,AB114,AD114,AF114,AH114,AJ114,AL114,AN114,AP114,AR114,AT114,AV114)</f>
        <v>6.25</v>
      </c>
      <c r="H114" s="169" t="n">
        <f aca="false">SUM(G114*1000)/54.5</f>
        <v>114.678899082569</v>
      </c>
      <c r="I114" s="170" t="s">
        <v>1185</v>
      </c>
      <c r="J114" s="171" t="n">
        <v>5.75</v>
      </c>
      <c r="K114" s="181" t="s">
        <v>1186</v>
      </c>
      <c r="L114" s="175" t="n">
        <v>0.5</v>
      </c>
      <c r="M114" s="170"/>
      <c r="N114" s="171"/>
      <c r="O114" s="170"/>
      <c r="P114" s="171"/>
      <c r="Q114" s="170"/>
      <c r="R114" s="171"/>
      <c r="S114" s="170"/>
      <c r="T114" s="171"/>
      <c r="U114" s="170"/>
      <c r="V114" s="171"/>
      <c r="W114" s="170"/>
      <c r="X114" s="171"/>
      <c r="Y114" s="170"/>
      <c r="Z114" s="171"/>
      <c r="AA114" s="170"/>
      <c r="AB114" s="171"/>
      <c r="AC114" s="170"/>
      <c r="AD114" s="171"/>
      <c r="AE114" s="170"/>
      <c r="AF114" s="171"/>
      <c r="AG114" s="170"/>
      <c r="AH114" s="171"/>
      <c r="AI114" s="170"/>
      <c r="AJ114" s="171"/>
      <c r="AK114" s="170"/>
      <c r="AL114" s="171"/>
      <c r="AM114" s="170"/>
      <c r="AN114" s="171"/>
      <c r="AO114" s="170"/>
      <c r="AP114" s="171"/>
      <c r="AQ114" s="170"/>
      <c r="AR114" s="171"/>
      <c r="AS114" s="170"/>
      <c r="AT114" s="171"/>
      <c r="AU114" s="170"/>
      <c r="AV114" s="172" t="n">
        <f aca="false">IFERROR(VLOOKUP(A114,'Site check'!A:Q,14,0),0)</f>
        <v>0</v>
      </c>
    </row>
    <row r="115" customFormat="false" ht="13.15" hidden="false" customHeight="false" outlineLevel="0" collapsed="false">
      <c r="A115" s="20" t="s">
        <v>131</v>
      </c>
      <c r="B115" s="159"/>
      <c r="C115" s="176" t="s">
        <v>18</v>
      </c>
      <c r="D115" s="167"/>
      <c r="E115" s="167"/>
      <c r="F115" s="167"/>
      <c r="G115" s="168" t="n">
        <f aca="false">SUM(J115,L115,N115,P115,R115,T115,V115,X115,Z115,AB115,AD115,AF115,AH115,AJ115,AL115,AN115,AP115,AR115,AT115,AV115)</f>
        <v>3.9</v>
      </c>
      <c r="H115" s="169" t="n">
        <f aca="false">SUM(G115*1000)/54.5</f>
        <v>71.5596330275229</v>
      </c>
      <c r="I115" s="173" t="s">
        <v>1187</v>
      </c>
      <c r="J115" s="174" t="n">
        <v>2.4</v>
      </c>
      <c r="K115" s="173" t="s">
        <v>1188</v>
      </c>
      <c r="L115" s="174" t="n">
        <v>1</v>
      </c>
      <c r="M115" s="179" t="s">
        <v>1189</v>
      </c>
      <c r="N115" s="180" t="n">
        <v>0.5</v>
      </c>
      <c r="O115" s="170"/>
      <c r="P115" s="171"/>
      <c r="Q115" s="170"/>
      <c r="R115" s="171"/>
      <c r="S115" s="170"/>
      <c r="T115" s="171"/>
      <c r="U115" s="170"/>
      <c r="V115" s="171"/>
      <c r="W115" s="170"/>
      <c r="X115" s="171"/>
      <c r="Y115" s="170"/>
      <c r="Z115" s="171"/>
      <c r="AA115" s="170"/>
      <c r="AB115" s="171"/>
      <c r="AC115" s="170"/>
      <c r="AD115" s="171"/>
      <c r="AE115" s="170"/>
      <c r="AF115" s="171"/>
      <c r="AG115" s="170"/>
      <c r="AH115" s="171"/>
      <c r="AI115" s="170"/>
      <c r="AJ115" s="171"/>
      <c r="AK115" s="170"/>
      <c r="AL115" s="171"/>
      <c r="AM115" s="170"/>
      <c r="AN115" s="171"/>
      <c r="AO115" s="170"/>
      <c r="AP115" s="171"/>
      <c r="AQ115" s="170"/>
      <c r="AR115" s="171"/>
      <c r="AS115" s="170"/>
      <c r="AT115" s="171"/>
      <c r="AU115" s="170"/>
      <c r="AV115" s="172" t="n">
        <f aca="false">IFERROR(VLOOKUP(A115,'Site check'!A:Q,14,0),0)</f>
        <v>0</v>
      </c>
    </row>
    <row r="116" customFormat="false" ht="13.15" hidden="false" customHeight="false" outlineLevel="0" collapsed="false">
      <c r="A116" s="32" t="s">
        <v>132</v>
      </c>
      <c r="B116" s="159"/>
      <c r="C116" s="176" t="s">
        <v>18</v>
      </c>
      <c r="D116" s="167"/>
      <c r="E116" s="167"/>
      <c r="F116" s="167"/>
      <c r="G116" s="168" t="n">
        <f aca="false">SUM(J116,L116,N116,P116,R116,T116,V116,X116,Z116,AB116,AD116,AF116,AH116,AJ116,AL116,AN116,AP116,AR116,AT116,AV116)</f>
        <v>6.9</v>
      </c>
      <c r="H116" s="169" t="n">
        <f aca="false">SUM(G116*1000)/54.5</f>
        <v>126.605504587156</v>
      </c>
      <c r="I116" s="170" t="s">
        <v>1190</v>
      </c>
      <c r="J116" s="171" t="n">
        <v>2.15</v>
      </c>
      <c r="K116" s="170" t="s">
        <v>1191</v>
      </c>
      <c r="L116" s="171" t="n">
        <v>2.35</v>
      </c>
      <c r="M116" s="170" t="s">
        <v>1192</v>
      </c>
      <c r="N116" s="171" t="n">
        <v>1.3</v>
      </c>
      <c r="O116" s="193" t="s">
        <v>1193</v>
      </c>
      <c r="P116" s="209" t="n">
        <v>0.8</v>
      </c>
      <c r="Q116" s="210" t="s">
        <v>1194</v>
      </c>
      <c r="R116" s="211" t="n">
        <v>0.3</v>
      </c>
      <c r="S116" s="179"/>
      <c r="T116" s="180"/>
      <c r="U116" s="170"/>
      <c r="V116" s="171"/>
      <c r="W116" s="170"/>
      <c r="X116" s="171"/>
      <c r="Y116" s="170"/>
      <c r="Z116" s="171"/>
      <c r="AA116" s="170"/>
      <c r="AB116" s="171"/>
      <c r="AC116" s="170"/>
      <c r="AD116" s="171"/>
      <c r="AE116" s="170"/>
      <c r="AF116" s="171"/>
      <c r="AG116" s="170"/>
      <c r="AH116" s="171"/>
      <c r="AI116" s="170"/>
      <c r="AJ116" s="171"/>
      <c r="AK116" s="170"/>
      <c r="AL116" s="171"/>
      <c r="AM116" s="170"/>
      <c r="AN116" s="171"/>
      <c r="AO116" s="170"/>
      <c r="AP116" s="171"/>
      <c r="AQ116" s="170"/>
      <c r="AR116" s="171"/>
      <c r="AS116" s="170"/>
      <c r="AT116" s="171"/>
      <c r="AU116" s="170"/>
      <c r="AV116" s="172" t="n">
        <f aca="false">IFERROR(VLOOKUP(A116,'Site check'!A:Q,14,0),0)</f>
        <v>0</v>
      </c>
    </row>
    <row r="117" customFormat="false" ht="13.15" hidden="false" customHeight="false" outlineLevel="0" collapsed="false">
      <c r="A117" s="32" t="s">
        <v>133</v>
      </c>
      <c r="B117" s="159"/>
      <c r="C117" s="176"/>
      <c r="D117" s="167"/>
      <c r="E117" s="167"/>
      <c r="F117" s="167"/>
      <c r="G117" s="168" t="n">
        <f aca="false">SUM(J117,L117,N117,P117,R117,T117,V117,X117,Z117,AB117,AD117,AF117,AH117,AJ117,AL117,AN117,AP117,AR117,AT117,AV117)</f>
        <v>6.9</v>
      </c>
      <c r="H117" s="169" t="n">
        <f aca="false">SUM(G117*1000)/54.5</f>
        <v>126.605504587156</v>
      </c>
      <c r="I117" s="170" t="s">
        <v>1190</v>
      </c>
      <c r="J117" s="171" t="n">
        <v>2.15</v>
      </c>
      <c r="K117" s="170" t="s">
        <v>1191</v>
      </c>
      <c r="L117" s="171" t="n">
        <v>2.35</v>
      </c>
      <c r="M117" s="170" t="s">
        <v>1192</v>
      </c>
      <c r="N117" s="171" t="n">
        <v>1.3</v>
      </c>
      <c r="O117" s="193" t="s">
        <v>1193</v>
      </c>
      <c r="P117" s="209" t="n">
        <v>0.8</v>
      </c>
      <c r="Q117" s="210" t="s">
        <v>1194</v>
      </c>
      <c r="R117" s="211" t="n">
        <v>0.3</v>
      </c>
      <c r="S117" s="179"/>
      <c r="T117" s="180"/>
      <c r="U117" s="170"/>
      <c r="V117" s="171"/>
      <c r="W117" s="170"/>
      <c r="X117" s="171"/>
      <c r="Y117" s="170"/>
      <c r="Z117" s="171"/>
      <c r="AA117" s="170"/>
      <c r="AB117" s="171"/>
      <c r="AC117" s="170"/>
      <c r="AD117" s="171"/>
      <c r="AE117" s="170"/>
      <c r="AF117" s="171"/>
      <c r="AG117" s="170"/>
      <c r="AH117" s="171"/>
      <c r="AI117" s="170"/>
      <c r="AJ117" s="171"/>
      <c r="AK117" s="170"/>
      <c r="AL117" s="171"/>
      <c r="AM117" s="170"/>
      <c r="AN117" s="171"/>
      <c r="AO117" s="170"/>
      <c r="AP117" s="171"/>
      <c r="AQ117" s="170"/>
      <c r="AR117" s="171"/>
      <c r="AS117" s="170"/>
      <c r="AT117" s="171"/>
      <c r="AU117" s="170"/>
      <c r="AV117" s="172" t="n">
        <f aca="false">IFERROR(VLOOKUP(A117,'Site check'!A:Q,14,0),0)</f>
        <v>0</v>
      </c>
    </row>
    <row r="118" customFormat="false" ht="34.9" hidden="false" customHeight="false" outlineLevel="0" collapsed="false">
      <c r="A118" s="33" t="s">
        <v>134</v>
      </c>
      <c r="B118" s="184" t="s">
        <v>17</v>
      </c>
      <c r="C118" s="176" t="s">
        <v>18</v>
      </c>
      <c r="D118" s="176" t="s">
        <v>19</v>
      </c>
      <c r="E118" s="167"/>
      <c r="F118" s="176" t="s">
        <v>958</v>
      </c>
      <c r="G118" s="168" t="n">
        <f aca="false">SUM(J118,L118,N118,P118,R118,T118,V118,X118,Z118,AB118,AD118,AF118,AH118,AJ118,AL118,AN118,AP118,AR118,AT118,AV118)</f>
        <v>12.75</v>
      </c>
      <c r="H118" s="169" t="n">
        <f aca="false">SUM(G118*1000)/54.5</f>
        <v>233.94495412844</v>
      </c>
      <c r="I118" s="170" t="s">
        <v>1195</v>
      </c>
      <c r="J118" s="171" t="n">
        <v>0.75</v>
      </c>
      <c r="K118" s="181" t="s">
        <v>1196</v>
      </c>
      <c r="L118" s="175" t="n">
        <v>1.1</v>
      </c>
      <c r="M118" s="170" t="s">
        <v>1197</v>
      </c>
      <c r="N118" s="175" t="n">
        <v>1.45</v>
      </c>
      <c r="O118" s="173" t="s">
        <v>1198</v>
      </c>
      <c r="P118" s="174" t="n">
        <v>1.05</v>
      </c>
      <c r="Q118" s="186" t="s">
        <v>1199</v>
      </c>
      <c r="R118" s="192" t="n">
        <v>0.9</v>
      </c>
      <c r="S118" s="186" t="s">
        <v>1200</v>
      </c>
      <c r="T118" s="192" t="n">
        <v>0.75</v>
      </c>
      <c r="U118" s="177" t="s">
        <v>1201</v>
      </c>
      <c r="V118" s="178" t="n">
        <v>1.2</v>
      </c>
      <c r="W118" s="201" t="s">
        <v>1202</v>
      </c>
      <c r="X118" s="178" t="n">
        <v>0.65</v>
      </c>
      <c r="Y118" s="181" t="s">
        <v>1203</v>
      </c>
      <c r="Z118" s="175" t="n">
        <v>1.9</v>
      </c>
      <c r="AA118" s="181" t="s">
        <v>1204</v>
      </c>
      <c r="AB118" s="175" t="n">
        <v>2.2</v>
      </c>
      <c r="AC118" s="185" t="s">
        <v>1205</v>
      </c>
      <c r="AD118" s="180" t="n">
        <v>0.8</v>
      </c>
      <c r="AE118" s="170"/>
      <c r="AF118" s="171"/>
      <c r="AG118" s="170"/>
      <c r="AH118" s="171"/>
      <c r="AI118" s="170"/>
      <c r="AJ118" s="171"/>
      <c r="AK118" s="170"/>
      <c r="AL118" s="171"/>
      <c r="AM118" s="170"/>
      <c r="AN118" s="171"/>
      <c r="AO118" s="170"/>
      <c r="AP118" s="171"/>
      <c r="AQ118" s="170"/>
      <c r="AR118" s="171"/>
      <c r="AS118" s="170"/>
      <c r="AT118" s="171"/>
      <c r="AU118" s="170"/>
      <c r="AV118" s="172" t="n">
        <f aca="false">IFERROR(VLOOKUP(A118,'Site check'!A:Q,14,0),0)</f>
        <v>0</v>
      </c>
    </row>
    <row r="119" customFormat="false" ht="34.9" hidden="false" customHeight="false" outlineLevel="0" collapsed="false">
      <c r="A119" s="33" t="s">
        <v>135</v>
      </c>
      <c r="B119" s="167"/>
      <c r="C119" s="167"/>
      <c r="D119" s="167"/>
      <c r="E119" s="167"/>
      <c r="F119" s="167"/>
      <c r="G119" s="168" t="n">
        <f aca="false">SUM(J119,L119,N119,P119,R119,T119,V119,X119,Z119,AB119,AD119,AF119,AH119,AJ119,AL119,AN119,AP119,AR119,AT119,AV119)</f>
        <v>12.75</v>
      </c>
      <c r="H119" s="169" t="n">
        <f aca="false">SUM(G119*1000)/54.5</f>
        <v>233.94495412844</v>
      </c>
      <c r="I119" s="170" t="s">
        <v>1195</v>
      </c>
      <c r="J119" s="171" t="n">
        <v>0.75</v>
      </c>
      <c r="K119" s="181" t="s">
        <v>1196</v>
      </c>
      <c r="L119" s="175" t="n">
        <v>1.1</v>
      </c>
      <c r="M119" s="170" t="s">
        <v>1197</v>
      </c>
      <c r="N119" s="175" t="n">
        <v>1.45</v>
      </c>
      <c r="O119" s="173" t="s">
        <v>1198</v>
      </c>
      <c r="P119" s="174" t="n">
        <v>1.05</v>
      </c>
      <c r="Q119" s="186" t="s">
        <v>1199</v>
      </c>
      <c r="R119" s="192" t="n">
        <v>0.9</v>
      </c>
      <c r="S119" s="186" t="s">
        <v>1206</v>
      </c>
      <c r="T119" s="192" t="n">
        <v>0.75</v>
      </c>
      <c r="U119" s="177" t="s">
        <v>1201</v>
      </c>
      <c r="V119" s="178" t="n">
        <v>1.2</v>
      </c>
      <c r="W119" s="201" t="s">
        <v>1202</v>
      </c>
      <c r="X119" s="178" t="n">
        <v>0.65</v>
      </c>
      <c r="Y119" s="181" t="s">
        <v>1203</v>
      </c>
      <c r="Z119" s="175" t="n">
        <v>1.9</v>
      </c>
      <c r="AA119" s="181" t="s">
        <v>1204</v>
      </c>
      <c r="AB119" s="175" t="n">
        <v>2.2</v>
      </c>
      <c r="AC119" s="185" t="s">
        <v>1205</v>
      </c>
      <c r="AD119" s="180" t="n">
        <v>0.8</v>
      </c>
      <c r="AE119" s="170"/>
      <c r="AF119" s="171"/>
      <c r="AG119" s="170"/>
      <c r="AH119" s="171"/>
      <c r="AI119" s="170"/>
      <c r="AJ119" s="171"/>
      <c r="AK119" s="170"/>
      <c r="AL119" s="171"/>
      <c r="AM119" s="170"/>
      <c r="AN119" s="171"/>
      <c r="AO119" s="170"/>
      <c r="AP119" s="171"/>
      <c r="AQ119" s="170"/>
      <c r="AR119" s="171"/>
      <c r="AS119" s="170"/>
      <c r="AT119" s="171"/>
      <c r="AU119" s="170"/>
      <c r="AV119" s="172" t="n">
        <f aca="false">IFERROR(VLOOKUP(A119,'Site check'!A:Q,14,0),0)</f>
        <v>0</v>
      </c>
    </row>
    <row r="120" customFormat="false" ht="13.15" hidden="false" customHeight="false" outlineLevel="0" collapsed="false">
      <c r="A120" s="20" t="s">
        <v>136</v>
      </c>
      <c r="B120" s="159"/>
      <c r="C120" s="176" t="s">
        <v>18</v>
      </c>
      <c r="D120" s="167"/>
      <c r="E120" s="167"/>
      <c r="F120" s="167"/>
      <c r="G120" s="168" t="n">
        <f aca="false">SUM(J120,L120,N120,P120,R120,T120,V120,X120,Z120,AB120,AD120,AF120,AH120,AJ120,AL120,AN120,AP120,AR120,AT120,AV120)</f>
        <v>4.4</v>
      </c>
      <c r="H120" s="169" t="n">
        <f aca="false">SUM(G120*1000)/54.5</f>
        <v>80.7339449541285</v>
      </c>
      <c r="I120" s="170" t="s">
        <v>1207</v>
      </c>
      <c r="J120" s="171" t="n">
        <v>2.4</v>
      </c>
      <c r="K120" s="193" t="s">
        <v>1208</v>
      </c>
      <c r="L120" s="192" t="n">
        <v>2</v>
      </c>
      <c r="M120" s="173"/>
      <c r="N120" s="174"/>
      <c r="O120" s="170"/>
      <c r="P120" s="171"/>
      <c r="Q120" s="170"/>
      <c r="R120" s="171"/>
      <c r="S120" s="170"/>
      <c r="T120" s="171"/>
      <c r="U120" s="170"/>
      <c r="V120" s="171"/>
      <c r="W120" s="170"/>
      <c r="X120" s="171"/>
      <c r="Y120" s="170"/>
      <c r="Z120" s="171"/>
      <c r="AA120" s="170"/>
      <c r="AB120" s="171"/>
      <c r="AC120" s="170"/>
      <c r="AD120" s="171"/>
      <c r="AE120" s="170"/>
      <c r="AF120" s="171"/>
      <c r="AG120" s="170"/>
      <c r="AH120" s="171"/>
      <c r="AI120" s="170"/>
      <c r="AJ120" s="171"/>
      <c r="AK120" s="170"/>
      <c r="AL120" s="171"/>
      <c r="AM120" s="170"/>
      <c r="AN120" s="171"/>
      <c r="AO120" s="170"/>
      <c r="AP120" s="171"/>
      <c r="AQ120" s="170"/>
      <c r="AR120" s="171"/>
      <c r="AS120" s="170"/>
      <c r="AT120" s="171"/>
      <c r="AU120" s="170"/>
      <c r="AV120" s="172" t="n">
        <f aca="false">IFERROR(VLOOKUP(A120,'Site check'!A:Q,14,0),0)</f>
        <v>0</v>
      </c>
    </row>
    <row r="121" customFormat="false" ht="13.15" hidden="false" customHeight="false" outlineLevel="0" collapsed="false">
      <c r="A121" s="20" t="s">
        <v>137</v>
      </c>
      <c r="B121" s="159"/>
      <c r="C121" s="167"/>
      <c r="D121" s="167"/>
      <c r="E121" s="167"/>
      <c r="F121" s="167"/>
      <c r="G121" s="168" t="n">
        <f aca="false">SUM(J121,L121,N121,P121,R121,T121,V121,X121,Z121,AB121,AD121,AF121,AH121,AJ121,AL121,AN121,AP121,AR121,AT121,AV121)</f>
        <v>3</v>
      </c>
      <c r="H121" s="169" t="n">
        <f aca="false">SUM(G121*1000)/54.5</f>
        <v>55.045871559633</v>
      </c>
      <c r="I121" s="186" t="s">
        <v>1209</v>
      </c>
      <c r="J121" s="192" t="n">
        <v>2</v>
      </c>
      <c r="K121" s="179" t="s">
        <v>1210</v>
      </c>
      <c r="L121" s="180" t="n">
        <v>1</v>
      </c>
      <c r="M121" s="173"/>
      <c r="N121" s="174"/>
      <c r="O121" s="170"/>
      <c r="P121" s="171"/>
      <c r="Q121" s="170"/>
      <c r="R121" s="171"/>
      <c r="S121" s="170"/>
      <c r="T121" s="171"/>
      <c r="U121" s="170"/>
      <c r="V121" s="171"/>
      <c r="W121" s="170"/>
      <c r="X121" s="171"/>
      <c r="Y121" s="170"/>
      <c r="Z121" s="171"/>
      <c r="AA121" s="170"/>
      <c r="AB121" s="171"/>
      <c r="AC121" s="170"/>
      <c r="AD121" s="171"/>
      <c r="AE121" s="170"/>
      <c r="AF121" s="171"/>
      <c r="AG121" s="170"/>
      <c r="AH121" s="171"/>
      <c r="AI121" s="170"/>
      <c r="AJ121" s="171"/>
      <c r="AK121" s="170"/>
      <c r="AL121" s="171"/>
      <c r="AM121" s="170"/>
      <c r="AN121" s="171"/>
      <c r="AO121" s="170"/>
      <c r="AP121" s="171"/>
      <c r="AQ121" s="170"/>
      <c r="AR121" s="171"/>
      <c r="AS121" s="170"/>
      <c r="AT121" s="171"/>
      <c r="AU121" s="170"/>
      <c r="AV121" s="172" t="n">
        <f aca="false">IFERROR(VLOOKUP(A121,'Site check'!A:Q,14,0),0)</f>
        <v>0</v>
      </c>
    </row>
    <row r="122" customFormat="false" ht="13.15" hidden="false" customHeight="false" outlineLevel="0" collapsed="false">
      <c r="A122" s="20" t="s">
        <v>138</v>
      </c>
      <c r="B122" s="159"/>
      <c r="C122" s="167"/>
      <c r="D122" s="167"/>
      <c r="E122" s="167"/>
      <c r="F122" s="167"/>
      <c r="G122" s="168" t="n">
        <f aca="false">SUM(J122,L122,N122,P122,R122,T122,V122,X122,Z122,AB122,AD122,AF122,AH122,AJ122,AL122,AN122,AP122,AR122,AT122,AV122)</f>
        <v>2.7</v>
      </c>
      <c r="H122" s="169" t="n">
        <f aca="false">SUM(G122*1000)/54.5</f>
        <v>49.5412844036697</v>
      </c>
      <c r="I122" s="173" t="s">
        <v>1211</v>
      </c>
      <c r="J122" s="174" t="n">
        <v>0.5</v>
      </c>
      <c r="K122" s="170" t="s">
        <v>1212</v>
      </c>
      <c r="L122" s="171" t="n">
        <v>2.2</v>
      </c>
      <c r="M122" s="170"/>
      <c r="N122" s="171"/>
      <c r="O122" s="170"/>
      <c r="P122" s="171"/>
      <c r="Q122" s="170"/>
      <c r="R122" s="171"/>
      <c r="S122" s="170"/>
      <c r="T122" s="171"/>
      <c r="U122" s="170"/>
      <c r="V122" s="171"/>
      <c r="W122" s="170"/>
      <c r="X122" s="171"/>
      <c r="Y122" s="170"/>
      <c r="Z122" s="171"/>
      <c r="AA122" s="170"/>
      <c r="AB122" s="171"/>
      <c r="AC122" s="170"/>
      <c r="AD122" s="171"/>
      <c r="AE122" s="170"/>
      <c r="AF122" s="171"/>
      <c r="AG122" s="170"/>
      <c r="AH122" s="171"/>
      <c r="AI122" s="170"/>
      <c r="AJ122" s="171"/>
      <c r="AK122" s="170"/>
      <c r="AL122" s="171"/>
      <c r="AM122" s="170"/>
      <c r="AN122" s="171"/>
      <c r="AO122" s="170"/>
      <c r="AP122" s="171"/>
      <c r="AQ122" s="170"/>
      <c r="AR122" s="171"/>
      <c r="AS122" s="170"/>
      <c r="AT122" s="171"/>
      <c r="AU122" s="170"/>
      <c r="AV122" s="172" t="n">
        <f aca="false">IFERROR(VLOOKUP(A122,'Site check'!A:Q,14,0),0)</f>
        <v>0</v>
      </c>
    </row>
    <row r="123" customFormat="false" ht="13.15" hidden="false" customHeight="false" outlineLevel="0" collapsed="false">
      <c r="A123" s="20" t="s">
        <v>139</v>
      </c>
      <c r="B123" s="159"/>
      <c r="C123" s="167"/>
      <c r="D123" s="167"/>
      <c r="E123" s="167"/>
      <c r="F123" s="167"/>
      <c r="G123" s="168" t="n">
        <f aca="false">SUM(J123,L123,N123,P123,R123,T123,V123,X123,Z123,AB123,AD123,AF123,AH123,AJ123,AL123,AN123,AP123,AR123,AT123,AV123)</f>
        <v>0.5</v>
      </c>
      <c r="H123" s="169" t="n">
        <f aca="false">SUM(G123*1000)/54.5</f>
        <v>9.1743119266055</v>
      </c>
      <c r="I123" s="173" t="s">
        <v>1213</v>
      </c>
      <c r="J123" s="174" t="n">
        <v>0.5</v>
      </c>
      <c r="K123" s="170"/>
      <c r="L123" s="171"/>
      <c r="M123" s="170"/>
      <c r="N123" s="171"/>
      <c r="O123" s="170"/>
      <c r="P123" s="171"/>
      <c r="Q123" s="170"/>
      <c r="R123" s="171"/>
      <c r="S123" s="170"/>
      <c r="T123" s="171"/>
      <c r="U123" s="170"/>
      <c r="V123" s="171"/>
      <c r="W123" s="170"/>
      <c r="X123" s="171"/>
      <c r="Y123" s="170"/>
      <c r="Z123" s="171"/>
      <c r="AA123" s="170"/>
      <c r="AB123" s="171"/>
      <c r="AC123" s="170"/>
      <c r="AD123" s="171"/>
      <c r="AE123" s="170"/>
      <c r="AF123" s="171"/>
      <c r="AG123" s="170"/>
      <c r="AH123" s="171"/>
      <c r="AI123" s="170"/>
      <c r="AJ123" s="171"/>
      <c r="AK123" s="170"/>
      <c r="AL123" s="171"/>
      <c r="AM123" s="170"/>
      <c r="AN123" s="171"/>
      <c r="AO123" s="170"/>
      <c r="AP123" s="171"/>
      <c r="AQ123" s="170"/>
      <c r="AR123" s="171"/>
      <c r="AS123" s="170"/>
      <c r="AT123" s="171"/>
      <c r="AU123" s="170"/>
      <c r="AV123" s="172" t="n">
        <f aca="false">IFERROR(VLOOKUP(A123,'Site check'!A:Q,14,0),0)</f>
        <v>0</v>
      </c>
    </row>
    <row r="124" customFormat="false" ht="13.15" hidden="false" customHeight="false" outlineLevel="0" collapsed="false">
      <c r="A124" s="20" t="s">
        <v>140</v>
      </c>
      <c r="B124" s="159"/>
      <c r="C124" s="167"/>
      <c r="D124" s="167"/>
      <c r="E124" s="167"/>
      <c r="F124" s="167"/>
      <c r="G124" s="168" t="n">
        <f aca="false">SUM(J124,L124,N124,P124,R124,T124,V124,X124,Z124,AB124,AD124,AF124,AH124,AJ124,AL124,AN124,AP124,AR124,AT124,AV124)</f>
        <v>2</v>
      </c>
      <c r="H124" s="169" t="n">
        <f aca="false">SUM(G124*1000)/54.5</f>
        <v>36.697247706422</v>
      </c>
      <c r="I124" s="173" t="s">
        <v>1214</v>
      </c>
      <c r="J124" s="174" t="n">
        <v>1</v>
      </c>
      <c r="K124" s="179" t="s">
        <v>1215</v>
      </c>
      <c r="L124" s="180" t="n">
        <v>1</v>
      </c>
      <c r="M124" s="170"/>
      <c r="N124" s="171"/>
      <c r="O124" s="170"/>
      <c r="P124" s="171"/>
      <c r="Q124" s="170"/>
      <c r="R124" s="171"/>
      <c r="S124" s="170"/>
      <c r="T124" s="171"/>
      <c r="U124" s="170"/>
      <c r="V124" s="171"/>
      <c r="W124" s="170"/>
      <c r="X124" s="171"/>
      <c r="Y124" s="170"/>
      <c r="Z124" s="171"/>
      <c r="AA124" s="170"/>
      <c r="AB124" s="171"/>
      <c r="AC124" s="170"/>
      <c r="AD124" s="171"/>
      <c r="AE124" s="170"/>
      <c r="AF124" s="171"/>
      <c r="AG124" s="170"/>
      <c r="AH124" s="171"/>
      <c r="AI124" s="170"/>
      <c r="AJ124" s="171"/>
      <c r="AK124" s="170"/>
      <c r="AL124" s="171"/>
      <c r="AM124" s="170"/>
      <c r="AN124" s="171"/>
      <c r="AO124" s="170"/>
      <c r="AP124" s="171"/>
      <c r="AQ124" s="170"/>
      <c r="AR124" s="171"/>
      <c r="AS124" s="170"/>
      <c r="AT124" s="171"/>
      <c r="AU124" s="170"/>
      <c r="AV124" s="172" t="n">
        <f aca="false">IFERROR(VLOOKUP(A124,'Site check'!A:Q,14,0),0)</f>
        <v>0</v>
      </c>
    </row>
    <row r="125" customFormat="false" ht="13.15" hidden="false" customHeight="false" outlineLevel="0" collapsed="false">
      <c r="A125" s="20" t="s">
        <v>141</v>
      </c>
      <c r="B125" s="159"/>
      <c r="C125" s="167"/>
      <c r="D125" s="167"/>
      <c r="E125" s="167"/>
      <c r="F125" s="167"/>
      <c r="G125" s="168" t="n">
        <f aca="false">SUM(J125,L125,N125,P125,R125,T125,V125,X125,Z125,AB125,AD125,AF125,AH125,AJ125,AL125,AN125,AP125,AR125,AT125,AV125)</f>
        <v>0</v>
      </c>
      <c r="H125" s="169" t="n">
        <f aca="false">SUM(G125*1000)/54.5</f>
        <v>0</v>
      </c>
      <c r="I125" s="173"/>
      <c r="J125" s="174"/>
      <c r="K125" s="170"/>
      <c r="L125" s="171"/>
      <c r="M125" s="170"/>
      <c r="N125" s="171"/>
      <c r="O125" s="170"/>
      <c r="P125" s="171"/>
      <c r="Q125" s="170"/>
      <c r="R125" s="171"/>
      <c r="S125" s="170"/>
      <c r="T125" s="171"/>
      <c r="U125" s="170"/>
      <c r="V125" s="171"/>
      <c r="W125" s="170"/>
      <c r="X125" s="171"/>
      <c r="Y125" s="170"/>
      <c r="Z125" s="171"/>
      <c r="AA125" s="170"/>
      <c r="AB125" s="171"/>
      <c r="AC125" s="170"/>
      <c r="AD125" s="171"/>
      <c r="AE125" s="170"/>
      <c r="AF125" s="171"/>
      <c r="AG125" s="170"/>
      <c r="AH125" s="171"/>
      <c r="AI125" s="170"/>
      <c r="AJ125" s="171"/>
      <c r="AK125" s="170"/>
      <c r="AL125" s="171"/>
      <c r="AM125" s="170"/>
      <c r="AN125" s="171"/>
      <c r="AO125" s="170"/>
      <c r="AP125" s="171"/>
      <c r="AQ125" s="170"/>
      <c r="AR125" s="171"/>
      <c r="AS125" s="170"/>
      <c r="AT125" s="171"/>
      <c r="AU125" s="170"/>
      <c r="AV125" s="172" t="n">
        <f aca="false">IFERROR(VLOOKUP(A125,'Site check'!A:Q,14,0),0)</f>
        <v>0</v>
      </c>
    </row>
    <row r="126" customFormat="false" ht="13.15" hidden="false" customHeight="false" outlineLevel="0" collapsed="false">
      <c r="A126" s="20" t="s">
        <v>142</v>
      </c>
      <c r="B126" s="159"/>
      <c r="C126" s="167"/>
      <c r="D126" s="167"/>
      <c r="E126" s="167"/>
      <c r="F126" s="167"/>
      <c r="G126" s="168" t="n">
        <f aca="false">SUM(J126,L126,N126,P126,R126,T126,V126,X126,Z126,AB126,AD126,AF126,AH126,AJ126,AL126,AN126,AP126,AR126,AT126,AV126)</f>
        <v>0</v>
      </c>
      <c r="H126" s="169" t="n">
        <f aca="false">SUM(G126*1000)/54.5</f>
        <v>0</v>
      </c>
      <c r="I126" s="173"/>
      <c r="J126" s="174"/>
      <c r="K126" s="170"/>
      <c r="L126" s="171"/>
      <c r="M126" s="170"/>
      <c r="N126" s="171"/>
      <c r="O126" s="170"/>
      <c r="P126" s="171"/>
      <c r="Q126" s="170"/>
      <c r="R126" s="171"/>
      <c r="S126" s="170"/>
      <c r="T126" s="171"/>
      <c r="U126" s="170"/>
      <c r="V126" s="171"/>
      <c r="W126" s="170"/>
      <c r="X126" s="171"/>
      <c r="Y126" s="170"/>
      <c r="Z126" s="171"/>
      <c r="AA126" s="170"/>
      <c r="AB126" s="171"/>
      <c r="AC126" s="170"/>
      <c r="AD126" s="171"/>
      <c r="AE126" s="170"/>
      <c r="AF126" s="171"/>
      <c r="AG126" s="170"/>
      <c r="AH126" s="171"/>
      <c r="AI126" s="170"/>
      <c r="AJ126" s="171"/>
      <c r="AK126" s="170"/>
      <c r="AL126" s="171"/>
      <c r="AM126" s="170"/>
      <c r="AN126" s="171"/>
      <c r="AO126" s="170"/>
      <c r="AP126" s="171"/>
      <c r="AQ126" s="170"/>
      <c r="AR126" s="171"/>
      <c r="AS126" s="170"/>
      <c r="AT126" s="171"/>
      <c r="AU126" s="170"/>
      <c r="AV126" s="172" t="n">
        <f aca="false">IFERROR(VLOOKUP(A126,'Site check'!A:Q,14,0),0)</f>
        <v>0</v>
      </c>
    </row>
    <row r="127" customFormat="false" ht="13.15" hidden="false" customHeight="false" outlineLevel="0" collapsed="false">
      <c r="A127" s="20" t="s">
        <v>143</v>
      </c>
      <c r="B127" s="159"/>
      <c r="C127" s="167"/>
      <c r="D127" s="167"/>
      <c r="E127" s="167"/>
      <c r="F127" s="167"/>
      <c r="G127" s="168" t="n">
        <f aca="false">SUM(J127,L127,N127,P127,R127,T127,V127,X127,Z127,AB127,AD127,AF127,AH127,AJ127,AL127,AN127,AP127,AR127,AT127,AV127)</f>
        <v>1</v>
      </c>
      <c r="H127" s="169" t="n">
        <f aca="false">SUM(G127*1000)/54.5</f>
        <v>18.348623853211</v>
      </c>
      <c r="I127" s="186" t="s">
        <v>1216</v>
      </c>
      <c r="J127" s="192" t="n">
        <v>1</v>
      </c>
      <c r="K127" s="170"/>
      <c r="L127" s="171"/>
      <c r="M127" s="170"/>
      <c r="N127" s="171"/>
      <c r="O127" s="170"/>
      <c r="P127" s="171"/>
      <c r="Q127" s="170"/>
      <c r="R127" s="171"/>
      <c r="S127" s="170"/>
      <c r="T127" s="171"/>
      <c r="U127" s="170"/>
      <c r="V127" s="171"/>
      <c r="W127" s="170"/>
      <c r="X127" s="171"/>
      <c r="Y127" s="170"/>
      <c r="Z127" s="171"/>
      <c r="AA127" s="170"/>
      <c r="AB127" s="171"/>
      <c r="AC127" s="170"/>
      <c r="AD127" s="171"/>
      <c r="AE127" s="170"/>
      <c r="AF127" s="171"/>
      <c r="AG127" s="170"/>
      <c r="AH127" s="171"/>
      <c r="AI127" s="170"/>
      <c r="AJ127" s="171"/>
      <c r="AK127" s="170"/>
      <c r="AL127" s="171"/>
      <c r="AM127" s="170"/>
      <c r="AN127" s="171"/>
      <c r="AO127" s="170"/>
      <c r="AP127" s="171"/>
      <c r="AQ127" s="170"/>
      <c r="AR127" s="171"/>
      <c r="AS127" s="170"/>
      <c r="AT127" s="171"/>
      <c r="AU127" s="170"/>
      <c r="AV127" s="172" t="n">
        <f aca="false">IFERROR(VLOOKUP(A127,'Site check'!A:Q,14,0),0)</f>
        <v>0</v>
      </c>
    </row>
    <row r="128" customFormat="false" ht="13.15" hidden="false" customHeight="false" outlineLevel="0" collapsed="false">
      <c r="A128" s="20" t="s">
        <v>144</v>
      </c>
      <c r="B128" s="159"/>
      <c r="C128" s="176" t="s">
        <v>18</v>
      </c>
      <c r="D128" s="167"/>
      <c r="E128" s="167"/>
      <c r="F128" s="167"/>
      <c r="G128" s="168" t="n">
        <f aca="false">SUM(J128,L128,N128,P128,R128,T128,V128,X128,Z128,AB128,AD128,AF128,AH128,AJ128,AL128,AN128,AP128,AR128,AT128,AV128)</f>
        <v>10.1</v>
      </c>
      <c r="H128" s="169" t="n">
        <f aca="false">SUM(G128*1000)/54.5</f>
        <v>185.321100917431</v>
      </c>
      <c r="I128" s="173" t="s">
        <v>1217</v>
      </c>
      <c r="J128" s="174" t="n">
        <v>2.4</v>
      </c>
      <c r="K128" s="170" t="s">
        <v>1218</v>
      </c>
      <c r="L128" s="171" t="n">
        <v>2</v>
      </c>
      <c r="M128" s="193" t="s">
        <v>1219</v>
      </c>
      <c r="N128" s="192" t="n">
        <v>1</v>
      </c>
      <c r="O128" s="212" t="s">
        <v>1220</v>
      </c>
      <c r="P128" s="205" t="n">
        <v>0.5</v>
      </c>
      <c r="Q128" s="181" t="s">
        <v>1221</v>
      </c>
      <c r="R128" s="175" t="n">
        <v>4.2</v>
      </c>
      <c r="S128" s="212" t="s">
        <v>1220</v>
      </c>
      <c r="T128" s="171"/>
      <c r="U128" s="170"/>
      <c r="V128" s="171"/>
      <c r="W128" s="170"/>
      <c r="X128" s="171"/>
      <c r="Y128" s="170"/>
      <c r="Z128" s="171"/>
      <c r="AA128" s="170"/>
      <c r="AB128" s="171"/>
      <c r="AC128" s="170"/>
      <c r="AD128" s="171"/>
      <c r="AE128" s="170"/>
      <c r="AF128" s="171"/>
      <c r="AG128" s="170"/>
      <c r="AH128" s="171"/>
      <c r="AI128" s="170"/>
      <c r="AJ128" s="171"/>
      <c r="AK128" s="170"/>
      <c r="AL128" s="171"/>
      <c r="AM128" s="170"/>
      <c r="AN128" s="171"/>
      <c r="AO128" s="170"/>
      <c r="AP128" s="171"/>
      <c r="AQ128" s="170"/>
      <c r="AR128" s="171"/>
      <c r="AS128" s="170"/>
      <c r="AT128" s="171"/>
      <c r="AU128" s="170"/>
      <c r="AV128" s="172" t="n">
        <f aca="false">IFERROR(VLOOKUP(A128,'Site check'!A:Q,14,0),0)</f>
        <v>0</v>
      </c>
    </row>
    <row r="129" customFormat="false" ht="13.15" hidden="false" customHeight="false" outlineLevel="0" collapsed="false">
      <c r="A129" s="20" t="s">
        <v>145</v>
      </c>
      <c r="B129" s="159"/>
      <c r="C129" s="167"/>
      <c r="D129" s="167"/>
      <c r="E129" s="167"/>
      <c r="F129" s="167"/>
      <c r="G129" s="168" t="n">
        <f aca="false">SUM(J129,L129,N129,P129,R129,T129,V129,X129,Z129,AB129,AD129,AF129,AH129,AJ129,AL129,AN129,AP129,AR129,AT129,AV129)</f>
        <v>1</v>
      </c>
      <c r="H129" s="169" t="n">
        <f aca="false">SUM(G129*1000)/54.5</f>
        <v>18.348623853211</v>
      </c>
      <c r="I129" s="173" t="s">
        <v>1222</v>
      </c>
      <c r="J129" s="174" t="n">
        <v>1</v>
      </c>
      <c r="K129" s="170"/>
      <c r="L129" s="171"/>
      <c r="M129" s="173"/>
      <c r="N129" s="174"/>
      <c r="O129" s="170"/>
      <c r="P129" s="171"/>
      <c r="Q129" s="170"/>
      <c r="R129" s="171"/>
      <c r="S129" s="170"/>
      <c r="T129" s="171"/>
      <c r="U129" s="170"/>
      <c r="V129" s="171"/>
      <c r="W129" s="170"/>
      <c r="X129" s="171"/>
      <c r="Y129" s="170"/>
      <c r="Z129" s="171"/>
      <c r="AA129" s="170"/>
      <c r="AB129" s="171"/>
      <c r="AC129" s="170"/>
      <c r="AD129" s="171"/>
      <c r="AE129" s="170"/>
      <c r="AF129" s="171"/>
      <c r="AG129" s="170"/>
      <c r="AH129" s="171"/>
      <c r="AI129" s="170"/>
      <c r="AJ129" s="171"/>
      <c r="AK129" s="170"/>
      <c r="AL129" s="171"/>
      <c r="AM129" s="170"/>
      <c r="AN129" s="171"/>
      <c r="AO129" s="170"/>
      <c r="AP129" s="171"/>
      <c r="AQ129" s="170"/>
      <c r="AR129" s="171"/>
      <c r="AS129" s="170"/>
      <c r="AT129" s="171"/>
      <c r="AU129" s="170"/>
      <c r="AV129" s="172" t="n">
        <f aca="false">IFERROR(VLOOKUP(A129,'Site check'!A:Q,14,0),0)</f>
        <v>0</v>
      </c>
    </row>
    <row r="130" customFormat="false" ht="13.15" hidden="false" customHeight="false" outlineLevel="0" collapsed="false">
      <c r="A130" s="20" t="s">
        <v>146</v>
      </c>
      <c r="B130" s="159"/>
      <c r="C130" s="176" t="s">
        <v>18</v>
      </c>
      <c r="D130" s="167"/>
      <c r="E130" s="167"/>
      <c r="F130" s="167"/>
      <c r="G130" s="168" t="n">
        <f aca="false">SUM(J130,L130,N130,P130,R130,T130,V130,X130,Z130,AB130,AD130,AF130,AH130,AJ130,AL130,AN130,AP130,AR130,AT130,AV130)</f>
        <v>4.4</v>
      </c>
      <c r="H130" s="169" t="n">
        <f aca="false">SUM(G130*1000)/54.5</f>
        <v>80.7339449541285</v>
      </c>
      <c r="I130" s="173" t="s">
        <v>1223</v>
      </c>
      <c r="J130" s="174" t="n">
        <v>2.4</v>
      </c>
      <c r="K130" s="170" t="s">
        <v>1224</v>
      </c>
      <c r="L130" s="171" t="n">
        <v>1</v>
      </c>
      <c r="M130" s="193" t="s">
        <v>1225</v>
      </c>
      <c r="N130" s="192" t="n">
        <v>1</v>
      </c>
      <c r="O130" s="170"/>
      <c r="P130" s="171"/>
      <c r="Q130" s="170"/>
      <c r="R130" s="171"/>
      <c r="S130" s="170"/>
      <c r="T130" s="171"/>
      <c r="U130" s="170"/>
      <c r="V130" s="171"/>
      <c r="W130" s="170"/>
      <c r="X130" s="171"/>
      <c r="Y130" s="170"/>
      <c r="Z130" s="171"/>
      <c r="AA130" s="170"/>
      <c r="AB130" s="171"/>
      <c r="AC130" s="170"/>
      <c r="AD130" s="171"/>
      <c r="AE130" s="170"/>
      <c r="AF130" s="171"/>
      <c r="AG130" s="170"/>
      <c r="AH130" s="171"/>
      <c r="AI130" s="170"/>
      <c r="AJ130" s="171"/>
      <c r="AK130" s="170"/>
      <c r="AL130" s="171"/>
      <c r="AM130" s="170"/>
      <c r="AN130" s="171"/>
      <c r="AO130" s="170"/>
      <c r="AP130" s="171"/>
      <c r="AQ130" s="170"/>
      <c r="AR130" s="171"/>
      <c r="AS130" s="170"/>
      <c r="AT130" s="171"/>
      <c r="AU130" s="170"/>
      <c r="AV130" s="172" t="n">
        <f aca="false">IFERROR(VLOOKUP(A130,'Site check'!A:Q,14,0),0)</f>
        <v>0</v>
      </c>
    </row>
    <row r="131" customFormat="false" ht="13.15" hidden="false" customHeight="false" outlineLevel="0" collapsed="false">
      <c r="A131" s="20" t="s">
        <v>147</v>
      </c>
      <c r="B131" s="159"/>
      <c r="C131" s="176" t="s">
        <v>18</v>
      </c>
      <c r="D131" s="167"/>
      <c r="E131" s="167"/>
      <c r="F131" s="167"/>
      <c r="G131" s="168" t="n">
        <f aca="false">SUM(J131,L131,N131,P131,R131,T131,V131,X131,Z131,AB131,AD131,AF131,AH131,AJ131,AL131,AN131,AP131,AR131,AT131,AV131)</f>
        <v>8.6</v>
      </c>
      <c r="H131" s="169" t="n">
        <f aca="false">SUM(G131*1000)/54.5</f>
        <v>157.798165137615</v>
      </c>
      <c r="I131" s="173" t="s">
        <v>1226</v>
      </c>
      <c r="J131" s="174" t="n">
        <v>2.4</v>
      </c>
      <c r="K131" s="181" t="s">
        <v>1227</v>
      </c>
      <c r="L131" s="175" t="n">
        <v>4</v>
      </c>
      <c r="M131" s="179" t="s">
        <v>1228</v>
      </c>
      <c r="N131" s="180" t="n">
        <v>2.2</v>
      </c>
      <c r="O131" s="170"/>
      <c r="P131" s="171"/>
      <c r="Q131" s="170"/>
      <c r="R131" s="171"/>
      <c r="S131" s="170"/>
      <c r="T131" s="171"/>
      <c r="U131" s="170"/>
      <c r="V131" s="171"/>
      <c r="W131" s="170"/>
      <c r="X131" s="171"/>
      <c r="Y131" s="170"/>
      <c r="Z131" s="171"/>
      <c r="AA131" s="170"/>
      <c r="AB131" s="171"/>
      <c r="AC131" s="170"/>
      <c r="AD131" s="171"/>
      <c r="AE131" s="170"/>
      <c r="AF131" s="171"/>
      <c r="AG131" s="170"/>
      <c r="AH131" s="171"/>
      <c r="AI131" s="170"/>
      <c r="AJ131" s="171"/>
      <c r="AK131" s="170"/>
      <c r="AL131" s="171"/>
      <c r="AM131" s="170"/>
      <c r="AN131" s="171"/>
      <c r="AO131" s="170"/>
      <c r="AP131" s="171"/>
      <c r="AQ131" s="170"/>
      <c r="AR131" s="171"/>
      <c r="AS131" s="170"/>
      <c r="AT131" s="171"/>
      <c r="AU131" s="170"/>
      <c r="AV131" s="172" t="n">
        <f aca="false">IFERROR(VLOOKUP(A131,'Site check'!A:Q,14,0),0)</f>
        <v>0</v>
      </c>
    </row>
    <row r="132" customFormat="false" ht="13.15" hidden="false" customHeight="false" outlineLevel="0" collapsed="false">
      <c r="A132" s="20" t="s">
        <v>148</v>
      </c>
      <c r="B132" s="159"/>
      <c r="C132" s="167"/>
      <c r="D132" s="167"/>
      <c r="E132" s="167"/>
      <c r="F132" s="167"/>
      <c r="G132" s="168" t="n">
        <f aca="false">SUM(J132,L132,N132,P132,R132,T132,V132,X132,Z132,AB132,AD132,AF132,AH132,AJ132,AL132,AN132,AP132,AR132,AT132,AV132)</f>
        <v>4</v>
      </c>
      <c r="H132" s="169" t="n">
        <f aca="false">SUM(G132*1000)/54.5</f>
        <v>73.394495412844</v>
      </c>
      <c r="I132" s="179" t="s">
        <v>1229</v>
      </c>
      <c r="J132" s="180" t="n">
        <v>4</v>
      </c>
      <c r="K132" s="170"/>
      <c r="L132" s="171"/>
      <c r="M132" s="170"/>
      <c r="N132" s="171"/>
      <c r="O132" s="170"/>
      <c r="P132" s="171"/>
      <c r="Q132" s="170"/>
      <c r="R132" s="171"/>
      <c r="S132" s="170"/>
      <c r="T132" s="171"/>
      <c r="U132" s="170"/>
      <c r="V132" s="171"/>
      <c r="W132" s="170"/>
      <c r="X132" s="171"/>
      <c r="Y132" s="170"/>
      <c r="Z132" s="171"/>
      <c r="AA132" s="170"/>
      <c r="AB132" s="171"/>
      <c r="AC132" s="170"/>
      <c r="AD132" s="171"/>
      <c r="AE132" s="170"/>
      <c r="AF132" s="171"/>
      <c r="AG132" s="170"/>
      <c r="AH132" s="171"/>
      <c r="AI132" s="170"/>
      <c r="AJ132" s="171"/>
      <c r="AK132" s="170"/>
      <c r="AL132" s="171"/>
      <c r="AM132" s="170"/>
      <c r="AN132" s="171"/>
      <c r="AO132" s="170"/>
      <c r="AP132" s="171"/>
      <c r="AQ132" s="170"/>
      <c r="AR132" s="171"/>
      <c r="AS132" s="170"/>
      <c r="AT132" s="171"/>
      <c r="AU132" s="170"/>
      <c r="AV132" s="172" t="n">
        <f aca="false">IFERROR(VLOOKUP(A132,'Site check'!A:Q,14,0),0)</f>
        <v>0</v>
      </c>
    </row>
    <row r="133" customFormat="false" ht="13.15" hidden="false" customHeight="false" outlineLevel="0" collapsed="false">
      <c r="A133" s="20" t="s">
        <v>149</v>
      </c>
      <c r="B133" s="159"/>
      <c r="C133" s="176" t="s">
        <v>18</v>
      </c>
      <c r="D133" s="167"/>
      <c r="E133" s="167"/>
      <c r="F133" s="176" t="s">
        <v>958</v>
      </c>
      <c r="G133" s="168" t="n">
        <f aca="false">SUM(J133,L133,N133,P133,R133,T133,V133,X133,Z133,AB133,AD133,AF133,AH133,AJ133,AL133,AN133,AP133,AR133,AT133,AV133)</f>
        <v>10.4</v>
      </c>
      <c r="H133" s="169" t="n">
        <f aca="false">SUM(G133*1000)/54.5</f>
        <v>190.825688073395</v>
      </c>
      <c r="I133" s="173" t="s">
        <v>1230</v>
      </c>
      <c r="J133" s="174" t="n">
        <v>2.4</v>
      </c>
      <c r="K133" s="173" t="s">
        <v>1231</v>
      </c>
      <c r="L133" s="174" t="n">
        <v>2</v>
      </c>
      <c r="M133" s="173" t="s">
        <v>1232</v>
      </c>
      <c r="N133" s="174" t="n">
        <v>1</v>
      </c>
      <c r="O133" s="181" t="s">
        <v>1233</v>
      </c>
      <c r="P133" s="175" t="n">
        <v>5</v>
      </c>
      <c r="Q133" s="170"/>
      <c r="R133" s="171"/>
      <c r="S133" s="170"/>
      <c r="T133" s="171"/>
      <c r="U133" s="170"/>
      <c r="V133" s="171"/>
      <c r="W133" s="170"/>
      <c r="X133" s="171"/>
      <c r="Y133" s="170"/>
      <c r="Z133" s="171"/>
      <c r="AA133" s="170"/>
      <c r="AB133" s="171"/>
      <c r="AC133" s="170"/>
      <c r="AD133" s="171"/>
      <c r="AE133" s="170"/>
      <c r="AF133" s="171"/>
      <c r="AG133" s="170"/>
      <c r="AH133" s="171"/>
      <c r="AI133" s="170"/>
      <c r="AJ133" s="171"/>
      <c r="AK133" s="170"/>
      <c r="AL133" s="171"/>
      <c r="AM133" s="170"/>
      <c r="AN133" s="171"/>
      <c r="AO133" s="170"/>
      <c r="AP133" s="171"/>
      <c r="AQ133" s="170"/>
      <c r="AR133" s="171"/>
      <c r="AS133" s="170"/>
      <c r="AT133" s="171"/>
      <c r="AU133" s="170"/>
      <c r="AV133" s="172" t="n">
        <f aca="false">IFERROR(VLOOKUP(A133,'Site check'!A:Q,14,0),0)</f>
        <v>0</v>
      </c>
    </row>
    <row r="134" customFormat="false" ht="13.15" hidden="false" customHeight="false" outlineLevel="0" collapsed="false">
      <c r="A134" s="20" t="s">
        <v>150</v>
      </c>
      <c r="B134" s="159"/>
      <c r="C134" s="167"/>
      <c r="D134" s="167"/>
      <c r="E134" s="167"/>
      <c r="F134" s="176" t="s">
        <v>958</v>
      </c>
      <c r="G134" s="168" t="n">
        <f aca="false">SUM(J134,L134,N134,P134,R134,T134,V134,X134,Z134,AB134,AD134,AF134,AH134,AJ134,AL134,AN134,AP134,AR134,AT134,AV134)</f>
        <v>1</v>
      </c>
      <c r="H134" s="169" t="n">
        <f aca="false">SUM(G134*1000)/54.5</f>
        <v>18.348623853211</v>
      </c>
      <c r="I134" s="181" t="s">
        <v>1234</v>
      </c>
      <c r="J134" s="175" t="n">
        <v>1</v>
      </c>
      <c r="K134" s="179"/>
      <c r="L134" s="180"/>
      <c r="M134" s="173"/>
      <c r="N134" s="174"/>
      <c r="O134" s="170"/>
      <c r="P134" s="171"/>
      <c r="Q134" s="170"/>
      <c r="R134" s="171"/>
      <c r="S134" s="170"/>
      <c r="T134" s="171"/>
      <c r="U134" s="170"/>
      <c r="V134" s="171"/>
      <c r="W134" s="170"/>
      <c r="X134" s="171"/>
      <c r="Y134" s="170"/>
      <c r="Z134" s="171"/>
      <c r="AA134" s="170"/>
      <c r="AB134" s="171"/>
      <c r="AC134" s="170"/>
      <c r="AD134" s="171"/>
      <c r="AE134" s="170"/>
      <c r="AF134" s="171"/>
      <c r="AG134" s="170"/>
      <c r="AH134" s="171"/>
      <c r="AI134" s="170"/>
      <c r="AJ134" s="171"/>
      <c r="AK134" s="170"/>
      <c r="AL134" s="171"/>
      <c r="AM134" s="170"/>
      <c r="AN134" s="171"/>
      <c r="AO134" s="170"/>
      <c r="AP134" s="171"/>
      <c r="AQ134" s="170"/>
      <c r="AR134" s="171"/>
      <c r="AS134" s="170"/>
      <c r="AT134" s="171"/>
      <c r="AU134" s="170"/>
      <c r="AV134" s="172" t="n">
        <f aca="false">IFERROR(VLOOKUP(A134,'Site check'!A:Q,14,0),0)</f>
        <v>0</v>
      </c>
    </row>
    <row r="135" customFormat="false" ht="13.15" hidden="false" customHeight="false" outlineLevel="0" collapsed="false">
      <c r="A135" s="20" t="s">
        <v>151</v>
      </c>
      <c r="B135" s="159"/>
      <c r="C135" s="176" t="s">
        <v>18</v>
      </c>
      <c r="D135" s="167"/>
      <c r="E135" s="167"/>
      <c r="F135" s="167"/>
      <c r="G135" s="168" t="n">
        <f aca="false">SUM(J135,L135,N135,P135,R135,T135,V135,X135,Z135,AB135,AD135,AF135,AH135,AJ135,AL135,AN135,AP135,AR135,AT135,AV135)</f>
        <v>6.7</v>
      </c>
      <c r="H135" s="169" t="n">
        <f aca="false">SUM(G135*1000)/54.5</f>
        <v>122.935779816514</v>
      </c>
      <c r="I135" s="173" t="s">
        <v>1235</v>
      </c>
      <c r="J135" s="174" t="n">
        <v>1.7</v>
      </c>
      <c r="K135" s="213" t="s">
        <v>1236</v>
      </c>
      <c r="L135" s="174" t="n">
        <v>1</v>
      </c>
      <c r="M135" s="173" t="s">
        <v>1237</v>
      </c>
      <c r="N135" s="174" t="n">
        <v>4</v>
      </c>
      <c r="O135" s="170"/>
      <c r="P135" s="171"/>
      <c r="Q135" s="170"/>
      <c r="R135" s="171"/>
      <c r="S135" s="170"/>
      <c r="T135" s="171"/>
      <c r="U135" s="170"/>
      <c r="V135" s="171"/>
      <c r="W135" s="170"/>
      <c r="X135" s="171"/>
      <c r="Y135" s="170"/>
      <c r="Z135" s="171"/>
      <c r="AA135" s="170"/>
      <c r="AB135" s="171"/>
      <c r="AC135" s="170"/>
      <c r="AD135" s="171"/>
      <c r="AE135" s="170"/>
      <c r="AF135" s="171"/>
      <c r="AG135" s="170"/>
      <c r="AH135" s="171"/>
      <c r="AI135" s="170"/>
      <c r="AJ135" s="171"/>
      <c r="AK135" s="170"/>
      <c r="AL135" s="171"/>
      <c r="AM135" s="170"/>
      <c r="AN135" s="171"/>
      <c r="AO135" s="170"/>
      <c r="AP135" s="171"/>
      <c r="AQ135" s="170"/>
      <c r="AR135" s="171"/>
      <c r="AS135" s="170"/>
      <c r="AT135" s="171"/>
      <c r="AU135" s="170"/>
      <c r="AV135" s="172" t="n">
        <f aca="false">IFERROR(VLOOKUP(A135,'Site check'!A:Q,14,0),0)</f>
        <v>0</v>
      </c>
    </row>
    <row r="136" customFormat="false" ht="13.15" hidden="false" customHeight="false" outlineLevel="0" collapsed="false">
      <c r="A136" s="20" t="s">
        <v>152</v>
      </c>
      <c r="B136" s="159"/>
      <c r="C136" s="167"/>
      <c r="D136" s="167"/>
      <c r="E136" s="167"/>
      <c r="F136" s="167"/>
      <c r="G136" s="168" t="n">
        <f aca="false">SUM(J136,L136,N136,P136,R136,T136,V136,X136,Z136,AB136,AD136,AF136,AH136,AJ136,AL136,AN136,AP136,AR136,AT136,AV136)</f>
        <v>0</v>
      </c>
      <c r="H136" s="169" t="n">
        <f aca="false">SUM(G136*1000)/54.5</f>
        <v>0</v>
      </c>
      <c r="I136" s="173"/>
      <c r="J136" s="174"/>
      <c r="K136" s="170"/>
      <c r="L136" s="171"/>
      <c r="M136" s="170"/>
      <c r="N136" s="171"/>
      <c r="O136" s="170"/>
      <c r="P136" s="171"/>
      <c r="Q136" s="170"/>
      <c r="R136" s="171"/>
      <c r="S136" s="170"/>
      <c r="T136" s="171"/>
      <c r="U136" s="170"/>
      <c r="V136" s="171"/>
      <c r="W136" s="170"/>
      <c r="X136" s="171"/>
      <c r="Y136" s="170"/>
      <c r="Z136" s="171"/>
      <c r="AA136" s="170"/>
      <c r="AB136" s="171"/>
      <c r="AC136" s="170"/>
      <c r="AD136" s="171"/>
      <c r="AE136" s="170"/>
      <c r="AF136" s="171"/>
      <c r="AG136" s="170"/>
      <c r="AH136" s="171"/>
      <c r="AI136" s="170"/>
      <c r="AJ136" s="171"/>
      <c r="AK136" s="170"/>
      <c r="AL136" s="171"/>
      <c r="AM136" s="170"/>
      <c r="AN136" s="171"/>
      <c r="AO136" s="170"/>
      <c r="AP136" s="171"/>
      <c r="AQ136" s="170"/>
      <c r="AR136" s="171"/>
      <c r="AS136" s="170"/>
      <c r="AT136" s="171"/>
      <c r="AU136" s="170"/>
      <c r="AV136" s="172" t="n">
        <f aca="false">IFERROR(VLOOKUP(A136,'Site check'!A:Q,14,0),0)</f>
        <v>0</v>
      </c>
    </row>
    <row r="137" customFormat="false" ht="13.15" hidden="false" customHeight="false" outlineLevel="0" collapsed="false">
      <c r="A137" s="20" t="s">
        <v>153</v>
      </c>
      <c r="B137" s="159"/>
      <c r="C137" s="167"/>
      <c r="D137" s="167"/>
      <c r="E137" s="167"/>
      <c r="F137" s="167"/>
      <c r="G137" s="168" t="n">
        <f aca="false">SUM(J137,L137,N137,P137,R137,T137,V137,X137,Z137,AB137,AD137,AF137,AH137,AJ137,AL137,AN137,AP137,AR137,AT137,AV137)</f>
        <v>0</v>
      </c>
      <c r="H137" s="169" t="n">
        <f aca="false">SUM(G137*1000)/54.5</f>
        <v>0</v>
      </c>
      <c r="I137" s="173"/>
      <c r="J137" s="174"/>
      <c r="K137" s="170"/>
      <c r="L137" s="171"/>
      <c r="M137" s="170"/>
      <c r="N137" s="171"/>
      <c r="O137" s="170"/>
      <c r="P137" s="171"/>
      <c r="Q137" s="170"/>
      <c r="R137" s="171"/>
      <c r="S137" s="170"/>
      <c r="T137" s="171"/>
      <c r="U137" s="170"/>
      <c r="V137" s="171"/>
      <c r="W137" s="170"/>
      <c r="X137" s="171"/>
      <c r="Y137" s="170"/>
      <c r="Z137" s="171"/>
      <c r="AA137" s="170"/>
      <c r="AB137" s="171"/>
      <c r="AC137" s="170"/>
      <c r="AD137" s="171"/>
      <c r="AE137" s="170"/>
      <c r="AF137" s="171"/>
      <c r="AG137" s="170"/>
      <c r="AH137" s="171"/>
      <c r="AI137" s="170"/>
      <c r="AJ137" s="171"/>
      <c r="AK137" s="170"/>
      <c r="AL137" s="171"/>
      <c r="AM137" s="170"/>
      <c r="AN137" s="171"/>
      <c r="AO137" s="170"/>
      <c r="AP137" s="171"/>
      <c r="AQ137" s="170"/>
      <c r="AR137" s="171"/>
      <c r="AS137" s="170"/>
      <c r="AT137" s="171"/>
      <c r="AU137" s="170"/>
      <c r="AV137" s="172" t="n">
        <f aca="false">IFERROR(VLOOKUP(A137,'Site check'!A:Q,14,0),0)</f>
        <v>0</v>
      </c>
    </row>
    <row r="138" customFormat="false" ht="13.15" hidden="false" customHeight="false" outlineLevel="0" collapsed="false">
      <c r="A138" s="20" t="s">
        <v>154</v>
      </c>
      <c r="B138" s="159"/>
      <c r="C138" s="167"/>
      <c r="D138" s="167"/>
      <c r="E138" s="167"/>
      <c r="F138" s="167"/>
      <c r="G138" s="168" t="n">
        <f aca="false">SUM(J138,L138,N138,P138,R138,T138,V138,X138,Z138,AB138,AD138,AF138,AH138,AJ138,AL138,AN138,AP138,AR138,AT138,AV138)</f>
        <v>0.5</v>
      </c>
      <c r="H138" s="169" t="n">
        <f aca="false">SUM(G138*1000)/54.5</f>
        <v>9.1743119266055</v>
      </c>
      <c r="I138" s="214" t="s">
        <v>1238</v>
      </c>
      <c r="J138" s="180" t="n">
        <v>0.5</v>
      </c>
      <c r="K138" s="170"/>
      <c r="L138" s="171"/>
      <c r="M138" s="170"/>
      <c r="N138" s="171"/>
      <c r="O138" s="170"/>
      <c r="P138" s="171"/>
      <c r="Q138" s="170"/>
      <c r="R138" s="171"/>
      <c r="S138" s="170"/>
      <c r="T138" s="171"/>
      <c r="U138" s="170"/>
      <c r="V138" s="171"/>
      <c r="W138" s="170"/>
      <c r="X138" s="171"/>
      <c r="Y138" s="170"/>
      <c r="Z138" s="171"/>
      <c r="AA138" s="170"/>
      <c r="AB138" s="171"/>
      <c r="AC138" s="170"/>
      <c r="AD138" s="171"/>
      <c r="AE138" s="170"/>
      <c r="AF138" s="171"/>
      <c r="AG138" s="170"/>
      <c r="AH138" s="171"/>
      <c r="AI138" s="170"/>
      <c r="AJ138" s="171"/>
      <c r="AK138" s="170"/>
      <c r="AL138" s="171"/>
      <c r="AM138" s="170"/>
      <c r="AN138" s="171"/>
      <c r="AO138" s="170"/>
      <c r="AP138" s="171"/>
      <c r="AQ138" s="170"/>
      <c r="AR138" s="171"/>
      <c r="AS138" s="170"/>
      <c r="AT138" s="171"/>
      <c r="AU138" s="170"/>
      <c r="AV138" s="172" t="n">
        <f aca="false">IFERROR(VLOOKUP(A138,'Site check'!A:Q,14,0),0)</f>
        <v>0</v>
      </c>
    </row>
    <row r="139" customFormat="false" ht="14.45" hidden="false" customHeight="false" outlineLevel="0" collapsed="false">
      <c r="A139" s="20" t="s">
        <v>155</v>
      </c>
      <c r="B139" s="159"/>
      <c r="C139" s="176" t="s">
        <v>18</v>
      </c>
      <c r="D139" s="167"/>
      <c r="E139" s="167"/>
      <c r="F139" s="167"/>
      <c r="G139" s="168" t="n">
        <f aca="false">SUM(J139,L139,N139,P139,R139,T139,V139,X139,Z139,AB139,AD139,AF139,AH139,AJ139,AL139,AN139,AP139,AR139,AT139,AV139)</f>
        <v>19.7</v>
      </c>
      <c r="H139" s="169" t="n">
        <f aca="false">SUM(G139*1000)/54.5</f>
        <v>361.467889908257</v>
      </c>
      <c r="I139" s="170" t="s">
        <v>1158</v>
      </c>
      <c r="J139" s="171" t="n">
        <v>1</v>
      </c>
      <c r="K139" s="170" t="s">
        <v>1239</v>
      </c>
      <c r="L139" s="171" t="n">
        <v>4.9</v>
      </c>
      <c r="M139" s="186" t="s">
        <v>1240</v>
      </c>
      <c r="N139" s="192" t="n">
        <v>1</v>
      </c>
      <c r="O139" s="177" t="s">
        <v>1241</v>
      </c>
      <c r="P139" s="178" t="n">
        <v>3</v>
      </c>
      <c r="Q139" s="177" t="s">
        <v>1242</v>
      </c>
      <c r="R139" s="178" t="n">
        <v>2.8</v>
      </c>
      <c r="S139" s="215" t="s">
        <v>1243</v>
      </c>
      <c r="T139" s="171" t="n">
        <v>2.8</v>
      </c>
      <c r="U139" s="179" t="s">
        <v>1244</v>
      </c>
      <c r="V139" s="180" t="n">
        <v>4.2</v>
      </c>
      <c r="W139" s="170"/>
      <c r="X139" s="171"/>
      <c r="Y139" s="170"/>
      <c r="Z139" s="171"/>
      <c r="AA139" s="170"/>
      <c r="AB139" s="171"/>
      <c r="AC139" s="170"/>
      <c r="AD139" s="171"/>
      <c r="AE139" s="170"/>
      <c r="AF139" s="171"/>
      <c r="AG139" s="170"/>
      <c r="AH139" s="171"/>
      <c r="AI139" s="170"/>
      <c r="AJ139" s="171"/>
      <c r="AK139" s="170"/>
      <c r="AL139" s="171"/>
      <c r="AM139" s="170"/>
      <c r="AN139" s="171"/>
      <c r="AO139" s="170"/>
      <c r="AP139" s="171"/>
      <c r="AQ139" s="170"/>
      <c r="AR139" s="171"/>
      <c r="AS139" s="170"/>
      <c r="AT139" s="171"/>
      <c r="AU139" s="170"/>
      <c r="AV139" s="172" t="n">
        <f aca="false">IFERROR(VLOOKUP(A139,'Site check'!A:Q,14,0),0)</f>
        <v>0</v>
      </c>
    </row>
    <row r="140" customFormat="false" ht="13.15" hidden="false" customHeight="false" outlineLevel="0" collapsed="false">
      <c r="A140" s="33" t="s">
        <v>156</v>
      </c>
      <c r="B140" s="159"/>
      <c r="C140" s="167"/>
      <c r="D140" s="167"/>
      <c r="E140" s="167"/>
      <c r="F140" s="167"/>
      <c r="G140" s="168" t="n">
        <f aca="false">SUM(J140,L140,N140,P140,R140,T140,V140,X140,Z140,AB140,AD140,AF140,AH140,AJ140,AL140,AN140,AP140,AR140,AT140,AV140)</f>
        <v>0</v>
      </c>
      <c r="H140" s="169" t="n">
        <f aca="false">SUM(G140*1000)/54.5</f>
        <v>0</v>
      </c>
      <c r="I140" s="170"/>
      <c r="J140" s="171"/>
      <c r="K140" s="170"/>
      <c r="L140" s="171"/>
      <c r="M140" s="170"/>
      <c r="N140" s="171"/>
      <c r="O140" s="170"/>
      <c r="P140" s="171"/>
      <c r="Q140" s="170"/>
      <c r="R140" s="171"/>
      <c r="S140" s="170"/>
      <c r="T140" s="171"/>
      <c r="U140" s="170"/>
      <c r="V140" s="171"/>
      <c r="W140" s="170"/>
      <c r="X140" s="171"/>
      <c r="Y140" s="170"/>
      <c r="Z140" s="171"/>
      <c r="AA140" s="170"/>
      <c r="AB140" s="171"/>
      <c r="AC140" s="170"/>
      <c r="AD140" s="171"/>
      <c r="AE140" s="170"/>
      <c r="AF140" s="171"/>
      <c r="AG140" s="170"/>
      <c r="AH140" s="171"/>
      <c r="AI140" s="170"/>
      <c r="AJ140" s="171"/>
      <c r="AK140" s="170"/>
      <c r="AL140" s="171"/>
      <c r="AM140" s="170"/>
      <c r="AN140" s="171"/>
      <c r="AO140" s="170"/>
      <c r="AP140" s="171"/>
      <c r="AQ140" s="170"/>
      <c r="AR140" s="171"/>
      <c r="AS140" s="170"/>
      <c r="AT140" s="171"/>
      <c r="AU140" s="170"/>
      <c r="AV140" s="172" t="n">
        <f aca="false">IFERROR(VLOOKUP(A140,'Site check'!A:Q,14,0),0)</f>
        <v>0</v>
      </c>
    </row>
    <row r="141" customFormat="false" ht="13.15" hidden="false" customHeight="false" outlineLevel="0" collapsed="false">
      <c r="A141" s="33" t="s">
        <v>157</v>
      </c>
      <c r="B141" s="159"/>
      <c r="C141" s="167"/>
      <c r="D141" s="167"/>
      <c r="E141" s="167"/>
      <c r="F141" s="167"/>
      <c r="G141" s="168" t="n">
        <f aca="false">SUM(J141,L141,N141,P141,R141,T141,V141,X141,Z141,AB141,AD141,AF141,AH141,AJ141,AL141,AN141,AP141,AR141,AT141,AV141)</f>
        <v>0</v>
      </c>
      <c r="H141" s="169" t="n">
        <f aca="false">SUM(G141*1000)/54.5</f>
        <v>0</v>
      </c>
      <c r="I141" s="170"/>
      <c r="J141" s="171"/>
      <c r="K141" s="170"/>
      <c r="L141" s="171"/>
      <c r="M141" s="170"/>
      <c r="N141" s="171"/>
      <c r="O141" s="170"/>
      <c r="P141" s="171"/>
      <c r="Q141" s="170"/>
      <c r="R141" s="171"/>
      <c r="S141" s="170"/>
      <c r="T141" s="171"/>
      <c r="U141" s="170"/>
      <c r="V141" s="171"/>
      <c r="W141" s="170"/>
      <c r="X141" s="171"/>
      <c r="Y141" s="170"/>
      <c r="Z141" s="171"/>
      <c r="AA141" s="170"/>
      <c r="AB141" s="171"/>
      <c r="AC141" s="170"/>
      <c r="AD141" s="171"/>
      <c r="AE141" s="170"/>
      <c r="AF141" s="171"/>
      <c r="AG141" s="170"/>
      <c r="AH141" s="171"/>
      <c r="AI141" s="170"/>
      <c r="AJ141" s="171"/>
      <c r="AK141" s="170"/>
      <c r="AL141" s="171"/>
      <c r="AM141" s="170"/>
      <c r="AN141" s="171"/>
      <c r="AO141" s="170"/>
      <c r="AP141" s="171"/>
      <c r="AQ141" s="170"/>
      <c r="AR141" s="171"/>
      <c r="AS141" s="170"/>
      <c r="AT141" s="171"/>
      <c r="AU141" s="170"/>
      <c r="AV141" s="172" t="n">
        <f aca="false">IFERROR(VLOOKUP(A141,'Site check'!A:Q,14,0),0)</f>
        <v>0</v>
      </c>
    </row>
    <row r="142" customFormat="false" ht="13.15" hidden="false" customHeight="false" outlineLevel="0" collapsed="false">
      <c r="A142" s="32" t="s">
        <v>158</v>
      </c>
      <c r="B142" s="184" t="s">
        <v>17</v>
      </c>
      <c r="C142" s="176" t="s">
        <v>18</v>
      </c>
      <c r="D142" s="176" t="s">
        <v>19</v>
      </c>
      <c r="E142" s="167"/>
      <c r="F142" s="176" t="s">
        <v>958</v>
      </c>
      <c r="G142" s="168" t="n">
        <f aca="false">SUM(J142,L142,N142,P142,R142,T142,V142,X142,Z142,AB142,AD142,AF142,AH142,AJ142,AL142,AN142,AP142,AR142,AT142,AV142)</f>
        <v>22.1</v>
      </c>
      <c r="H142" s="169" t="n">
        <f aca="false">SUM(G142*1000)/54.5</f>
        <v>405.504587155963</v>
      </c>
      <c r="I142" s="170" t="s">
        <v>1245</v>
      </c>
      <c r="J142" s="171" t="n">
        <v>0.9</v>
      </c>
      <c r="K142" s="170"/>
      <c r="L142" s="171"/>
      <c r="M142" s="170" t="s">
        <v>1246</v>
      </c>
      <c r="N142" s="171" t="n">
        <v>4.9</v>
      </c>
      <c r="O142" s="181" t="s">
        <v>1247</v>
      </c>
      <c r="P142" s="171" t="n">
        <v>1.45</v>
      </c>
      <c r="Q142" s="170" t="s">
        <v>1248</v>
      </c>
      <c r="R142" s="171" t="n">
        <v>0.9</v>
      </c>
      <c r="S142" s="170" t="s">
        <v>1249</v>
      </c>
      <c r="T142" s="171" t="n">
        <v>1.5</v>
      </c>
      <c r="U142" s="181" t="s">
        <v>1250</v>
      </c>
      <c r="V142" s="175" t="n">
        <v>1.8</v>
      </c>
      <c r="W142" s="186" t="s">
        <v>1251</v>
      </c>
      <c r="X142" s="216" t="n">
        <v>0.3</v>
      </c>
      <c r="Y142" s="193" t="s">
        <v>1252</v>
      </c>
      <c r="Z142" s="216" t="n">
        <v>0.25</v>
      </c>
      <c r="AA142" s="181" t="s">
        <v>1253</v>
      </c>
      <c r="AB142" s="175" t="n">
        <v>1.7</v>
      </c>
      <c r="AC142" s="173" t="s">
        <v>1096</v>
      </c>
      <c r="AD142" s="174" t="n">
        <v>0.25</v>
      </c>
      <c r="AE142" s="186" t="s">
        <v>1254</v>
      </c>
      <c r="AF142" s="209" t="n">
        <v>0.5</v>
      </c>
      <c r="AG142" s="217" t="s">
        <v>1255</v>
      </c>
      <c r="AH142" s="183" t="n">
        <v>0.1</v>
      </c>
      <c r="AI142" s="204" t="s">
        <v>1256</v>
      </c>
      <c r="AJ142" s="180" t="n">
        <v>1.6</v>
      </c>
      <c r="AK142" s="186" t="s">
        <v>1257</v>
      </c>
      <c r="AL142" s="209" t="n">
        <v>2.8</v>
      </c>
      <c r="AM142" s="186" t="s">
        <v>1258</v>
      </c>
      <c r="AN142" s="174" t="n">
        <v>0.6</v>
      </c>
      <c r="AO142" s="204" t="s">
        <v>1259</v>
      </c>
      <c r="AP142" s="218" t="n">
        <v>1.75</v>
      </c>
      <c r="AQ142" s="179" t="s">
        <v>1260</v>
      </c>
      <c r="AR142" s="180" t="n">
        <v>0.8</v>
      </c>
      <c r="AS142" s="170"/>
      <c r="AT142" s="171"/>
      <c r="AU142" s="170"/>
      <c r="AV142" s="172" t="n">
        <f aca="false">IFERROR(VLOOKUP(A142,'Site check'!A:Q,14,0),0)</f>
        <v>0</v>
      </c>
    </row>
    <row r="143" customFormat="false" ht="13.15" hidden="false" customHeight="false" outlineLevel="0" collapsed="false">
      <c r="A143" s="32" t="s">
        <v>159</v>
      </c>
      <c r="B143" s="167"/>
      <c r="C143" s="167"/>
      <c r="D143" s="167"/>
      <c r="E143" s="167"/>
      <c r="F143" s="167"/>
      <c r="G143" s="168" t="n">
        <f aca="false">SUM(J143,L143,N143,P143,R143,T143,V143,X143,Z143,AB143,AD143,AF143,AH143,AJ143,AL143,AN143,AP143,AR143,AT143,AV143)</f>
        <v>22.1</v>
      </c>
      <c r="H143" s="169" t="n">
        <f aca="false">SUM(G143*1000)/54.5</f>
        <v>405.504587155963</v>
      </c>
      <c r="I143" s="170" t="s">
        <v>1245</v>
      </c>
      <c r="J143" s="171" t="n">
        <v>0.9</v>
      </c>
      <c r="K143" s="170"/>
      <c r="L143" s="171"/>
      <c r="M143" s="170" t="s">
        <v>1246</v>
      </c>
      <c r="N143" s="171" t="n">
        <v>4.9</v>
      </c>
      <c r="O143" s="181" t="s">
        <v>1247</v>
      </c>
      <c r="P143" s="171" t="n">
        <v>1.45</v>
      </c>
      <c r="Q143" s="170" t="s">
        <v>1248</v>
      </c>
      <c r="R143" s="171" t="n">
        <v>0.9</v>
      </c>
      <c r="S143" s="170" t="s">
        <v>1249</v>
      </c>
      <c r="T143" s="171" t="n">
        <v>1.5</v>
      </c>
      <c r="U143" s="181" t="s">
        <v>1250</v>
      </c>
      <c r="V143" s="175" t="n">
        <v>1.8</v>
      </c>
      <c r="W143" s="186" t="s">
        <v>1251</v>
      </c>
      <c r="X143" s="174" t="n">
        <v>0.3</v>
      </c>
      <c r="Y143" s="193" t="s">
        <v>1252</v>
      </c>
      <c r="Z143" s="174" t="n">
        <v>0.25</v>
      </c>
      <c r="AA143" s="181" t="s">
        <v>1253</v>
      </c>
      <c r="AB143" s="175" t="n">
        <v>1.7</v>
      </c>
      <c r="AC143" s="173" t="s">
        <v>1096</v>
      </c>
      <c r="AD143" s="174" t="n">
        <v>0.25</v>
      </c>
      <c r="AE143" s="186" t="s">
        <v>1254</v>
      </c>
      <c r="AF143" s="174" t="n">
        <v>0.5</v>
      </c>
      <c r="AG143" s="217" t="s">
        <v>1255</v>
      </c>
      <c r="AH143" s="183" t="n">
        <v>0.1</v>
      </c>
      <c r="AI143" s="204" t="s">
        <v>1256</v>
      </c>
      <c r="AJ143" s="180" t="n">
        <v>1.6</v>
      </c>
      <c r="AK143" s="186" t="s">
        <v>1257</v>
      </c>
      <c r="AL143" s="174" t="n">
        <v>2.8</v>
      </c>
      <c r="AM143" s="186" t="s">
        <v>1258</v>
      </c>
      <c r="AN143" s="174" t="n">
        <v>0.6</v>
      </c>
      <c r="AO143" s="204" t="s">
        <v>1259</v>
      </c>
      <c r="AP143" s="218" t="n">
        <v>1.75</v>
      </c>
      <c r="AQ143" s="179" t="s">
        <v>1260</v>
      </c>
      <c r="AR143" s="180" t="n">
        <v>0.8</v>
      </c>
      <c r="AS143" s="170"/>
      <c r="AT143" s="171"/>
      <c r="AU143" s="170"/>
      <c r="AV143" s="172" t="n">
        <f aca="false">IFERROR(VLOOKUP(A143,'Site check'!A:Q,14,0),0)</f>
        <v>0</v>
      </c>
    </row>
    <row r="144" customFormat="false" ht="13.15" hidden="false" customHeight="false" outlineLevel="0" collapsed="false">
      <c r="A144" s="20" t="s">
        <v>160</v>
      </c>
      <c r="B144" s="159"/>
      <c r="C144" s="167"/>
      <c r="D144" s="167"/>
      <c r="E144" s="167"/>
      <c r="F144" s="167"/>
      <c r="G144" s="168" t="n">
        <f aca="false">SUM(J144,L144,N144,P144,R144,T144,V144,X144,Z144,AB144,AD144,AF144,AH144,AJ144,AL144,AN144,AP144,AR144,AT144,AV144)</f>
        <v>0.1</v>
      </c>
      <c r="H144" s="169" t="n">
        <f aca="false">SUM(G144*1000)/54.5</f>
        <v>1.8348623853211</v>
      </c>
      <c r="I144" s="179" t="s">
        <v>1261</v>
      </c>
      <c r="J144" s="180" t="n">
        <v>0.1</v>
      </c>
      <c r="K144" s="179"/>
      <c r="L144" s="180"/>
      <c r="M144" s="170"/>
      <c r="N144" s="171"/>
      <c r="O144" s="170"/>
      <c r="P144" s="171"/>
      <c r="Q144" s="170"/>
      <c r="R144" s="171"/>
      <c r="S144" s="170"/>
      <c r="T144" s="171"/>
      <c r="U144" s="170"/>
      <c r="V144" s="171"/>
      <c r="W144" s="170"/>
      <c r="X144" s="171"/>
      <c r="Y144" s="170"/>
      <c r="Z144" s="171"/>
      <c r="AA144" s="170"/>
      <c r="AB144" s="171"/>
      <c r="AC144" s="170"/>
      <c r="AD144" s="171"/>
      <c r="AE144" s="170"/>
      <c r="AF144" s="171"/>
      <c r="AG144" s="170"/>
      <c r="AH144" s="171"/>
      <c r="AI144" s="170"/>
      <c r="AJ144" s="171"/>
      <c r="AK144" s="170"/>
      <c r="AL144" s="171"/>
      <c r="AM144" s="170"/>
      <c r="AN144" s="171"/>
      <c r="AO144" s="170"/>
      <c r="AP144" s="171"/>
      <c r="AQ144" s="170"/>
      <c r="AR144" s="171"/>
      <c r="AS144" s="170"/>
      <c r="AT144" s="171"/>
      <c r="AU144" s="170"/>
      <c r="AV144" s="172" t="n">
        <f aca="false">IFERROR(VLOOKUP(A144,'Site check'!A:Q,14,0),0)</f>
        <v>0</v>
      </c>
    </row>
    <row r="145" customFormat="false" ht="13.15" hidden="false" customHeight="false" outlineLevel="0" collapsed="false">
      <c r="A145" s="20" t="s">
        <v>161</v>
      </c>
      <c r="B145" s="159"/>
      <c r="C145" s="176" t="s">
        <v>18</v>
      </c>
      <c r="D145" s="167"/>
      <c r="E145" s="167"/>
      <c r="F145" s="167"/>
      <c r="G145" s="168" t="n">
        <f aca="false">SUM(J145,L145,N145,P145,R145,T145,V145,X145,Z145,AB145,AD145,AF145,AH145,AJ145,AL145,AN145,AP145,AR145,AT145,AV145)</f>
        <v>12.3</v>
      </c>
      <c r="H145" s="169" t="n">
        <f aca="false">SUM(G145*1000)/54.5</f>
        <v>225.688073394495</v>
      </c>
      <c r="I145" s="170" t="s">
        <v>1262</v>
      </c>
      <c r="J145" s="171" t="n">
        <v>2.4</v>
      </c>
      <c r="K145" s="170" t="s">
        <v>1263</v>
      </c>
      <c r="L145" s="171" t="n">
        <v>1.5</v>
      </c>
      <c r="M145" s="179" t="s">
        <v>1264</v>
      </c>
      <c r="N145" s="180" t="n">
        <v>3.2</v>
      </c>
      <c r="O145" s="193" t="s">
        <v>1265</v>
      </c>
      <c r="P145" s="192" t="n">
        <v>1</v>
      </c>
      <c r="Q145" s="179" t="s">
        <v>1266</v>
      </c>
      <c r="R145" s="180" t="n">
        <v>4.2</v>
      </c>
      <c r="S145" s="170"/>
      <c r="T145" s="171"/>
      <c r="U145" s="170"/>
      <c r="V145" s="171"/>
      <c r="W145" s="170"/>
      <c r="X145" s="171"/>
      <c r="Y145" s="170"/>
      <c r="Z145" s="171"/>
      <c r="AA145" s="170"/>
      <c r="AB145" s="171"/>
      <c r="AC145" s="170"/>
      <c r="AD145" s="171"/>
      <c r="AE145" s="170"/>
      <c r="AF145" s="171"/>
      <c r="AG145" s="170"/>
      <c r="AH145" s="171"/>
      <c r="AI145" s="170"/>
      <c r="AJ145" s="171"/>
      <c r="AK145" s="170"/>
      <c r="AL145" s="171"/>
      <c r="AM145" s="170"/>
      <c r="AN145" s="171"/>
      <c r="AO145" s="170"/>
      <c r="AP145" s="171"/>
      <c r="AQ145" s="170"/>
      <c r="AR145" s="171"/>
      <c r="AS145" s="170"/>
      <c r="AT145" s="171"/>
      <c r="AU145" s="170"/>
      <c r="AV145" s="172" t="n">
        <f aca="false">IFERROR(VLOOKUP(A145,'Site check'!A:Q,14,0),0)</f>
        <v>0</v>
      </c>
    </row>
    <row r="146" customFormat="false" ht="13.15" hidden="false" customHeight="false" outlineLevel="0" collapsed="false">
      <c r="A146" s="20" t="s">
        <v>162</v>
      </c>
      <c r="B146" s="159"/>
      <c r="C146" s="167"/>
      <c r="D146" s="167"/>
      <c r="E146" s="167"/>
      <c r="F146" s="167"/>
      <c r="G146" s="168" t="n">
        <f aca="false">SUM(J146,L146,N146,P146,R146,T146,V146,X146,Z146,AB146,AD146,AF146,AH146,AJ146,AL146,AN146,AP146,AR146,AT146,AV146)</f>
        <v>2</v>
      </c>
      <c r="H146" s="169" t="n">
        <f aca="false">SUM(G146*1000)/54.5</f>
        <v>36.697247706422</v>
      </c>
      <c r="I146" s="186" t="s">
        <v>1267</v>
      </c>
      <c r="J146" s="192" t="n">
        <v>2</v>
      </c>
      <c r="K146" s="204"/>
      <c r="L146" s="205"/>
      <c r="M146" s="170"/>
      <c r="N146" s="171"/>
      <c r="O146" s="170"/>
      <c r="P146" s="171"/>
      <c r="Q146" s="170"/>
      <c r="R146" s="171"/>
      <c r="S146" s="170"/>
      <c r="T146" s="171"/>
      <c r="U146" s="170"/>
      <c r="V146" s="171"/>
      <c r="W146" s="170"/>
      <c r="X146" s="171"/>
      <c r="Y146" s="170"/>
      <c r="Z146" s="171"/>
      <c r="AA146" s="170"/>
      <c r="AB146" s="171"/>
      <c r="AC146" s="170"/>
      <c r="AD146" s="171"/>
      <c r="AE146" s="170"/>
      <c r="AF146" s="171"/>
      <c r="AG146" s="170"/>
      <c r="AH146" s="171"/>
      <c r="AI146" s="170"/>
      <c r="AJ146" s="171"/>
      <c r="AK146" s="170"/>
      <c r="AL146" s="171"/>
      <c r="AM146" s="170"/>
      <c r="AN146" s="171"/>
      <c r="AO146" s="170"/>
      <c r="AP146" s="171"/>
      <c r="AQ146" s="170"/>
      <c r="AR146" s="171"/>
      <c r="AS146" s="170"/>
      <c r="AT146" s="171"/>
      <c r="AU146" s="170"/>
      <c r="AV146" s="172" t="n">
        <f aca="false">IFERROR(VLOOKUP(A146,'Site check'!A:Q,14,0),0)</f>
        <v>0</v>
      </c>
    </row>
    <row r="147" customFormat="false" ht="13.15" hidden="false" customHeight="false" outlineLevel="0" collapsed="false">
      <c r="A147" s="20" t="s">
        <v>163</v>
      </c>
      <c r="B147" s="159"/>
      <c r="C147" s="176" t="s">
        <v>18</v>
      </c>
      <c r="D147" s="167"/>
      <c r="E147" s="167"/>
      <c r="F147" s="167"/>
      <c r="G147" s="168" t="n">
        <f aca="false">SUM(J147,L147,N147,P147,R147,T147,V147,X147,Z147,AB147,AD147,AF147,AH147,AJ147,AL147,AN147,AP147,AR147,AT147,AV147)</f>
        <v>5.9</v>
      </c>
      <c r="H147" s="169" t="n">
        <f aca="false">SUM(G147*1000)/54.5</f>
        <v>108.256880733945</v>
      </c>
      <c r="I147" s="170" t="s">
        <v>1268</v>
      </c>
      <c r="J147" s="171" t="n">
        <v>2.4</v>
      </c>
      <c r="K147" s="170" t="s">
        <v>1269</v>
      </c>
      <c r="L147" s="171" t="n">
        <v>3.5</v>
      </c>
      <c r="M147" s="170"/>
      <c r="N147" s="171"/>
      <c r="O147" s="170"/>
      <c r="P147" s="171"/>
      <c r="Q147" s="170"/>
      <c r="R147" s="171"/>
      <c r="S147" s="170"/>
      <c r="T147" s="171"/>
      <c r="U147" s="170"/>
      <c r="V147" s="171"/>
      <c r="W147" s="170"/>
      <c r="X147" s="171"/>
      <c r="Y147" s="170"/>
      <c r="Z147" s="171"/>
      <c r="AA147" s="170"/>
      <c r="AB147" s="171"/>
      <c r="AC147" s="170"/>
      <c r="AD147" s="171"/>
      <c r="AE147" s="170"/>
      <c r="AF147" s="171"/>
      <c r="AG147" s="170"/>
      <c r="AH147" s="171"/>
      <c r="AI147" s="170"/>
      <c r="AJ147" s="171"/>
      <c r="AK147" s="170"/>
      <c r="AL147" s="171"/>
      <c r="AM147" s="170"/>
      <c r="AN147" s="171"/>
      <c r="AO147" s="170"/>
      <c r="AP147" s="171"/>
      <c r="AQ147" s="170"/>
      <c r="AR147" s="171"/>
      <c r="AS147" s="170"/>
      <c r="AT147" s="171"/>
      <c r="AU147" s="170"/>
      <c r="AV147" s="172" t="n">
        <f aca="false">IFERROR(VLOOKUP(A147,'Site check'!A:Q,14,0),0)</f>
        <v>0</v>
      </c>
    </row>
    <row r="148" customFormat="false" ht="13.15" hidden="false" customHeight="false" outlineLevel="0" collapsed="false">
      <c r="A148" s="20" t="s">
        <v>164</v>
      </c>
      <c r="B148" s="159"/>
      <c r="C148" s="167"/>
      <c r="D148" s="167"/>
      <c r="E148" s="167"/>
      <c r="F148" s="167"/>
      <c r="G148" s="168" t="n">
        <f aca="false">SUM(J148,L148,N148,P148,R148,T148,V148,X148,Z148,AB148,AD148,AF148,AH148,AJ148,AL148,AN148,AP148,AR148,AT148,AV148)</f>
        <v>0</v>
      </c>
      <c r="H148" s="169" t="n">
        <f aca="false">SUM(G148*1000)/54.5</f>
        <v>0</v>
      </c>
      <c r="I148" s="170"/>
      <c r="J148" s="171"/>
      <c r="K148" s="170"/>
      <c r="L148" s="171"/>
      <c r="M148" s="170"/>
      <c r="N148" s="171"/>
      <c r="O148" s="170"/>
      <c r="P148" s="171"/>
      <c r="Q148" s="170"/>
      <c r="R148" s="171"/>
      <c r="S148" s="170"/>
      <c r="T148" s="171"/>
      <c r="U148" s="170"/>
      <c r="V148" s="171"/>
      <c r="W148" s="170"/>
      <c r="X148" s="171"/>
      <c r="Y148" s="170"/>
      <c r="Z148" s="171"/>
      <c r="AA148" s="170"/>
      <c r="AB148" s="171"/>
      <c r="AC148" s="170"/>
      <c r="AD148" s="171"/>
      <c r="AE148" s="170"/>
      <c r="AF148" s="171"/>
      <c r="AG148" s="170"/>
      <c r="AH148" s="171"/>
      <c r="AI148" s="170"/>
      <c r="AJ148" s="171"/>
      <c r="AK148" s="170"/>
      <c r="AL148" s="171"/>
      <c r="AM148" s="170"/>
      <c r="AN148" s="171"/>
      <c r="AO148" s="170"/>
      <c r="AP148" s="171"/>
      <c r="AQ148" s="170"/>
      <c r="AR148" s="171"/>
      <c r="AS148" s="170"/>
      <c r="AT148" s="171"/>
      <c r="AU148" s="170"/>
      <c r="AV148" s="172" t="n">
        <f aca="false">IFERROR(VLOOKUP(A148,'Site check'!A:Q,14,0),0)</f>
        <v>0</v>
      </c>
    </row>
    <row r="149" customFormat="false" ht="13.15" hidden="false" customHeight="false" outlineLevel="0" collapsed="false">
      <c r="A149" s="20" t="s">
        <v>165</v>
      </c>
      <c r="B149" s="159"/>
      <c r="C149" s="167"/>
      <c r="D149" s="167"/>
      <c r="E149" s="167"/>
      <c r="F149" s="167"/>
      <c r="G149" s="168" t="n">
        <f aca="false">SUM(J149,L149,N149,P149,R149,T149,V149,X149,Z149,AB149,AD149,AF149,AH149,AJ149,AL149,AN149,AP149,AR149,AT149,AV149)</f>
        <v>0</v>
      </c>
      <c r="H149" s="169" t="n">
        <f aca="false">SUM(G149*1000)/54.5</f>
        <v>0</v>
      </c>
      <c r="I149" s="170"/>
      <c r="J149" s="171"/>
      <c r="K149" s="170"/>
      <c r="L149" s="171"/>
      <c r="M149" s="170"/>
      <c r="N149" s="171"/>
      <c r="O149" s="170"/>
      <c r="P149" s="171"/>
      <c r="Q149" s="170"/>
      <c r="R149" s="171"/>
      <c r="S149" s="170"/>
      <c r="T149" s="171"/>
      <c r="U149" s="170"/>
      <c r="V149" s="171"/>
      <c r="W149" s="170"/>
      <c r="X149" s="171"/>
      <c r="Y149" s="170"/>
      <c r="Z149" s="171"/>
      <c r="AA149" s="170"/>
      <c r="AB149" s="171"/>
      <c r="AC149" s="170"/>
      <c r="AD149" s="171"/>
      <c r="AE149" s="170"/>
      <c r="AF149" s="171"/>
      <c r="AG149" s="170"/>
      <c r="AH149" s="171"/>
      <c r="AI149" s="170"/>
      <c r="AJ149" s="171"/>
      <c r="AK149" s="170"/>
      <c r="AL149" s="171"/>
      <c r="AM149" s="170"/>
      <c r="AN149" s="171"/>
      <c r="AO149" s="170"/>
      <c r="AP149" s="171"/>
      <c r="AQ149" s="170"/>
      <c r="AR149" s="171"/>
      <c r="AS149" s="170"/>
      <c r="AT149" s="171"/>
      <c r="AU149" s="170"/>
      <c r="AV149" s="172" t="n">
        <f aca="false">IFERROR(VLOOKUP(A149,'Site check'!A:Q,14,0),0)</f>
        <v>0</v>
      </c>
    </row>
    <row r="150" customFormat="false" ht="13.15" hidden="false" customHeight="false" outlineLevel="0" collapsed="false">
      <c r="A150" s="20" t="s">
        <v>166</v>
      </c>
      <c r="B150" s="159"/>
      <c r="C150" s="176" t="s">
        <v>18</v>
      </c>
      <c r="D150" s="167"/>
      <c r="E150" s="167"/>
      <c r="F150" s="167"/>
      <c r="G150" s="168" t="n">
        <f aca="false">SUM(J150,L150,N150,P150,R150,T150,V150,X150,Z150,AB150,AD150,AF150,AH150,AJ150,AL150,AN150,AP150,AR150,AT150,AV150)</f>
        <v>1.7</v>
      </c>
      <c r="H150" s="169" t="n">
        <f aca="false">SUM(G150*1000)/54.5</f>
        <v>31.1926605504587</v>
      </c>
      <c r="I150" s="170" t="s">
        <v>1270</v>
      </c>
      <c r="J150" s="171" t="n">
        <v>1.7</v>
      </c>
      <c r="K150" s="170"/>
      <c r="L150" s="171"/>
      <c r="M150" s="170"/>
      <c r="N150" s="171"/>
      <c r="O150" s="170"/>
      <c r="P150" s="171"/>
      <c r="Q150" s="170"/>
      <c r="R150" s="171"/>
      <c r="S150" s="170"/>
      <c r="T150" s="171"/>
      <c r="U150" s="170"/>
      <c r="V150" s="171"/>
      <c r="W150" s="170"/>
      <c r="X150" s="171"/>
      <c r="Y150" s="170"/>
      <c r="Z150" s="171"/>
      <c r="AA150" s="170"/>
      <c r="AB150" s="171"/>
      <c r="AC150" s="170"/>
      <c r="AD150" s="171"/>
      <c r="AE150" s="170"/>
      <c r="AF150" s="171"/>
      <c r="AG150" s="170"/>
      <c r="AH150" s="171"/>
      <c r="AI150" s="170"/>
      <c r="AJ150" s="171"/>
      <c r="AK150" s="170"/>
      <c r="AL150" s="171"/>
      <c r="AM150" s="170"/>
      <c r="AN150" s="171"/>
      <c r="AO150" s="170"/>
      <c r="AP150" s="171"/>
      <c r="AQ150" s="170"/>
      <c r="AR150" s="171"/>
      <c r="AS150" s="170"/>
      <c r="AT150" s="171"/>
      <c r="AU150" s="170"/>
      <c r="AV150" s="172" t="n">
        <f aca="false">IFERROR(VLOOKUP(A150,'Site check'!A:Q,14,0),0)</f>
        <v>0</v>
      </c>
    </row>
    <row r="151" customFormat="false" ht="13.15" hidden="false" customHeight="false" outlineLevel="0" collapsed="false">
      <c r="A151" s="20" t="s">
        <v>167</v>
      </c>
      <c r="B151" s="159"/>
      <c r="C151" s="167"/>
      <c r="D151" s="167"/>
      <c r="E151" s="167"/>
      <c r="F151" s="167"/>
      <c r="G151" s="168" t="n">
        <f aca="false">SUM(J151,L151,N151,P151,R151,T151,V151,X151,Z151,AB151,AD151,AF151,AH151,AJ151,AL151,AN151,AP151,AR151,AT151,AV151)</f>
        <v>11.5</v>
      </c>
      <c r="H151" s="169" t="n">
        <f aca="false">SUM(G151*1000)/54.5</f>
        <v>211.009174311927</v>
      </c>
      <c r="I151" s="179" t="s">
        <v>1271</v>
      </c>
      <c r="J151" s="180" t="n">
        <v>2</v>
      </c>
      <c r="K151" s="179" t="s">
        <v>1272</v>
      </c>
      <c r="L151" s="180" t="n">
        <v>2</v>
      </c>
      <c r="M151" s="173" t="s">
        <v>1273</v>
      </c>
      <c r="N151" s="174" t="n">
        <v>1</v>
      </c>
      <c r="O151" s="186" t="s">
        <v>1274</v>
      </c>
      <c r="P151" s="192" t="n">
        <v>1</v>
      </c>
      <c r="Q151" s="177" t="s">
        <v>1275</v>
      </c>
      <c r="R151" s="178"/>
      <c r="S151" s="181" t="s">
        <v>1276</v>
      </c>
      <c r="T151" s="175" t="n">
        <v>5.5</v>
      </c>
      <c r="U151" s="170"/>
      <c r="V151" s="171"/>
      <c r="W151" s="170"/>
      <c r="X151" s="171"/>
      <c r="Y151" s="170"/>
      <c r="Z151" s="171"/>
      <c r="AA151" s="170"/>
      <c r="AB151" s="171"/>
      <c r="AC151" s="170"/>
      <c r="AD151" s="171"/>
      <c r="AE151" s="170"/>
      <c r="AF151" s="171"/>
      <c r="AG151" s="170"/>
      <c r="AH151" s="171"/>
      <c r="AI151" s="170"/>
      <c r="AJ151" s="171"/>
      <c r="AK151" s="170"/>
      <c r="AL151" s="171"/>
      <c r="AM151" s="170"/>
      <c r="AN151" s="171"/>
      <c r="AO151" s="170"/>
      <c r="AP151" s="171"/>
      <c r="AQ151" s="170"/>
      <c r="AR151" s="171"/>
      <c r="AS151" s="170"/>
      <c r="AT151" s="171"/>
      <c r="AU151" s="170"/>
      <c r="AV151" s="172" t="n">
        <f aca="false">IFERROR(VLOOKUP(A151,'Site check'!A:Q,14,0),0)</f>
        <v>0</v>
      </c>
    </row>
    <row r="152" customFormat="false" ht="13.15" hidden="false" customHeight="false" outlineLevel="0" collapsed="false">
      <c r="A152" s="20" t="s">
        <v>168</v>
      </c>
      <c r="B152" s="159"/>
      <c r="C152" s="167"/>
      <c r="D152" s="167"/>
      <c r="E152" s="167"/>
      <c r="F152" s="167"/>
      <c r="G152" s="168" t="n">
        <f aca="false">SUM(J152,L152,N152,P152,R152,T152,V152,X152,Z152,AB152,AD152,AF152,AH152,AJ152,AL152,AN152,AP152,AR152,AT152,AV152)</f>
        <v>1</v>
      </c>
      <c r="H152" s="169" t="n">
        <f aca="false">SUM(G152*1000)/54.5</f>
        <v>18.348623853211</v>
      </c>
      <c r="I152" s="193" t="s">
        <v>1277</v>
      </c>
      <c r="J152" s="192" t="n">
        <v>1</v>
      </c>
      <c r="K152" s="170"/>
      <c r="L152" s="171"/>
      <c r="M152" s="170"/>
      <c r="N152" s="171"/>
      <c r="O152" s="170"/>
      <c r="P152" s="171"/>
      <c r="Q152" s="170"/>
      <c r="R152" s="171"/>
      <c r="S152" s="179"/>
      <c r="T152" s="180"/>
      <c r="U152" s="170"/>
      <c r="V152" s="171"/>
      <c r="W152" s="170"/>
      <c r="X152" s="171"/>
      <c r="Y152" s="170"/>
      <c r="Z152" s="171"/>
      <c r="AA152" s="170"/>
      <c r="AB152" s="171"/>
      <c r="AC152" s="170"/>
      <c r="AD152" s="171"/>
      <c r="AE152" s="170"/>
      <c r="AF152" s="171"/>
      <c r="AG152" s="170"/>
      <c r="AH152" s="171"/>
      <c r="AI152" s="170"/>
      <c r="AJ152" s="171"/>
      <c r="AK152" s="170"/>
      <c r="AL152" s="171"/>
      <c r="AM152" s="170"/>
      <c r="AN152" s="171"/>
      <c r="AO152" s="170"/>
      <c r="AP152" s="171"/>
      <c r="AQ152" s="170"/>
      <c r="AR152" s="171"/>
      <c r="AS152" s="170"/>
      <c r="AT152" s="171"/>
      <c r="AU152" s="170"/>
      <c r="AV152" s="172" t="n">
        <f aca="false">IFERROR(VLOOKUP(A152,'Site check'!A:Q,14,0),0)</f>
        <v>0</v>
      </c>
    </row>
    <row r="153" customFormat="false" ht="13.15" hidden="false" customHeight="false" outlineLevel="0" collapsed="false">
      <c r="A153" s="20" t="s">
        <v>169</v>
      </c>
      <c r="B153" s="159"/>
      <c r="C153" s="167"/>
      <c r="D153" s="167"/>
      <c r="E153" s="167"/>
      <c r="F153" s="167"/>
      <c r="G153" s="168" t="n">
        <f aca="false">SUM(J153,L153,N153,P153,R153,T153,V153,X153,Z153,AB153,AD153,AF153,AH153,AJ153,AL153,AN153,AP153,AR153,AT153,AV153)</f>
        <v>2</v>
      </c>
      <c r="H153" s="169" t="n">
        <f aca="false">SUM(G153*1000)/54.5</f>
        <v>36.697247706422</v>
      </c>
      <c r="I153" s="173" t="s">
        <v>1278</v>
      </c>
      <c r="J153" s="174" t="n">
        <v>2</v>
      </c>
      <c r="K153" s="170"/>
      <c r="L153" s="171"/>
      <c r="M153" s="170"/>
      <c r="N153" s="171"/>
      <c r="O153" s="170"/>
      <c r="P153" s="171"/>
      <c r="Q153" s="170"/>
      <c r="R153" s="171"/>
      <c r="S153" s="206"/>
      <c r="T153" s="207"/>
      <c r="U153" s="170"/>
      <c r="V153" s="171"/>
      <c r="W153" s="170"/>
      <c r="X153" s="171"/>
      <c r="Y153" s="170"/>
      <c r="Z153" s="171"/>
      <c r="AA153" s="170"/>
      <c r="AB153" s="171"/>
      <c r="AC153" s="170"/>
      <c r="AD153" s="171"/>
      <c r="AE153" s="170"/>
      <c r="AF153" s="171"/>
      <c r="AG153" s="170"/>
      <c r="AH153" s="171"/>
      <c r="AI153" s="170"/>
      <c r="AJ153" s="171"/>
      <c r="AK153" s="170"/>
      <c r="AL153" s="171"/>
      <c r="AM153" s="170"/>
      <c r="AN153" s="171"/>
      <c r="AO153" s="170"/>
      <c r="AP153" s="171"/>
      <c r="AQ153" s="170"/>
      <c r="AR153" s="171"/>
      <c r="AS153" s="170"/>
      <c r="AT153" s="171"/>
      <c r="AU153" s="170"/>
      <c r="AV153" s="172" t="n">
        <f aca="false">IFERROR(VLOOKUP(A153,'Site check'!A:Q,14,0),0)</f>
        <v>0</v>
      </c>
    </row>
    <row r="154" customFormat="false" ht="13.15" hidden="false" customHeight="false" outlineLevel="0" collapsed="false">
      <c r="A154" s="20" t="s">
        <v>170</v>
      </c>
      <c r="B154" s="159"/>
      <c r="C154" s="176" t="s">
        <v>18</v>
      </c>
      <c r="D154" s="176" t="s">
        <v>19</v>
      </c>
      <c r="E154" s="167"/>
      <c r="F154" s="176" t="s">
        <v>958</v>
      </c>
      <c r="G154" s="168" t="n">
        <f aca="false">SUM(J154,L154,N154,P154,R154,T154,V154,X154,Z154,AB154,AD154,AF154,AH154,AJ154,AL154,AN154,AP154,AR154,AT154,AV154)</f>
        <v>20.1</v>
      </c>
      <c r="H154" s="169" t="n">
        <f aca="false">SUM(G154*1000)/54.5</f>
        <v>368.807339449541</v>
      </c>
      <c r="I154" s="181" t="s">
        <v>1279</v>
      </c>
      <c r="J154" s="175" t="n">
        <v>3.6</v>
      </c>
      <c r="K154" s="170" t="s">
        <v>1280</v>
      </c>
      <c r="L154" s="171" t="n">
        <v>1.9</v>
      </c>
      <c r="M154" s="170"/>
      <c r="N154" s="171"/>
      <c r="O154" s="170" t="s">
        <v>1281</v>
      </c>
      <c r="P154" s="171" t="n">
        <v>2.2</v>
      </c>
      <c r="Q154" s="170" t="s">
        <v>1282</v>
      </c>
      <c r="R154" s="171" t="n">
        <v>2</v>
      </c>
      <c r="S154" s="170" t="s">
        <v>1283</v>
      </c>
      <c r="T154" s="171" t="n">
        <v>2</v>
      </c>
      <c r="U154" s="170" t="s">
        <v>1284</v>
      </c>
      <c r="V154" s="171" t="n">
        <v>2.3</v>
      </c>
      <c r="W154" s="170" t="s">
        <v>1285</v>
      </c>
      <c r="X154" s="171" t="n">
        <v>0.8</v>
      </c>
      <c r="Y154" s="181" t="s">
        <v>1286</v>
      </c>
      <c r="Z154" s="175" t="n">
        <v>3.7</v>
      </c>
      <c r="AA154" s="185" t="s">
        <v>1287</v>
      </c>
      <c r="AB154" s="180" t="n">
        <v>1.6</v>
      </c>
      <c r="AC154" s="170"/>
      <c r="AD154" s="171"/>
      <c r="AE154" s="170"/>
      <c r="AF154" s="171"/>
      <c r="AG154" s="170"/>
      <c r="AH154" s="171"/>
      <c r="AI154" s="170"/>
      <c r="AJ154" s="171"/>
      <c r="AK154" s="170"/>
      <c r="AL154" s="171"/>
      <c r="AM154" s="170"/>
      <c r="AN154" s="171"/>
      <c r="AO154" s="170"/>
      <c r="AP154" s="171"/>
      <c r="AQ154" s="170"/>
      <c r="AR154" s="171"/>
      <c r="AS154" s="170"/>
      <c r="AT154" s="171"/>
      <c r="AU154" s="170"/>
      <c r="AV154" s="172" t="n">
        <f aca="false">IFERROR(VLOOKUP(A154,'Site check'!A:Q,14,0),0)</f>
        <v>0</v>
      </c>
    </row>
    <row r="155" customFormat="false" ht="13.15" hidden="false" customHeight="false" outlineLevel="0" collapsed="false">
      <c r="A155" s="20" t="s">
        <v>171</v>
      </c>
      <c r="B155" s="159"/>
      <c r="C155" s="167"/>
      <c r="D155" s="167"/>
      <c r="E155" s="167"/>
      <c r="F155" s="167"/>
      <c r="G155" s="168" t="n">
        <f aca="false">SUM(J155,L155,N155,P155,R155,T155,V155,X155,Z155,AB155,AD155,AF155,AH155,AJ155,AL155,AN155,AP155,AR155,AT155,AV155)</f>
        <v>0</v>
      </c>
      <c r="H155" s="169" t="n">
        <f aca="false">SUM(G155*1000)/54.5</f>
        <v>0</v>
      </c>
      <c r="I155" s="170"/>
      <c r="J155" s="171"/>
      <c r="K155" s="170"/>
      <c r="L155" s="171"/>
      <c r="M155" s="170"/>
      <c r="N155" s="171"/>
      <c r="O155" s="170"/>
      <c r="P155" s="171"/>
      <c r="Q155" s="170"/>
      <c r="R155" s="171"/>
      <c r="S155" s="170"/>
      <c r="T155" s="171"/>
      <c r="U155" s="170"/>
      <c r="V155" s="171"/>
      <c r="W155" s="170"/>
      <c r="X155" s="171"/>
      <c r="Y155" s="170"/>
      <c r="Z155" s="171"/>
      <c r="AA155" s="170"/>
      <c r="AB155" s="171"/>
      <c r="AC155" s="170"/>
      <c r="AD155" s="171"/>
      <c r="AE155" s="170"/>
      <c r="AF155" s="171"/>
      <c r="AG155" s="170"/>
      <c r="AH155" s="171"/>
      <c r="AI155" s="170"/>
      <c r="AJ155" s="171"/>
      <c r="AK155" s="170"/>
      <c r="AL155" s="171"/>
      <c r="AM155" s="170"/>
      <c r="AN155" s="171"/>
      <c r="AO155" s="170"/>
      <c r="AP155" s="171"/>
      <c r="AQ155" s="170"/>
      <c r="AR155" s="171"/>
      <c r="AS155" s="170"/>
      <c r="AT155" s="171"/>
      <c r="AU155" s="170"/>
      <c r="AV155" s="172" t="n">
        <f aca="false">IFERROR(VLOOKUP(A155,'Site check'!A:Q,14,0),0)</f>
        <v>0</v>
      </c>
    </row>
    <row r="156" customFormat="false" ht="13.15" hidden="false" customHeight="false" outlineLevel="0" collapsed="false">
      <c r="A156" s="32" t="s">
        <v>172</v>
      </c>
      <c r="B156" s="184" t="s">
        <v>17</v>
      </c>
      <c r="C156" s="167"/>
      <c r="D156" s="167"/>
      <c r="E156" s="167"/>
      <c r="F156" s="167"/>
      <c r="G156" s="168" t="n">
        <f aca="false">SUM(J156,L156,N156,P156,R156,T156,V156,X156,Z156,AB156,AD156,AF156,AH156,AJ156,AL156,AN156,AP156,AR156,AT156,AV156)</f>
        <v>2</v>
      </c>
      <c r="H156" s="169" t="n">
        <f aca="false">SUM(G156*1000)/54.5</f>
        <v>36.697247706422</v>
      </c>
      <c r="I156" s="186" t="s">
        <v>1288</v>
      </c>
      <c r="J156" s="192" t="n">
        <v>1</v>
      </c>
      <c r="K156" s="186" t="s">
        <v>1289</v>
      </c>
      <c r="L156" s="192" t="n">
        <v>1</v>
      </c>
      <c r="M156" s="170"/>
      <c r="N156" s="171"/>
      <c r="O156" s="170"/>
      <c r="P156" s="171"/>
      <c r="Q156" s="170"/>
      <c r="R156" s="171"/>
      <c r="S156" s="170"/>
      <c r="T156" s="171"/>
      <c r="U156" s="170"/>
      <c r="V156" s="171"/>
      <c r="W156" s="170"/>
      <c r="X156" s="171"/>
      <c r="Y156" s="170"/>
      <c r="Z156" s="171"/>
      <c r="AA156" s="170"/>
      <c r="AB156" s="171"/>
      <c r="AC156" s="170"/>
      <c r="AD156" s="171"/>
      <c r="AE156" s="170"/>
      <c r="AF156" s="171"/>
      <c r="AG156" s="170"/>
      <c r="AH156" s="171"/>
      <c r="AI156" s="170"/>
      <c r="AJ156" s="171"/>
      <c r="AK156" s="170"/>
      <c r="AL156" s="171"/>
      <c r="AM156" s="170"/>
      <c r="AN156" s="171"/>
      <c r="AO156" s="170"/>
      <c r="AP156" s="171"/>
      <c r="AQ156" s="170"/>
      <c r="AR156" s="171"/>
      <c r="AS156" s="170"/>
      <c r="AT156" s="171"/>
      <c r="AU156" s="170"/>
      <c r="AV156" s="172" t="n">
        <f aca="false">IFERROR(VLOOKUP(A156,'Site check'!A:Q,14,0),0)</f>
        <v>0</v>
      </c>
    </row>
    <row r="157" customFormat="false" ht="13.15" hidden="false" customHeight="false" outlineLevel="0" collapsed="false">
      <c r="A157" s="32" t="s">
        <v>173</v>
      </c>
      <c r="B157" s="167"/>
      <c r="C157" s="167"/>
      <c r="D157" s="167"/>
      <c r="E157" s="167"/>
      <c r="F157" s="167"/>
      <c r="G157" s="168" t="n">
        <f aca="false">SUM(J157,L157,N157,P157,R157,T157,V157,X157,Z157,AB157,AD157,AF157,AH157,AJ157,AL157,AN157,AP157,AR157,AT157,AV157)</f>
        <v>2</v>
      </c>
      <c r="H157" s="169" t="n">
        <f aca="false">SUM(G157*1000)/54.5</f>
        <v>36.697247706422</v>
      </c>
      <c r="I157" s="186" t="s">
        <v>1288</v>
      </c>
      <c r="J157" s="192" t="n">
        <v>1</v>
      </c>
      <c r="K157" s="186" t="s">
        <v>1289</v>
      </c>
      <c r="L157" s="192" t="n">
        <v>1</v>
      </c>
      <c r="M157" s="170"/>
      <c r="N157" s="171"/>
      <c r="O157" s="170"/>
      <c r="P157" s="171"/>
      <c r="Q157" s="170"/>
      <c r="R157" s="171"/>
      <c r="S157" s="170"/>
      <c r="T157" s="171"/>
      <c r="U157" s="170"/>
      <c r="V157" s="171"/>
      <c r="W157" s="170"/>
      <c r="X157" s="171"/>
      <c r="Y157" s="170"/>
      <c r="Z157" s="171"/>
      <c r="AA157" s="170"/>
      <c r="AB157" s="171"/>
      <c r="AC157" s="170"/>
      <c r="AD157" s="171"/>
      <c r="AE157" s="170"/>
      <c r="AF157" s="171"/>
      <c r="AG157" s="170"/>
      <c r="AH157" s="171"/>
      <c r="AI157" s="170"/>
      <c r="AJ157" s="171"/>
      <c r="AK157" s="170"/>
      <c r="AL157" s="171"/>
      <c r="AM157" s="170"/>
      <c r="AN157" s="171"/>
      <c r="AO157" s="170"/>
      <c r="AP157" s="171"/>
      <c r="AQ157" s="170"/>
      <c r="AR157" s="171"/>
      <c r="AS157" s="170"/>
      <c r="AT157" s="171"/>
      <c r="AU157" s="170"/>
      <c r="AV157" s="172" t="n">
        <f aca="false">IFERROR(VLOOKUP(A157,'Site check'!A:Q,14,0),0)</f>
        <v>0</v>
      </c>
    </row>
    <row r="158" customFormat="false" ht="13.15" hidden="false" customHeight="false" outlineLevel="0" collapsed="false">
      <c r="A158" s="33" t="s">
        <v>174</v>
      </c>
      <c r="B158" s="184" t="s">
        <v>17</v>
      </c>
      <c r="C158" s="176" t="s">
        <v>18</v>
      </c>
      <c r="D158" s="176" t="s">
        <v>19</v>
      </c>
      <c r="E158" s="167"/>
      <c r="F158" s="176" t="s">
        <v>958</v>
      </c>
      <c r="G158" s="168" t="n">
        <f aca="false">SUM(J158,L158,N158,P158,R158,T158,V158,X158,Z158,AB158,AD158,AF158,AH158,AJ158,AL158,AN158,AP158,AR158,AT158,AV158)</f>
        <v>20.575</v>
      </c>
      <c r="H158" s="169" t="n">
        <f aca="false">SUM(G158*1000)/54.5</f>
        <v>377.522935779816</v>
      </c>
      <c r="I158" s="181" t="s">
        <v>1290</v>
      </c>
      <c r="J158" s="175" t="n">
        <v>2.4</v>
      </c>
      <c r="K158" s="170" t="s">
        <v>1291</v>
      </c>
      <c r="L158" s="171" t="n">
        <v>0.9</v>
      </c>
      <c r="M158" s="179" t="s">
        <v>1292</v>
      </c>
      <c r="N158" s="180" t="n">
        <v>1.75</v>
      </c>
      <c r="O158" s="170" t="s">
        <v>1293</v>
      </c>
      <c r="P158" s="171" t="n">
        <v>0.125</v>
      </c>
      <c r="Q158" s="181" t="s">
        <v>1294</v>
      </c>
      <c r="R158" s="175" t="n">
        <v>0.6</v>
      </c>
      <c r="S158" s="181" t="s">
        <v>1295</v>
      </c>
      <c r="T158" s="175" t="n">
        <v>0.75</v>
      </c>
      <c r="U158" s="181" t="s">
        <v>1296</v>
      </c>
      <c r="V158" s="175" t="n">
        <v>0.95</v>
      </c>
      <c r="W158" s="181" t="s">
        <v>1297</v>
      </c>
      <c r="X158" s="175" t="n">
        <v>0.85</v>
      </c>
      <c r="Y158" s="181" t="s">
        <v>1298</v>
      </c>
      <c r="Z158" s="175" t="n">
        <v>0.8</v>
      </c>
      <c r="AA158" s="181" t="s">
        <v>1299</v>
      </c>
      <c r="AB158" s="175" t="n">
        <v>0.35</v>
      </c>
      <c r="AC158" s="181" t="s">
        <v>1300</v>
      </c>
      <c r="AD158" s="175" t="n">
        <v>1.5</v>
      </c>
      <c r="AE158" s="181" t="s">
        <v>1301</v>
      </c>
      <c r="AF158" s="175" t="n">
        <v>1.6</v>
      </c>
      <c r="AG158" s="173" t="s">
        <v>1302</v>
      </c>
      <c r="AH158" s="174" t="n">
        <v>2.05</v>
      </c>
      <c r="AI158" s="173" t="s">
        <v>1303</v>
      </c>
      <c r="AJ158" s="174" t="n">
        <v>1.1</v>
      </c>
      <c r="AK158" s="170" t="s">
        <v>1304</v>
      </c>
      <c r="AL158" s="171" t="n">
        <v>0.8</v>
      </c>
      <c r="AM158" s="170" t="s">
        <v>1305</v>
      </c>
      <c r="AN158" s="171" t="n">
        <v>0.8</v>
      </c>
      <c r="AO158" s="170" t="s">
        <v>1306</v>
      </c>
      <c r="AP158" s="171" t="n">
        <v>0.8</v>
      </c>
      <c r="AQ158" s="170" t="s">
        <v>1307</v>
      </c>
      <c r="AR158" s="171" t="n">
        <v>1.5</v>
      </c>
      <c r="AS158" s="181" t="s">
        <v>1308</v>
      </c>
      <c r="AT158" s="171" t="n">
        <v>0.95</v>
      </c>
      <c r="AU158" s="170"/>
      <c r="AV158" s="172" t="n">
        <f aca="false">IFERROR(VLOOKUP(A158,'Site check'!A:Q,14,0),0)</f>
        <v>0</v>
      </c>
    </row>
    <row r="159" customFormat="false" ht="13.15" hidden="false" customHeight="false" outlineLevel="0" collapsed="false">
      <c r="A159" s="33" t="s">
        <v>175</v>
      </c>
      <c r="B159" s="167"/>
      <c r="C159" s="167"/>
      <c r="D159" s="167"/>
      <c r="E159" s="167"/>
      <c r="F159" s="167"/>
      <c r="G159" s="168" t="n">
        <f aca="false">SUM(J159,L159,N159,P159,R159,T159,V159,X159,Z159,AB159,AD159,AF159,AH159,AJ159,AL159,AN159,AP159,AR159,AT159,AV159)</f>
        <v>19.775</v>
      </c>
      <c r="H159" s="169" t="n">
        <f aca="false">SUM(G159*1000)/54.5</f>
        <v>362.844036697248</v>
      </c>
      <c r="I159" s="181" t="s">
        <v>1290</v>
      </c>
      <c r="J159" s="175" t="n">
        <v>2.2</v>
      </c>
      <c r="K159" s="170" t="s">
        <v>1291</v>
      </c>
      <c r="L159" s="171" t="n">
        <v>0.5</v>
      </c>
      <c r="M159" s="179" t="s">
        <v>1292</v>
      </c>
      <c r="N159" s="180" t="n">
        <v>1.75</v>
      </c>
      <c r="O159" s="170" t="s">
        <v>1293</v>
      </c>
      <c r="P159" s="171" t="n">
        <v>0.125</v>
      </c>
      <c r="Q159" s="181" t="s">
        <v>1294</v>
      </c>
      <c r="R159" s="175" t="n">
        <v>0.6</v>
      </c>
      <c r="S159" s="181" t="s">
        <v>1295</v>
      </c>
      <c r="T159" s="175" t="n">
        <v>0.95</v>
      </c>
      <c r="U159" s="181" t="s">
        <v>1296</v>
      </c>
      <c r="V159" s="175" t="n">
        <v>0.95</v>
      </c>
      <c r="W159" s="181" t="s">
        <v>1297</v>
      </c>
      <c r="X159" s="175" t="n">
        <v>0.95</v>
      </c>
      <c r="Y159" s="181" t="s">
        <v>1298</v>
      </c>
      <c r="Z159" s="175" t="n">
        <v>0.1</v>
      </c>
      <c r="AA159" s="181" t="s">
        <v>1299</v>
      </c>
      <c r="AB159" s="175" t="n">
        <v>0.45</v>
      </c>
      <c r="AC159" s="181" t="s">
        <v>1300</v>
      </c>
      <c r="AD159" s="175" t="n">
        <v>1.4</v>
      </c>
      <c r="AE159" s="181" t="s">
        <v>1301</v>
      </c>
      <c r="AF159" s="175" t="n">
        <v>1.6</v>
      </c>
      <c r="AG159" s="173" t="s">
        <v>1302</v>
      </c>
      <c r="AH159" s="174" t="n">
        <v>2.05</v>
      </c>
      <c r="AI159" s="173" t="s">
        <v>1309</v>
      </c>
      <c r="AJ159" s="174" t="n">
        <v>1.2</v>
      </c>
      <c r="AK159" s="170" t="s">
        <v>1304</v>
      </c>
      <c r="AL159" s="171" t="n">
        <v>0.8</v>
      </c>
      <c r="AM159" s="170" t="s">
        <v>1305</v>
      </c>
      <c r="AN159" s="171" t="n">
        <v>0.8</v>
      </c>
      <c r="AO159" s="170" t="s">
        <v>1306</v>
      </c>
      <c r="AP159" s="171" t="n">
        <v>0.8</v>
      </c>
      <c r="AQ159" s="170" t="s">
        <v>1307</v>
      </c>
      <c r="AR159" s="171" t="n">
        <v>1.5</v>
      </c>
      <c r="AS159" s="181" t="s">
        <v>1308</v>
      </c>
      <c r="AT159" s="171" t="n">
        <v>1.05</v>
      </c>
      <c r="AU159" s="170"/>
      <c r="AV159" s="172" t="n">
        <f aca="false">IFERROR(VLOOKUP(A159,'Site check'!A:Q,14,0),0)</f>
        <v>0</v>
      </c>
    </row>
    <row r="160" customFormat="false" ht="13.15" hidden="false" customHeight="false" outlineLevel="0" collapsed="false">
      <c r="A160" s="20" t="s">
        <v>176</v>
      </c>
      <c r="B160" s="159"/>
      <c r="C160" s="167"/>
      <c r="D160" s="167"/>
      <c r="E160" s="167"/>
      <c r="F160" s="167"/>
      <c r="G160" s="168" t="n">
        <f aca="false">SUM(J160,L160,N160,P160,R160,T160,V160,X160,Z160,AB160,AD160,AF160,AH160,AJ160,AL160,AN160,AP160,AR160,AT160,AV160)</f>
        <v>0</v>
      </c>
      <c r="H160" s="169" t="n">
        <f aca="false">SUM(G160*1000)/54.5</f>
        <v>0</v>
      </c>
      <c r="I160" s="170"/>
      <c r="J160" s="171"/>
      <c r="K160" s="170"/>
      <c r="L160" s="171"/>
      <c r="M160" s="170"/>
      <c r="N160" s="171"/>
      <c r="O160" s="170"/>
      <c r="P160" s="171"/>
      <c r="Q160" s="170"/>
      <c r="R160" s="171"/>
      <c r="S160" s="181"/>
      <c r="T160" s="171"/>
      <c r="U160" s="170"/>
      <c r="V160" s="171"/>
      <c r="W160" s="170"/>
      <c r="X160" s="171"/>
      <c r="Y160" s="170"/>
      <c r="Z160" s="171"/>
      <c r="AA160" s="170"/>
      <c r="AB160" s="171"/>
      <c r="AC160" s="170"/>
      <c r="AD160" s="171"/>
      <c r="AE160" s="170"/>
      <c r="AF160" s="171"/>
      <c r="AG160" s="170"/>
      <c r="AH160" s="171"/>
      <c r="AI160" s="170"/>
      <c r="AJ160" s="171"/>
      <c r="AK160" s="170"/>
      <c r="AL160" s="171"/>
      <c r="AM160" s="170"/>
      <c r="AN160" s="171"/>
      <c r="AO160" s="170"/>
      <c r="AP160" s="171"/>
      <c r="AQ160" s="170"/>
      <c r="AR160" s="171"/>
      <c r="AS160" s="170"/>
      <c r="AT160" s="171"/>
      <c r="AU160" s="170"/>
      <c r="AV160" s="172" t="n">
        <f aca="false">IFERROR(VLOOKUP(A160,'Site check'!A:Q,14,0),0)</f>
        <v>0</v>
      </c>
    </row>
    <row r="161" customFormat="false" ht="13.15" hidden="false" customHeight="false" outlineLevel="0" collapsed="false">
      <c r="A161" s="20" t="s">
        <v>177</v>
      </c>
      <c r="B161" s="159"/>
      <c r="C161" s="167"/>
      <c r="D161" s="167"/>
      <c r="E161" s="167"/>
      <c r="F161" s="167"/>
      <c r="G161" s="168" t="n">
        <f aca="false">SUM(J161,L161,N161,P161,R161,T161,V161,X161,Z161,AB161,AD161,AF161,AH161,AJ161,AL161,AN161,AP161,AR161,AT161,AV161)</f>
        <v>4.8</v>
      </c>
      <c r="H161" s="169" t="n">
        <f aca="false">SUM(G161*1000)/54.5</f>
        <v>88.0733944954129</v>
      </c>
      <c r="I161" s="179" t="s">
        <v>1310</v>
      </c>
      <c r="J161" s="180" t="n">
        <v>0.3</v>
      </c>
      <c r="K161" s="179" t="s">
        <v>1311</v>
      </c>
      <c r="L161" s="180" t="n">
        <v>0.3</v>
      </c>
      <c r="M161" s="181" t="s">
        <v>1312</v>
      </c>
      <c r="N161" s="175" t="n">
        <v>4.2</v>
      </c>
      <c r="O161" s="170"/>
      <c r="P161" s="171"/>
      <c r="Q161" s="170"/>
      <c r="R161" s="171"/>
      <c r="S161" s="170"/>
      <c r="T161" s="171"/>
      <c r="U161" s="170"/>
      <c r="V161" s="171"/>
      <c r="W161" s="170"/>
      <c r="X161" s="171"/>
      <c r="Y161" s="170"/>
      <c r="Z161" s="171"/>
      <c r="AA161" s="170"/>
      <c r="AB161" s="171"/>
      <c r="AC161" s="170"/>
      <c r="AD161" s="171"/>
      <c r="AE161" s="170"/>
      <c r="AF161" s="171"/>
      <c r="AG161" s="170"/>
      <c r="AH161" s="171"/>
      <c r="AI161" s="170"/>
      <c r="AJ161" s="171"/>
      <c r="AK161" s="170"/>
      <c r="AL161" s="171"/>
      <c r="AM161" s="170"/>
      <c r="AN161" s="171"/>
      <c r="AO161" s="170"/>
      <c r="AP161" s="171"/>
      <c r="AQ161" s="170"/>
      <c r="AR161" s="171"/>
      <c r="AS161" s="170"/>
      <c r="AT161" s="171"/>
      <c r="AU161" s="170"/>
      <c r="AV161" s="172" t="n">
        <f aca="false">IFERROR(VLOOKUP(A161,'Site check'!A:Q,14,0),0)</f>
        <v>0</v>
      </c>
    </row>
    <row r="162" customFormat="false" ht="13.15" hidden="false" customHeight="false" outlineLevel="0" collapsed="false">
      <c r="A162" s="20" t="s">
        <v>178</v>
      </c>
      <c r="B162" s="159"/>
      <c r="C162" s="167"/>
      <c r="D162" s="167"/>
      <c r="E162" s="167"/>
      <c r="F162" s="167"/>
      <c r="G162" s="168" t="n">
        <f aca="false">SUM(J162,L162,N162,P162,R162,T162,V162,X162,Z162,AB162,AD162,AF162,AH162,AJ162,AL162,AN162,AP162,AR162,AT162,AV162)</f>
        <v>4</v>
      </c>
      <c r="H162" s="169" t="n">
        <f aca="false">SUM(G162*1000)/54.5</f>
        <v>73.394495412844</v>
      </c>
      <c r="I162" s="181" t="s">
        <v>1313</v>
      </c>
      <c r="J162" s="175" t="n">
        <v>4</v>
      </c>
      <c r="K162" s="170"/>
      <c r="L162" s="171"/>
      <c r="M162" s="170"/>
      <c r="N162" s="171"/>
      <c r="O162" s="170"/>
      <c r="P162" s="171"/>
      <c r="Q162" s="170"/>
      <c r="R162" s="171"/>
      <c r="S162" s="170"/>
      <c r="T162" s="171"/>
      <c r="U162" s="170"/>
      <c r="V162" s="171"/>
      <c r="W162" s="170"/>
      <c r="X162" s="171"/>
      <c r="Y162" s="170"/>
      <c r="Z162" s="171"/>
      <c r="AA162" s="170"/>
      <c r="AB162" s="171"/>
      <c r="AC162" s="170"/>
      <c r="AD162" s="171"/>
      <c r="AE162" s="170"/>
      <c r="AF162" s="171"/>
      <c r="AG162" s="170"/>
      <c r="AH162" s="171"/>
      <c r="AI162" s="170"/>
      <c r="AJ162" s="171"/>
      <c r="AK162" s="170"/>
      <c r="AL162" s="171"/>
      <c r="AM162" s="170"/>
      <c r="AN162" s="171"/>
      <c r="AO162" s="170"/>
      <c r="AP162" s="171"/>
      <c r="AQ162" s="170"/>
      <c r="AR162" s="171"/>
      <c r="AS162" s="170"/>
      <c r="AT162" s="171"/>
      <c r="AU162" s="170"/>
      <c r="AV162" s="172" t="n">
        <f aca="false">IFERROR(VLOOKUP(A162,'Site check'!A:Q,14,0),0)</f>
        <v>0</v>
      </c>
    </row>
    <row r="163" customFormat="false" ht="13.15" hidden="false" customHeight="false" outlineLevel="0" collapsed="false">
      <c r="A163" s="20" t="s">
        <v>179</v>
      </c>
      <c r="B163" s="159"/>
      <c r="C163" s="167"/>
      <c r="D163" s="167"/>
      <c r="E163" s="167"/>
      <c r="F163" s="167"/>
      <c r="G163" s="168" t="n">
        <f aca="false">SUM(J163,L163,N163,P163,R163,T163,V163,X163,Z163,AB163,AD163,AF163,AH163,AJ163,AL163,AN163,AP163,AR163,AT163,AV163)</f>
        <v>1</v>
      </c>
      <c r="H163" s="169" t="n">
        <f aca="false">SUM(G163*1000)/54.5</f>
        <v>18.348623853211</v>
      </c>
      <c r="I163" s="186" t="s">
        <v>1314</v>
      </c>
      <c r="J163" s="192" t="n">
        <v>1</v>
      </c>
      <c r="K163" s="170"/>
      <c r="L163" s="171"/>
      <c r="M163" s="170"/>
      <c r="N163" s="171"/>
      <c r="O163" s="170"/>
      <c r="P163" s="171"/>
      <c r="Q163" s="170"/>
      <c r="R163" s="171"/>
      <c r="S163" s="170"/>
      <c r="T163" s="171"/>
      <c r="U163" s="170"/>
      <c r="V163" s="171"/>
      <c r="W163" s="170"/>
      <c r="X163" s="171"/>
      <c r="Y163" s="170"/>
      <c r="Z163" s="171"/>
      <c r="AA163" s="170"/>
      <c r="AB163" s="171"/>
      <c r="AC163" s="170"/>
      <c r="AD163" s="171"/>
      <c r="AE163" s="170"/>
      <c r="AF163" s="171"/>
      <c r="AG163" s="170"/>
      <c r="AH163" s="171"/>
      <c r="AI163" s="170"/>
      <c r="AJ163" s="171"/>
      <c r="AK163" s="170"/>
      <c r="AL163" s="171"/>
      <c r="AM163" s="170"/>
      <c r="AN163" s="171"/>
      <c r="AO163" s="170"/>
      <c r="AP163" s="171"/>
      <c r="AQ163" s="170"/>
      <c r="AR163" s="171"/>
      <c r="AS163" s="170"/>
      <c r="AT163" s="171"/>
      <c r="AU163" s="170"/>
      <c r="AV163" s="172" t="n">
        <f aca="false">IFERROR(VLOOKUP(A163,'Site check'!A:Q,14,0),0)</f>
        <v>0</v>
      </c>
    </row>
    <row r="164" customFormat="false" ht="13.15" hidden="false" customHeight="false" outlineLevel="0" collapsed="false">
      <c r="A164" s="20" t="s">
        <v>180</v>
      </c>
      <c r="B164" s="159"/>
      <c r="C164" s="167"/>
      <c r="D164" s="167"/>
      <c r="E164" s="167"/>
      <c r="F164" s="167"/>
      <c r="G164" s="168" t="n">
        <f aca="false">SUM(J164,L164,N164,P164,R164,T164,V164,X164,Z164,AB164,AD164,AF164,AH164,AJ164,AL164,AN164,AP164,AR164,AT164,AV164)</f>
        <v>0.5</v>
      </c>
      <c r="H164" s="169" t="n">
        <f aca="false">SUM(G164*1000)/54.5</f>
        <v>9.1743119266055</v>
      </c>
      <c r="I164" s="173" t="s">
        <v>1315</v>
      </c>
      <c r="J164" s="174" t="n">
        <v>0.5</v>
      </c>
      <c r="K164" s="170"/>
      <c r="L164" s="171"/>
      <c r="M164" s="170"/>
      <c r="N164" s="171"/>
      <c r="O164" s="170"/>
      <c r="P164" s="171"/>
      <c r="Q164" s="170"/>
      <c r="R164" s="171"/>
      <c r="S164" s="170"/>
      <c r="T164" s="171"/>
      <c r="U164" s="170"/>
      <c r="V164" s="171"/>
      <c r="W164" s="170"/>
      <c r="X164" s="171"/>
      <c r="Y164" s="170"/>
      <c r="Z164" s="171"/>
      <c r="AA164" s="170"/>
      <c r="AB164" s="171"/>
      <c r="AC164" s="170"/>
      <c r="AD164" s="171"/>
      <c r="AE164" s="170"/>
      <c r="AF164" s="171"/>
      <c r="AG164" s="170"/>
      <c r="AH164" s="171"/>
      <c r="AI164" s="170"/>
      <c r="AJ164" s="171"/>
      <c r="AK164" s="170"/>
      <c r="AL164" s="171"/>
      <c r="AM164" s="170"/>
      <c r="AN164" s="171"/>
      <c r="AO164" s="170"/>
      <c r="AP164" s="171"/>
      <c r="AQ164" s="170"/>
      <c r="AR164" s="171"/>
      <c r="AS164" s="170"/>
      <c r="AT164" s="171"/>
      <c r="AU164" s="170"/>
      <c r="AV164" s="172" t="n">
        <f aca="false">IFERROR(VLOOKUP(A164,'Site check'!A:Q,14,0),0)</f>
        <v>0</v>
      </c>
    </row>
    <row r="165" customFormat="false" ht="13.15" hidden="false" customHeight="false" outlineLevel="0" collapsed="false">
      <c r="A165" s="20" t="s">
        <v>181</v>
      </c>
      <c r="B165" s="159"/>
      <c r="C165" s="167"/>
      <c r="D165" s="167"/>
      <c r="E165" s="167"/>
      <c r="F165" s="167"/>
      <c r="G165" s="168" t="n">
        <f aca="false">SUM(J165,L165,N165,P165,R165,T165,V165,X165,Z165,AB165,AD165,AF165,AH165,AJ165,AL165,AN165,AP165,AR165,AT165,AV165)</f>
        <v>0</v>
      </c>
      <c r="H165" s="169" t="n">
        <f aca="false">SUM(G165*1000)/54.5</f>
        <v>0</v>
      </c>
      <c r="I165" s="173"/>
      <c r="J165" s="174"/>
      <c r="K165" s="170"/>
      <c r="L165" s="171"/>
      <c r="M165" s="170"/>
      <c r="N165" s="171"/>
      <c r="O165" s="170"/>
      <c r="P165" s="171"/>
      <c r="Q165" s="170"/>
      <c r="R165" s="171"/>
      <c r="S165" s="170"/>
      <c r="T165" s="171"/>
      <c r="U165" s="170"/>
      <c r="V165" s="171"/>
      <c r="W165" s="170"/>
      <c r="X165" s="171"/>
      <c r="Y165" s="170"/>
      <c r="Z165" s="171"/>
      <c r="AA165" s="170"/>
      <c r="AB165" s="171"/>
      <c r="AC165" s="170"/>
      <c r="AD165" s="171"/>
      <c r="AE165" s="170"/>
      <c r="AF165" s="171"/>
      <c r="AG165" s="170"/>
      <c r="AH165" s="171"/>
      <c r="AI165" s="170"/>
      <c r="AJ165" s="171"/>
      <c r="AK165" s="170"/>
      <c r="AL165" s="171"/>
      <c r="AM165" s="170"/>
      <c r="AN165" s="171"/>
      <c r="AO165" s="170"/>
      <c r="AP165" s="171"/>
      <c r="AQ165" s="170"/>
      <c r="AR165" s="171"/>
      <c r="AS165" s="170"/>
      <c r="AT165" s="171"/>
      <c r="AU165" s="170"/>
      <c r="AV165" s="172" t="n">
        <f aca="false">IFERROR(VLOOKUP(A165,'Site check'!A:Q,14,0),0)</f>
        <v>0</v>
      </c>
    </row>
    <row r="166" customFormat="false" ht="13.15" hidden="false" customHeight="false" outlineLevel="0" collapsed="false">
      <c r="A166" s="20" t="s">
        <v>182</v>
      </c>
      <c r="B166" s="159"/>
      <c r="C166" s="167"/>
      <c r="D166" s="167"/>
      <c r="E166" s="167"/>
      <c r="F166" s="167"/>
      <c r="G166" s="168" t="n">
        <f aca="false">SUM(J166,L166,N166,P166,R166,T166,V166,X166,Z166,AB166,AD166,AF166,AH166,AJ166,AL166,AN166,AP166,AR166,AT166,AV166)</f>
        <v>1</v>
      </c>
      <c r="H166" s="169" t="n">
        <f aca="false">SUM(G166*1000)/54.5</f>
        <v>18.348623853211</v>
      </c>
      <c r="I166" s="186" t="s">
        <v>1316</v>
      </c>
      <c r="J166" s="192" t="n">
        <v>1</v>
      </c>
      <c r="K166" s="170"/>
      <c r="L166" s="171"/>
      <c r="M166" s="170"/>
      <c r="N166" s="171"/>
      <c r="O166" s="170"/>
      <c r="P166" s="171"/>
      <c r="Q166" s="170"/>
      <c r="R166" s="171"/>
      <c r="S166" s="170"/>
      <c r="T166" s="171"/>
      <c r="U166" s="170"/>
      <c r="V166" s="171"/>
      <c r="W166" s="170"/>
      <c r="X166" s="171"/>
      <c r="Y166" s="170"/>
      <c r="Z166" s="171"/>
      <c r="AA166" s="170"/>
      <c r="AB166" s="171"/>
      <c r="AC166" s="170"/>
      <c r="AD166" s="171"/>
      <c r="AE166" s="170"/>
      <c r="AF166" s="171"/>
      <c r="AG166" s="170"/>
      <c r="AH166" s="171"/>
      <c r="AI166" s="170"/>
      <c r="AJ166" s="171"/>
      <c r="AK166" s="170"/>
      <c r="AL166" s="171"/>
      <c r="AM166" s="170"/>
      <c r="AN166" s="171"/>
      <c r="AO166" s="170"/>
      <c r="AP166" s="171"/>
      <c r="AQ166" s="170"/>
      <c r="AR166" s="171"/>
      <c r="AS166" s="170"/>
      <c r="AT166" s="171"/>
      <c r="AU166" s="170"/>
      <c r="AV166" s="172" t="n">
        <f aca="false">IFERROR(VLOOKUP(A166,'Site check'!A:Q,14,0),0)</f>
        <v>0</v>
      </c>
    </row>
    <row r="167" customFormat="false" ht="13.15" hidden="false" customHeight="false" outlineLevel="0" collapsed="false">
      <c r="A167" s="20" t="s">
        <v>183</v>
      </c>
      <c r="B167" s="159"/>
      <c r="C167" s="167"/>
      <c r="D167" s="167"/>
      <c r="E167" s="167"/>
      <c r="F167" s="167"/>
      <c r="G167" s="168" t="n">
        <f aca="false">SUM(J167,L167,N167,P167,R167,T167,V167,X167,Z167,AB167,AD167,AF167,AH167,AJ167,AL167,AN167,AP167,AR167,AT167,AV167)</f>
        <v>0</v>
      </c>
      <c r="H167" s="169" t="n">
        <f aca="false">SUM(G167*1000)/54.5</f>
        <v>0</v>
      </c>
      <c r="I167" s="170"/>
      <c r="J167" s="171"/>
      <c r="K167" s="170"/>
      <c r="L167" s="171"/>
      <c r="M167" s="170"/>
      <c r="N167" s="171"/>
      <c r="O167" s="170"/>
      <c r="P167" s="171"/>
      <c r="Q167" s="170"/>
      <c r="R167" s="171"/>
      <c r="S167" s="170"/>
      <c r="T167" s="171"/>
      <c r="U167" s="170"/>
      <c r="V167" s="171"/>
      <c r="W167" s="170"/>
      <c r="X167" s="171"/>
      <c r="Y167" s="170"/>
      <c r="Z167" s="171"/>
      <c r="AA167" s="170"/>
      <c r="AB167" s="171"/>
      <c r="AC167" s="170"/>
      <c r="AD167" s="171"/>
      <c r="AE167" s="170"/>
      <c r="AF167" s="171"/>
      <c r="AG167" s="170"/>
      <c r="AH167" s="171"/>
      <c r="AI167" s="170"/>
      <c r="AJ167" s="171"/>
      <c r="AK167" s="170"/>
      <c r="AL167" s="171"/>
      <c r="AM167" s="170"/>
      <c r="AN167" s="171"/>
      <c r="AO167" s="170"/>
      <c r="AP167" s="171"/>
      <c r="AQ167" s="170"/>
      <c r="AR167" s="171"/>
      <c r="AS167" s="170"/>
      <c r="AT167" s="171"/>
      <c r="AU167" s="170"/>
      <c r="AV167" s="172" t="n">
        <f aca="false">IFERROR(VLOOKUP(A167,'Site check'!A:Q,14,0),0)</f>
        <v>0</v>
      </c>
    </row>
    <row r="168" customFormat="false" ht="13.15" hidden="false" customHeight="false" outlineLevel="0" collapsed="false">
      <c r="A168" s="20" t="s">
        <v>184</v>
      </c>
      <c r="B168" s="159"/>
      <c r="C168" s="176" t="s">
        <v>18</v>
      </c>
      <c r="D168" s="167"/>
      <c r="E168" s="167"/>
      <c r="F168" s="167"/>
      <c r="G168" s="168" t="n">
        <f aca="false">SUM(J168,L168,N168,P168,R168,T168,V168,X168,Z168,AB168,AD168,AF168,AH168,AJ168,AL168,AN168,AP168,AR168,AT168,AV168)</f>
        <v>2.4</v>
      </c>
      <c r="H168" s="169" t="n">
        <f aca="false">SUM(G168*1000)/54.5</f>
        <v>44.0366972477064</v>
      </c>
      <c r="I168" s="170" t="s">
        <v>1317</v>
      </c>
      <c r="J168" s="171" t="n">
        <v>2.4</v>
      </c>
      <c r="K168" s="170"/>
      <c r="L168" s="171"/>
      <c r="M168" s="170"/>
      <c r="N168" s="171"/>
      <c r="O168" s="170"/>
      <c r="P168" s="171"/>
      <c r="Q168" s="170"/>
      <c r="R168" s="171"/>
      <c r="S168" s="170"/>
      <c r="T168" s="171"/>
      <c r="U168" s="170"/>
      <c r="V168" s="171"/>
      <c r="W168" s="170"/>
      <c r="X168" s="171"/>
      <c r="Y168" s="170"/>
      <c r="Z168" s="171"/>
      <c r="AA168" s="170"/>
      <c r="AB168" s="171"/>
      <c r="AC168" s="170"/>
      <c r="AD168" s="171"/>
      <c r="AE168" s="170"/>
      <c r="AF168" s="171"/>
      <c r="AG168" s="170"/>
      <c r="AH168" s="171"/>
      <c r="AI168" s="170"/>
      <c r="AJ168" s="171"/>
      <c r="AK168" s="170"/>
      <c r="AL168" s="171"/>
      <c r="AM168" s="170"/>
      <c r="AN168" s="171"/>
      <c r="AO168" s="170"/>
      <c r="AP168" s="171"/>
      <c r="AQ168" s="170"/>
      <c r="AR168" s="171"/>
      <c r="AS168" s="170"/>
      <c r="AT168" s="171"/>
      <c r="AU168" s="170"/>
      <c r="AV168" s="172" t="n">
        <f aca="false">IFERROR(VLOOKUP(A168,'Site check'!A:Q,14,0),0)</f>
        <v>0</v>
      </c>
    </row>
    <row r="169" customFormat="false" ht="13.15" hidden="false" customHeight="false" outlineLevel="0" collapsed="false">
      <c r="A169" s="20" t="s">
        <v>185</v>
      </c>
      <c r="B169" s="159"/>
      <c r="C169" s="167"/>
      <c r="D169" s="167"/>
      <c r="E169" s="167"/>
      <c r="F169" s="167"/>
      <c r="G169" s="168" t="n">
        <f aca="false">SUM(J169,L169,N169,P169,R169,T169,V169,X169,Z169,AB169,AD169,AF169,AH169,AJ169,AL169,AN169,AP169,AR169,AT169,AV169)</f>
        <v>1</v>
      </c>
      <c r="H169" s="169" t="n">
        <f aca="false">SUM(G169*1000)/54.5</f>
        <v>18.348623853211</v>
      </c>
      <c r="I169" s="177" t="s">
        <v>1318</v>
      </c>
      <c r="J169" s="175" t="n">
        <v>1</v>
      </c>
      <c r="K169" s="170"/>
      <c r="L169" s="171"/>
      <c r="M169" s="170"/>
      <c r="N169" s="171"/>
      <c r="O169" s="170"/>
      <c r="P169" s="171"/>
      <c r="Q169" s="170"/>
      <c r="R169" s="171"/>
      <c r="S169" s="170"/>
      <c r="T169" s="171"/>
      <c r="U169" s="170"/>
      <c r="V169" s="171"/>
      <c r="W169" s="170"/>
      <c r="X169" s="171"/>
      <c r="Y169" s="170"/>
      <c r="Z169" s="171"/>
      <c r="AA169" s="170"/>
      <c r="AB169" s="171"/>
      <c r="AC169" s="170"/>
      <c r="AD169" s="171"/>
      <c r="AE169" s="170"/>
      <c r="AF169" s="171"/>
      <c r="AG169" s="170"/>
      <c r="AH169" s="171"/>
      <c r="AI169" s="170"/>
      <c r="AJ169" s="171"/>
      <c r="AK169" s="170"/>
      <c r="AL169" s="171"/>
      <c r="AM169" s="170"/>
      <c r="AN169" s="171"/>
      <c r="AO169" s="170"/>
      <c r="AP169" s="171"/>
      <c r="AQ169" s="170"/>
      <c r="AR169" s="171"/>
      <c r="AS169" s="170"/>
      <c r="AT169" s="171"/>
      <c r="AU169" s="170"/>
      <c r="AV169" s="172" t="n">
        <f aca="false">IFERROR(VLOOKUP(A169,'Site check'!A:Q,14,0),0)</f>
        <v>0</v>
      </c>
    </row>
    <row r="170" customFormat="false" ht="13.15" hidden="false" customHeight="false" outlineLevel="0" collapsed="false">
      <c r="A170" s="20" t="s">
        <v>186</v>
      </c>
      <c r="B170" s="159"/>
      <c r="C170" s="176" t="s">
        <v>18</v>
      </c>
      <c r="D170" s="167"/>
      <c r="E170" s="167"/>
      <c r="F170" s="167"/>
      <c r="G170" s="168" t="n">
        <f aca="false">SUM(J170,L170,N170,P170,R170,T170,V170,X170,Z170,AB170,AD170,AF170,AH170,AJ170,AL170,AN170,AP170,AR170,AT170,AV170)</f>
        <v>1.7</v>
      </c>
      <c r="H170" s="169" t="n">
        <f aca="false">SUM(G170*1000)/54.5</f>
        <v>31.1926605504587</v>
      </c>
      <c r="I170" s="170" t="s">
        <v>1319</v>
      </c>
      <c r="J170" s="171" t="n">
        <v>1.7</v>
      </c>
      <c r="K170" s="170"/>
      <c r="L170" s="171"/>
      <c r="M170" s="170"/>
      <c r="N170" s="171"/>
      <c r="O170" s="170"/>
      <c r="P170" s="171"/>
      <c r="Q170" s="170"/>
      <c r="R170" s="171"/>
      <c r="S170" s="170"/>
      <c r="T170" s="171"/>
      <c r="U170" s="170"/>
      <c r="V170" s="171"/>
      <c r="W170" s="170"/>
      <c r="X170" s="171"/>
      <c r="Y170" s="170"/>
      <c r="Z170" s="171"/>
      <c r="AA170" s="170"/>
      <c r="AB170" s="171"/>
      <c r="AC170" s="170"/>
      <c r="AD170" s="171"/>
      <c r="AE170" s="170"/>
      <c r="AF170" s="171"/>
      <c r="AG170" s="170"/>
      <c r="AH170" s="171"/>
      <c r="AI170" s="170"/>
      <c r="AJ170" s="171"/>
      <c r="AK170" s="170"/>
      <c r="AL170" s="171"/>
      <c r="AM170" s="170"/>
      <c r="AN170" s="171"/>
      <c r="AO170" s="170"/>
      <c r="AP170" s="171"/>
      <c r="AQ170" s="170"/>
      <c r="AR170" s="171"/>
      <c r="AS170" s="170"/>
      <c r="AT170" s="171"/>
      <c r="AU170" s="170"/>
      <c r="AV170" s="172" t="n">
        <f aca="false">IFERROR(VLOOKUP(A170,'Site check'!A:Q,14,0),0)</f>
        <v>0</v>
      </c>
    </row>
    <row r="171" customFormat="false" ht="13.15" hidden="false" customHeight="false" outlineLevel="0" collapsed="false">
      <c r="A171" s="32" t="s">
        <v>187</v>
      </c>
      <c r="B171" s="159"/>
      <c r="C171" s="176" t="s">
        <v>18</v>
      </c>
      <c r="D171" s="167"/>
      <c r="E171" s="167"/>
      <c r="F171" s="176" t="s">
        <v>958</v>
      </c>
      <c r="G171" s="168" t="n">
        <f aca="false">SUM(J171,L171,N171,P171,R171,T171,V171,X171,Z171,AB171,AD171,AF171,AH171,AJ171,AL171,AN171,AP171,AR171,AT171,AV171)</f>
        <v>10.1</v>
      </c>
      <c r="H171" s="169" t="n">
        <f aca="false">SUM(G171*1000)/54.5</f>
        <v>185.321100917431</v>
      </c>
      <c r="I171" s="170" t="s">
        <v>1320</v>
      </c>
      <c r="J171" s="171" t="n">
        <v>0.4</v>
      </c>
      <c r="K171" s="170" t="s">
        <v>1321</v>
      </c>
      <c r="L171" s="171" t="n">
        <v>5.1</v>
      </c>
      <c r="M171" s="186" t="s">
        <v>1322</v>
      </c>
      <c r="N171" s="209" t="n">
        <v>0.8</v>
      </c>
      <c r="O171" s="181" t="s">
        <v>1323</v>
      </c>
      <c r="P171" s="175" t="n">
        <v>1.4</v>
      </c>
      <c r="Q171" s="177" t="s">
        <v>1324</v>
      </c>
      <c r="R171" s="178" t="n">
        <v>0.5</v>
      </c>
      <c r="S171" s="170" t="s">
        <v>1325</v>
      </c>
      <c r="T171" s="171" t="n">
        <v>0.5</v>
      </c>
      <c r="U171" s="170" t="s">
        <v>1326</v>
      </c>
      <c r="V171" s="171" t="n">
        <v>1.4</v>
      </c>
      <c r="W171" s="170"/>
      <c r="X171" s="171"/>
      <c r="Y171" s="170"/>
      <c r="Z171" s="171"/>
      <c r="AA171" s="170"/>
      <c r="AB171" s="171"/>
      <c r="AC171" s="170"/>
      <c r="AD171" s="171"/>
      <c r="AE171" s="170"/>
      <c r="AF171" s="171"/>
      <c r="AG171" s="170"/>
      <c r="AH171" s="171"/>
      <c r="AI171" s="170"/>
      <c r="AJ171" s="171"/>
      <c r="AK171" s="170"/>
      <c r="AL171" s="171"/>
      <c r="AM171" s="170"/>
      <c r="AN171" s="171"/>
      <c r="AO171" s="170"/>
      <c r="AP171" s="171"/>
      <c r="AQ171" s="170"/>
      <c r="AR171" s="171"/>
      <c r="AS171" s="170"/>
      <c r="AT171" s="171"/>
      <c r="AU171" s="170"/>
      <c r="AV171" s="172" t="n">
        <f aca="false">IFERROR(VLOOKUP(A171,'Site check'!A:Q,14,0),0)</f>
        <v>0</v>
      </c>
    </row>
    <row r="172" customFormat="false" ht="13.15" hidden="false" customHeight="false" outlineLevel="0" collapsed="false">
      <c r="A172" s="32" t="s">
        <v>188</v>
      </c>
      <c r="B172" s="159"/>
      <c r="C172" s="176"/>
      <c r="D172" s="167"/>
      <c r="E172" s="167"/>
      <c r="F172" s="176"/>
      <c r="G172" s="168" t="n">
        <f aca="false">SUM(J172,L172,N172,P172,R172,T172,V172,X172,Z172,AB172,AD172,AF172,AH172,AJ172,AL172,AN172,AP172,AR172,AT172,AV172)</f>
        <v>10.6</v>
      </c>
      <c r="H172" s="169" t="n">
        <f aca="false">SUM(G172*1000)/54.5</f>
        <v>194.495412844037</v>
      </c>
      <c r="I172" s="170" t="s">
        <v>1320</v>
      </c>
      <c r="J172" s="171" t="n">
        <v>0.7</v>
      </c>
      <c r="K172" s="170" t="s">
        <v>1321</v>
      </c>
      <c r="L172" s="171" t="n">
        <v>5.2</v>
      </c>
      <c r="M172" s="186" t="s">
        <v>1322</v>
      </c>
      <c r="N172" s="209" t="n">
        <v>0.9</v>
      </c>
      <c r="O172" s="181" t="s">
        <v>1323</v>
      </c>
      <c r="P172" s="175" t="n">
        <v>1.4</v>
      </c>
      <c r="Q172" s="177" t="s">
        <v>1324</v>
      </c>
      <c r="R172" s="178" t="n">
        <v>0.5</v>
      </c>
      <c r="S172" s="170" t="s">
        <v>1325</v>
      </c>
      <c r="T172" s="171" t="n">
        <v>0.5</v>
      </c>
      <c r="U172" s="170" t="s">
        <v>1326</v>
      </c>
      <c r="V172" s="171" t="n">
        <v>1.4</v>
      </c>
      <c r="W172" s="170"/>
      <c r="X172" s="171"/>
      <c r="Y172" s="170"/>
      <c r="Z172" s="171"/>
      <c r="AA172" s="170"/>
      <c r="AB172" s="171"/>
      <c r="AC172" s="170"/>
      <c r="AD172" s="171"/>
      <c r="AE172" s="170"/>
      <c r="AF172" s="171"/>
      <c r="AG172" s="170"/>
      <c r="AH172" s="171"/>
      <c r="AI172" s="170"/>
      <c r="AJ172" s="171"/>
      <c r="AK172" s="170"/>
      <c r="AL172" s="171"/>
      <c r="AM172" s="170"/>
      <c r="AN172" s="171"/>
      <c r="AO172" s="170"/>
      <c r="AP172" s="171"/>
      <c r="AQ172" s="170"/>
      <c r="AR172" s="171"/>
      <c r="AS172" s="170"/>
      <c r="AT172" s="171"/>
      <c r="AU172" s="170"/>
      <c r="AV172" s="172" t="n">
        <f aca="false">IFERROR(VLOOKUP(A172,'Site check'!A:Q,14,0),0)</f>
        <v>0</v>
      </c>
    </row>
    <row r="173" customFormat="false" ht="13.15" hidden="false" customHeight="false" outlineLevel="0" collapsed="false">
      <c r="A173" s="20" t="s">
        <v>189</v>
      </c>
      <c r="B173" s="159"/>
      <c r="C173" s="167"/>
      <c r="D173" s="167"/>
      <c r="E173" s="167"/>
      <c r="F173" s="167"/>
      <c r="G173" s="168" t="n">
        <f aca="false">SUM(J173,L173,N173,P173,R173,T173,V173,X173,Z173,AB173,AD173,AF173,AH173,AJ173,AL173,AN173,AP173,AR173,AT173,AV173)</f>
        <v>0</v>
      </c>
      <c r="H173" s="169" t="n">
        <f aca="false">SUM(G173*1000)/54.5</f>
        <v>0</v>
      </c>
      <c r="I173" s="170"/>
      <c r="J173" s="171"/>
      <c r="K173" s="170"/>
      <c r="L173" s="171"/>
      <c r="M173" s="170"/>
      <c r="N173" s="171"/>
      <c r="O173" s="170"/>
      <c r="P173" s="171"/>
      <c r="Q173" s="170"/>
      <c r="R173" s="171"/>
      <c r="S173" s="170"/>
      <c r="T173" s="171"/>
      <c r="U173" s="170"/>
      <c r="V173" s="171"/>
      <c r="W173" s="170"/>
      <c r="X173" s="171"/>
      <c r="Y173" s="170"/>
      <c r="Z173" s="171"/>
      <c r="AA173" s="170"/>
      <c r="AB173" s="171"/>
      <c r="AC173" s="170"/>
      <c r="AD173" s="171"/>
      <c r="AE173" s="170"/>
      <c r="AF173" s="171"/>
      <c r="AG173" s="170"/>
      <c r="AH173" s="171"/>
      <c r="AI173" s="170"/>
      <c r="AJ173" s="171"/>
      <c r="AK173" s="170"/>
      <c r="AL173" s="171"/>
      <c r="AM173" s="170"/>
      <c r="AN173" s="171"/>
      <c r="AO173" s="170"/>
      <c r="AP173" s="171"/>
      <c r="AQ173" s="170"/>
      <c r="AR173" s="171"/>
      <c r="AS173" s="170"/>
      <c r="AT173" s="171"/>
      <c r="AU173" s="170"/>
      <c r="AV173" s="172" t="n">
        <f aca="false">IFERROR(VLOOKUP(A173,'Site check'!A:Q,14,0),0)</f>
        <v>0</v>
      </c>
    </row>
    <row r="174" customFormat="false" ht="13.15" hidden="false" customHeight="false" outlineLevel="0" collapsed="false">
      <c r="A174" s="20" t="s">
        <v>190</v>
      </c>
      <c r="B174" s="159"/>
      <c r="C174" s="167"/>
      <c r="D174" s="167"/>
      <c r="E174" s="167"/>
      <c r="F174" s="167"/>
      <c r="G174" s="168" t="n">
        <f aca="false">SUM(J174,L174,N174,P174,R174,T174,V174,X174,Z174,AB174,AD174,AF174,AH174,AJ174,AL174,AN174,AP174,AR174,AT174,AV174)</f>
        <v>0</v>
      </c>
      <c r="H174" s="169" t="n">
        <f aca="false">SUM(G174*1000)/54.5</f>
        <v>0</v>
      </c>
      <c r="I174" s="170"/>
      <c r="J174" s="171"/>
      <c r="K174" s="170"/>
      <c r="L174" s="171"/>
      <c r="M174" s="170"/>
      <c r="N174" s="171"/>
      <c r="O174" s="170"/>
      <c r="P174" s="171"/>
      <c r="Q174" s="170"/>
      <c r="R174" s="171"/>
      <c r="S174" s="170"/>
      <c r="T174" s="171"/>
      <c r="U174" s="170"/>
      <c r="V174" s="171"/>
      <c r="W174" s="170"/>
      <c r="X174" s="171"/>
      <c r="Y174" s="170"/>
      <c r="Z174" s="171"/>
      <c r="AA174" s="170"/>
      <c r="AB174" s="171"/>
      <c r="AC174" s="170"/>
      <c r="AD174" s="171"/>
      <c r="AE174" s="170"/>
      <c r="AF174" s="171"/>
      <c r="AG174" s="170"/>
      <c r="AH174" s="171"/>
      <c r="AI174" s="170"/>
      <c r="AJ174" s="171"/>
      <c r="AK174" s="170"/>
      <c r="AL174" s="171"/>
      <c r="AM174" s="170"/>
      <c r="AN174" s="171"/>
      <c r="AO174" s="170"/>
      <c r="AP174" s="171"/>
      <c r="AQ174" s="170"/>
      <c r="AR174" s="171"/>
      <c r="AS174" s="170"/>
      <c r="AT174" s="171"/>
      <c r="AU174" s="170"/>
      <c r="AV174" s="172" t="n">
        <f aca="false">IFERROR(VLOOKUP(A174,'Site check'!A:Q,14,0),0)</f>
        <v>0</v>
      </c>
    </row>
    <row r="175" customFormat="false" ht="13.15" hidden="false" customHeight="false" outlineLevel="0" collapsed="false">
      <c r="A175" s="34" t="s">
        <v>191</v>
      </c>
      <c r="B175" s="159"/>
      <c r="C175" s="167"/>
      <c r="D175" s="167"/>
      <c r="E175" s="167"/>
      <c r="F175" s="167"/>
      <c r="G175" s="168" t="n">
        <f aca="false">SUM(J175,L175,N175,P175,R175,T175,V175,X175,Z175,AB175,AD175,AF175,AH175,AJ175,AL175,AN175,AP175,AR175,AT175,AV175)</f>
        <v>2</v>
      </c>
      <c r="H175" s="169" t="n">
        <f aca="false">SUM(G175*1000)/54.5</f>
        <v>36.697247706422</v>
      </c>
      <c r="I175" s="170" t="s">
        <v>1327</v>
      </c>
      <c r="J175" s="171" t="n">
        <v>2</v>
      </c>
      <c r="K175" s="170"/>
      <c r="L175" s="171"/>
      <c r="M175" s="170"/>
      <c r="N175" s="171"/>
      <c r="O175" s="170"/>
      <c r="P175" s="171"/>
      <c r="Q175" s="170"/>
      <c r="R175" s="171"/>
      <c r="S175" s="170"/>
      <c r="T175" s="171"/>
      <c r="U175" s="170"/>
      <c r="V175" s="171"/>
      <c r="W175" s="170"/>
      <c r="X175" s="171"/>
      <c r="Y175" s="170"/>
      <c r="Z175" s="171"/>
      <c r="AA175" s="170"/>
      <c r="AB175" s="171"/>
      <c r="AC175" s="170"/>
      <c r="AD175" s="171"/>
      <c r="AE175" s="170"/>
      <c r="AF175" s="171"/>
      <c r="AG175" s="170"/>
      <c r="AH175" s="171"/>
      <c r="AI175" s="170"/>
      <c r="AJ175" s="171"/>
      <c r="AK175" s="170"/>
      <c r="AL175" s="171"/>
      <c r="AM175" s="170"/>
      <c r="AN175" s="171"/>
      <c r="AO175" s="170"/>
      <c r="AP175" s="171"/>
      <c r="AQ175" s="170"/>
      <c r="AR175" s="171"/>
      <c r="AS175" s="170"/>
      <c r="AT175" s="171"/>
      <c r="AU175" s="170"/>
      <c r="AV175" s="172" t="n">
        <f aca="false">IFERROR(VLOOKUP(A175,'Site check'!A:Q,14,0),0)</f>
        <v>0</v>
      </c>
    </row>
    <row r="176" customFormat="false" ht="13.15" hidden="false" customHeight="false" outlineLevel="0" collapsed="false">
      <c r="A176" s="34" t="s">
        <v>192</v>
      </c>
      <c r="B176" s="159"/>
      <c r="C176" s="167"/>
      <c r="D176" s="167"/>
      <c r="E176" s="167"/>
      <c r="F176" s="167"/>
      <c r="G176" s="168" t="n">
        <f aca="false">SUM(J176,L176,N176,P176,R176,T176,V176,X176,Z176,AB176,AD176,AF176,AH176,AJ176,AL176,AN176,AP176,AR176,AT176,AV176)</f>
        <v>0</v>
      </c>
      <c r="H176" s="169" t="n">
        <f aca="false">SUM(G176*1000)/54.5</f>
        <v>0</v>
      </c>
      <c r="I176" s="170"/>
      <c r="J176" s="171"/>
      <c r="K176" s="170"/>
      <c r="L176" s="171"/>
      <c r="M176" s="170"/>
      <c r="N176" s="171"/>
      <c r="O176" s="170"/>
      <c r="P176" s="171"/>
      <c r="Q176" s="170"/>
      <c r="R176" s="171"/>
      <c r="S176" s="170"/>
      <c r="T176" s="171"/>
      <c r="U176" s="170"/>
      <c r="V176" s="171"/>
      <c r="W176" s="170"/>
      <c r="X176" s="171"/>
      <c r="Y176" s="170"/>
      <c r="Z176" s="171"/>
      <c r="AA176" s="170"/>
      <c r="AB176" s="171"/>
      <c r="AC176" s="170"/>
      <c r="AD176" s="171"/>
      <c r="AE176" s="170"/>
      <c r="AF176" s="171"/>
      <c r="AG176" s="170"/>
      <c r="AH176" s="171"/>
      <c r="AI176" s="170"/>
      <c r="AJ176" s="171"/>
      <c r="AK176" s="170"/>
      <c r="AL176" s="171"/>
      <c r="AM176" s="170"/>
      <c r="AN176" s="171"/>
      <c r="AO176" s="170"/>
      <c r="AP176" s="171"/>
      <c r="AQ176" s="170"/>
      <c r="AR176" s="171"/>
      <c r="AS176" s="170"/>
      <c r="AT176" s="171"/>
      <c r="AU176" s="170"/>
      <c r="AV176" s="172" t="n">
        <f aca="false">IFERROR(VLOOKUP(A176,'Site check'!A:Q,14,0),0)</f>
        <v>0</v>
      </c>
    </row>
    <row r="177" customFormat="false" ht="13.15" hidden="false" customHeight="false" outlineLevel="0" collapsed="false">
      <c r="A177" s="41" t="s">
        <v>193</v>
      </c>
      <c r="B177" s="159"/>
      <c r="C177" s="176" t="s">
        <v>18</v>
      </c>
      <c r="D177" s="167"/>
      <c r="E177" s="176" t="s">
        <v>1087</v>
      </c>
      <c r="F177" s="167"/>
      <c r="G177" s="168" t="n">
        <f aca="false">SUM(J177,L177,N177,P177,R177,T177,V177,X177,Z177,AB177,AD177,AF177,AH177,AJ177,AL177,AN177,AP177,AR177,AT177,AV177)</f>
        <v>6.7</v>
      </c>
      <c r="H177" s="169" t="n">
        <f aca="false">SUM(G177*1000)/54.5</f>
        <v>122.935779816514</v>
      </c>
      <c r="I177" s="170" t="s">
        <v>1328</v>
      </c>
      <c r="J177" s="171" t="n">
        <v>0.9</v>
      </c>
      <c r="K177" s="170" t="s">
        <v>1184</v>
      </c>
      <c r="L177" s="171" t="n">
        <v>5.8</v>
      </c>
      <c r="M177" s="170"/>
      <c r="N177" s="171"/>
      <c r="O177" s="170"/>
      <c r="P177" s="171"/>
      <c r="Q177" s="170"/>
      <c r="R177" s="171"/>
      <c r="S177" s="170"/>
      <c r="T177" s="171"/>
      <c r="U177" s="170"/>
      <c r="V177" s="171"/>
      <c r="W177" s="170"/>
      <c r="X177" s="171"/>
      <c r="Y177" s="170"/>
      <c r="Z177" s="171"/>
      <c r="AA177" s="170"/>
      <c r="AB177" s="171"/>
      <c r="AC177" s="170"/>
      <c r="AD177" s="171"/>
      <c r="AE177" s="170"/>
      <c r="AF177" s="171"/>
      <c r="AG177" s="170"/>
      <c r="AH177" s="171"/>
      <c r="AI177" s="170"/>
      <c r="AJ177" s="171"/>
      <c r="AK177" s="170"/>
      <c r="AL177" s="171"/>
      <c r="AM177" s="170"/>
      <c r="AN177" s="171"/>
      <c r="AO177" s="170"/>
      <c r="AP177" s="171"/>
      <c r="AQ177" s="170"/>
      <c r="AR177" s="171"/>
      <c r="AS177" s="170"/>
      <c r="AT177" s="171"/>
      <c r="AU177" s="170"/>
      <c r="AV177" s="172" t="n">
        <f aca="false">IFERROR(VLOOKUP(A177,'Site check'!A:Q,14,0),0)</f>
        <v>0</v>
      </c>
    </row>
    <row r="178" customFormat="false" ht="13.15" hidden="false" customHeight="false" outlineLevel="0" collapsed="false">
      <c r="A178" s="41" t="s">
        <v>194</v>
      </c>
      <c r="B178" s="159"/>
      <c r="C178" s="176"/>
      <c r="D178" s="167"/>
      <c r="E178" s="167"/>
      <c r="F178" s="167"/>
      <c r="G178" s="168" t="n">
        <f aca="false">SUM(J178,L178,N178,P178,R178,T178,V178,X178,Z178,AB178,AD178,AF178,AH178,AJ178,AL178,AN178,AP178,AR178,AT178,AV178)</f>
        <v>7.6</v>
      </c>
      <c r="H178" s="169" t="n">
        <f aca="false">SUM(G178*1000)/54.5</f>
        <v>139.449541284404</v>
      </c>
      <c r="I178" s="170" t="s">
        <v>1328</v>
      </c>
      <c r="J178" s="171" t="n">
        <v>1.7</v>
      </c>
      <c r="K178" s="170" t="s">
        <v>1184</v>
      </c>
      <c r="L178" s="171" t="n">
        <v>5.9</v>
      </c>
      <c r="M178" s="170"/>
      <c r="N178" s="171"/>
      <c r="O178" s="170"/>
      <c r="P178" s="171"/>
      <c r="Q178" s="170"/>
      <c r="R178" s="171"/>
      <c r="S178" s="170"/>
      <c r="T178" s="171"/>
      <c r="U178" s="170"/>
      <c r="V178" s="171"/>
      <c r="W178" s="170"/>
      <c r="X178" s="171"/>
      <c r="Y178" s="170"/>
      <c r="Z178" s="171"/>
      <c r="AA178" s="170"/>
      <c r="AB178" s="171"/>
      <c r="AC178" s="170"/>
      <c r="AD178" s="171"/>
      <c r="AE178" s="170"/>
      <c r="AF178" s="171"/>
      <c r="AG178" s="170"/>
      <c r="AH178" s="171"/>
      <c r="AI178" s="170"/>
      <c r="AJ178" s="171"/>
      <c r="AK178" s="170"/>
      <c r="AL178" s="171"/>
      <c r="AM178" s="170"/>
      <c r="AN178" s="171"/>
      <c r="AO178" s="170"/>
      <c r="AP178" s="171"/>
      <c r="AQ178" s="170"/>
      <c r="AR178" s="171"/>
      <c r="AS178" s="170"/>
      <c r="AT178" s="171"/>
      <c r="AU178" s="170"/>
      <c r="AV178" s="172" t="n">
        <f aca="false">IFERROR(VLOOKUP(A178,'Site check'!A:Q,14,0),0)</f>
        <v>0</v>
      </c>
    </row>
    <row r="179" customFormat="false" ht="13.15" hidden="false" customHeight="false" outlineLevel="0" collapsed="false">
      <c r="A179" s="33" t="s">
        <v>195</v>
      </c>
      <c r="B179" s="159"/>
      <c r="C179" s="167"/>
      <c r="D179" s="167"/>
      <c r="E179" s="167"/>
      <c r="F179" s="167"/>
      <c r="G179" s="168" t="n">
        <f aca="false">SUM(J179,L179,N179,P179,R179,T179,V179,X179,Z179,AB179,AD179,AF179,AH179,AJ179,AL179,AN179,AP179,AR179,AT179,AV179)</f>
        <v>1</v>
      </c>
      <c r="H179" s="169" t="n">
        <f aca="false">SUM(G179*1000)/54.5</f>
        <v>18.348623853211</v>
      </c>
      <c r="I179" s="170" t="s">
        <v>1329</v>
      </c>
      <c r="J179" s="171" t="n">
        <v>1</v>
      </c>
      <c r="K179" s="170"/>
      <c r="L179" s="171"/>
      <c r="M179" s="170"/>
      <c r="N179" s="171"/>
      <c r="O179" s="170"/>
      <c r="P179" s="171"/>
      <c r="Q179" s="170"/>
      <c r="R179" s="171"/>
      <c r="S179" s="170"/>
      <c r="T179" s="171"/>
      <c r="U179" s="170"/>
      <c r="V179" s="171"/>
      <c r="W179" s="170"/>
      <c r="X179" s="171"/>
      <c r="Y179" s="170"/>
      <c r="Z179" s="171"/>
      <c r="AA179" s="170"/>
      <c r="AB179" s="171"/>
      <c r="AC179" s="170"/>
      <c r="AD179" s="171"/>
      <c r="AE179" s="170"/>
      <c r="AF179" s="171"/>
      <c r="AG179" s="170"/>
      <c r="AH179" s="171"/>
      <c r="AI179" s="170"/>
      <c r="AJ179" s="171"/>
      <c r="AK179" s="170"/>
      <c r="AL179" s="171"/>
      <c r="AM179" s="170"/>
      <c r="AN179" s="171"/>
      <c r="AO179" s="170"/>
      <c r="AP179" s="171"/>
      <c r="AQ179" s="170"/>
      <c r="AR179" s="171"/>
      <c r="AS179" s="170"/>
      <c r="AT179" s="171"/>
      <c r="AU179" s="170"/>
      <c r="AV179" s="172" t="n">
        <f aca="false">IFERROR(VLOOKUP(A179,'Site check'!A:Q,14,0),0)</f>
        <v>0</v>
      </c>
    </row>
    <row r="180" customFormat="false" ht="13.15" hidden="false" customHeight="false" outlineLevel="0" collapsed="false">
      <c r="A180" s="33" t="s">
        <v>196</v>
      </c>
      <c r="B180" s="159"/>
      <c r="C180" s="167"/>
      <c r="D180" s="167"/>
      <c r="E180" s="167"/>
      <c r="F180" s="167"/>
      <c r="G180" s="168" t="n">
        <f aca="false">SUM(J180,L180,N180,P180,R180,T180,V180,X180,Z180,AB180,AD180,AF180,AH180,AJ180,AL180,AN180,AP180,AR180,AT180,AV180)</f>
        <v>1</v>
      </c>
      <c r="H180" s="169" t="n">
        <f aca="false">SUM(G180*1000)/54.5</f>
        <v>18.348623853211</v>
      </c>
      <c r="I180" s="173" t="s">
        <v>1330</v>
      </c>
      <c r="J180" s="174" t="n">
        <v>1</v>
      </c>
      <c r="K180" s="170"/>
      <c r="L180" s="171"/>
      <c r="M180" s="170"/>
      <c r="N180" s="171"/>
      <c r="O180" s="170"/>
      <c r="P180" s="171"/>
      <c r="Q180" s="170"/>
      <c r="R180" s="171"/>
      <c r="S180" s="170"/>
      <c r="T180" s="171"/>
      <c r="U180" s="170"/>
      <c r="V180" s="171"/>
      <c r="W180" s="170"/>
      <c r="X180" s="171"/>
      <c r="Y180" s="170"/>
      <c r="Z180" s="171"/>
      <c r="AA180" s="170"/>
      <c r="AB180" s="171"/>
      <c r="AC180" s="170"/>
      <c r="AD180" s="171"/>
      <c r="AE180" s="170"/>
      <c r="AF180" s="171"/>
      <c r="AG180" s="170"/>
      <c r="AH180" s="171"/>
      <c r="AI180" s="170"/>
      <c r="AJ180" s="171"/>
      <c r="AK180" s="170"/>
      <c r="AL180" s="171"/>
      <c r="AM180" s="170"/>
      <c r="AN180" s="171"/>
      <c r="AO180" s="170"/>
      <c r="AP180" s="171"/>
      <c r="AQ180" s="170"/>
      <c r="AR180" s="171"/>
      <c r="AS180" s="170"/>
      <c r="AT180" s="171"/>
      <c r="AU180" s="170"/>
      <c r="AV180" s="172" t="n">
        <f aca="false">IFERROR(VLOOKUP(A180,'Site check'!A:Q,14,0),0)</f>
        <v>0</v>
      </c>
    </row>
    <row r="181" customFormat="false" ht="13.15" hidden="false" customHeight="false" outlineLevel="0" collapsed="false">
      <c r="A181" s="32" t="s">
        <v>197</v>
      </c>
      <c r="B181" s="159"/>
      <c r="C181" s="167"/>
      <c r="D181" s="167"/>
      <c r="E181" s="167"/>
      <c r="F181" s="167"/>
      <c r="G181" s="168" t="n">
        <f aca="false">SUM(J181,L181,N181,P181,R181,T181,V181,X181,Z181,AB181,AD181,AF181,AH181,AJ181,AL181,AN181,AP181,AR181,AT181,AV181)</f>
        <v>1</v>
      </c>
      <c r="H181" s="169" t="n">
        <f aca="false">SUM(G181*1000)/54.5</f>
        <v>18.348623853211</v>
      </c>
      <c r="I181" s="170" t="s">
        <v>1329</v>
      </c>
      <c r="J181" s="171" t="n">
        <v>1</v>
      </c>
      <c r="K181" s="170" t="s">
        <v>749</v>
      </c>
      <c r="L181" s="171"/>
      <c r="M181" s="170"/>
      <c r="N181" s="171"/>
      <c r="O181" s="170"/>
      <c r="P181" s="171"/>
      <c r="Q181" s="170"/>
      <c r="R181" s="171"/>
      <c r="S181" s="170"/>
      <c r="T181" s="171"/>
      <c r="U181" s="170"/>
      <c r="V181" s="171"/>
      <c r="W181" s="170"/>
      <c r="X181" s="171"/>
      <c r="Y181" s="170"/>
      <c r="Z181" s="171"/>
      <c r="AA181" s="170"/>
      <c r="AB181" s="171"/>
      <c r="AC181" s="170"/>
      <c r="AD181" s="171"/>
      <c r="AE181" s="170"/>
      <c r="AF181" s="171"/>
      <c r="AG181" s="170"/>
      <c r="AH181" s="171"/>
      <c r="AI181" s="170"/>
      <c r="AJ181" s="171"/>
      <c r="AK181" s="170"/>
      <c r="AL181" s="171"/>
      <c r="AM181" s="170"/>
      <c r="AN181" s="171"/>
      <c r="AO181" s="170"/>
      <c r="AP181" s="171"/>
      <c r="AQ181" s="170"/>
      <c r="AR181" s="171"/>
      <c r="AS181" s="170"/>
      <c r="AT181" s="171"/>
      <c r="AU181" s="170"/>
      <c r="AV181" s="172" t="n">
        <f aca="false">IFERROR(VLOOKUP(A181,'Site check'!A:Q,14,0),0)</f>
        <v>0</v>
      </c>
    </row>
    <row r="182" customFormat="false" ht="13.15" hidden="false" customHeight="false" outlineLevel="0" collapsed="false">
      <c r="A182" s="32" t="s">
        <v>198</v>
      </c>
      <c r="B182" s="159"/>
      <c r="C182" s="167"/>
      <c r="D182" s="167"/>
      <c r="E182" s="167"/>
      <c r="F182" s="167"/>
      <c r="G182" s="168" t="n">
        <f aca="false">SUM(J182,L182,N182,P182,R182,T182,V182,X182,Z182,AB182,AD182,AF182,AH182,AJ182,AL182,AN182,AP182,AR182,AT182,AV182)</f>
        <v>1</v>
      </c>
      <c r="H182" s="169" t="n">
        <f aca="false">SUM(G182*1000)/54.5</f>
        <v>18.348623853211</v>
      </c>
      <c r="I182" s="173" t="s">
        <v>1330</v>
      </c>
      <c r="J182" s="174" t="n">
        <v>1</v>
      </c>
      <c r="K182" s="170"/>
      <c r="L182" s="171"/>
      <c r="M182" s="170"/>
      <c r="N182" s="171"/>
      <c r="O182" s="170"/>
      <c r="P182" s="171"/>
      <c r="Q182" s="170"/>
      <c r="R182" s="171"/>
      <c r="S182" s="170"/>
      <c r="T182" s="171"/>
      <c r="U182" s="170"/>
      <c r="V182" s="171"/>
      <c r="W182" s="170"/>
      <c r="X182" s="171"/>
      <c r="Y182" s="170"/>
      <c r="Z182" s="171"/>
      <c r="AA182" s="170"/>
      <c r="AB182" s="171"/>
      <c r="AC182" s="170"/>
      <c r="AD182" s="171"/>
      <c r="AE182" s="170"/>
      <c r="AF182" s="171"/>
      <c r="AG182" s="170"/>
      <c r="AH182" s="171"/>
      <c r="AI182" s="170"/>
      <c r="AJ182" s="171"/>
      <c r="AK182" s="170"/>
      <c r="AL182" s="171"/>
      <c r="AM182" s="170"/>
      <c r="AN182" s="171"/>
      <c r="AO182" s="170"/>
      <c r="AP182" s="171"/>
      <c r="AQ182" s="170"/>
      <c r="AR182" s="171"/>
      <c r="AS182" s="170"/>
      <c r="AT182" s="171"/>
      <c r="AU182" s="170"/>
      <c r="AV182" s="172" t="n">
        <f aca="false">IFERROR(VLOOKUP(A182,'Site check'!A:Q,14,0),0)</f>
        <v>0</v>
      </c>
    </row>
    <row r="183" customFormat="false" ht="13.15" hidden="false" customHeight="false" outlineLevel="0" collapsed="false">
      <c r="A183" s="33" t="s">
        <v>199</v>
      </c>
      <c r="B183" s="159"/>
      <c r="C183" s="176" t="s">
        <v>18</v>
      </c>
      <c r="D183" s="167"/>
      <c r="E183" s="176" t="s">
        <v>1087</v>
      </c>
      <c r="F183" s="167"/>
      <c r="G183" s="168" t="n">
        <f aca="false">SUM(J183,L183,N183,P183,R183,T183,V183,X183,Z183,AB183,AD183,AF183,AH183,AJ183,AL183,AN183,AP183,AR183,AT183,AV183)</f>
        <v>10.3</v>
      </c>
      <c r="H183" s="169" t="n">
        <f aca="false">SUM(G183*1000)/54.5</f>
        <v>188.990825688073</v>
      </c>
      <c r="I183" s="170" t="s">
        <v>1331</v>
      </c>
      <c r="J183" s="171" t="n">
        <v>1</v>
      </c>
      <c r="K183" s="170" t="s">
        <v>1332</v>
      </c>
      <c r="L183" s="171" t="n">
        <v>5.7</v>
      </c>
      <c r="M183" s="181" t="s">
        <v>1333</v>
      </c>
      <c r="N183" s="175" t="n">
        <v>1.6</v>
      </c>
      <c r="O183" s="173" t="s">
        <v>1334</v>
      </c>
      <c r="P183" s="174" t="n">
        <v>1</v>
      </c>
      <c r="Q183" s="181" t="s">
        <v>1335</v>
      </c>
      <c r="R183" s="175" t="n">
        <v>1</v>
      </c>
      <c r="S183" s="170"/>
      <c r="T183" s="171"/>
      <c r="U183" s="170"/>
      <c r="V183" s="171"/>
      <c r="W183" s="170"/>
      <c r="X183" s="171"/>
      <c r="Y183" s="170"/>
      <c r="Z183" s="171"/>
      <c r="AA183" s="170"/>
      <c r="AB183" s="171"/>
      <c r="AC183" s="170"/>
      <c r="AD183" s="171"/>
      <c r="AE183" s="170"/>
      <c r="AF183" s="171"/>
      <c r="AG183" s="170"/>
      <c r="AH183" s="171"/>
      <c r="AI183" s="170"/>
      <c r="AJ183" s="171"/>
      <c r="AK183" s="170"/>
      <c r="AL183" s="171"/>
      <c r="AM183" s="170"/>
      <c r="AN183" s="171"/>
      <c r="AO183" s="170"/>
      <c r="AP183" s="171"/>
      <c r="AQ183" s="170"/>
      <c r="AR183" s="171"/>
      <c r="AS183" s="170"/>
      <c r="AT183" s="171"/>
      <c r="AU183" s="170"/>
      <c r="AV183" s="172" t="n">
        <f aca="false">IFERROR(VLOOKUP(A183,'Site check'!A:Q,14,0),0)</f>
        <v>0</v>
      </c>
    </row>
    <row r="184" customFormat="false" ht="13.15" hidden="false" customHeight="false" outlineLevel="0" collapsed="false">
      <c r="A184" s="33" t="s">
        <v>200</v>
      </c>
      <c r="B184" s="159"/>
      <c r="C184" s="159"/>
      <c r="D184" s="167"/>
      <c r="E184" s="167"/>
      <c r="F184" s="167"/>
      <c r="G184" s="168" t="n">
        <f aca="false">SUM(J184,L184,N184,P184,R184,T184,V184,X184,Z184,AB184,AD184,AF184,AH184,AJ184,AL184,AN184,AP184,AR184,AT184,AV184)</f>
        <v>12.5</v>
      </c>
      <c r="H184" s="169" t="n">
        <f aca="false">SUM(G184*1000)/54.5</f>
        <v>229.357798165138</v>
      </c>
      <c r="I184" s="170" t="s">
        <v>1331</v>
      </c>
      <c r="J184" s="171" t="n">
        <v>2.5</v>
      </c>
      <c r="K184" s="170" t="s">
        <v>1332</v>
      </c>
      <c r="L184" s="171" t="n">
        <v>6</v>
      </c>
      <c r="M184" s="181" t="s">
        <v>1333</v>
      </c>
      <c r="N184" s="175" t="n">
        <v>2</v>
      </c>
      <c r="O184" s="173" t="s">
        <v>1334</v>
      </c>
      <c r="P184" s="174" t="n">
        <v>1</v>
      </c>
      <c r="Q184" s="181" t="s">
        <v>1335</v>
      </c>
      <c r="R184" s="175" t="n">
        <v>1</v>
      </c>
      <c r="S184" s="170"/>
      <c r="T184" s="171"/>
      <c r="U184" s="170"/>
      <c r="V184" s="171"/>
      <c r="W184" s="170"/>
      <c r="X184" s="171"/>
      <c r="Y184" s="170"/>
      <c r="Z184" s="171"/>
      <c r="AA184" s="170"/>
      <c r="AB184" s="171"/>
      <c r="AC184" s="170"/>
      <c r="AD184" s="171"/>
      <c r="AE184" s="170"/>
      <c r="AF184" s="171"/>
      <c r="AG184" s="170"/>
      <c r="AH184" s="171"/>
      <c r="AI184" s="170"/>
      <c r="AJ184" s="171"/>
      <c r="AK184" s="170"/>
      <c r="AL184" s="171"/>
      <c r="AM184" s="170"/>
      <c r="AN184" s="171"/>
      <c r="AO184" s="170"/>
      <c r="AP184" s="171"/>
      <c r="AQ184" s="170"/>
      <c r="AR184" s="171"/>
      <c r="AS184" s="170"/>
      <c r="AT184" s="171"/>
      <c r="AU184" s="170"/>
      <c r="AV184" s="172" t="n">
        <f aca="false">IFERROR(VLOOKUP(A184,'Site check'!A:Q,14,0),0)</f>
        <v>0</v>
      </c>
    </row>
    <row r="185" customFormat="false" ht="13.15" hidden="false" customHeight="false" outlineLevel="0" collapsed="false">
      <c r="A185" s="1" t="s">
        <v>201</v>
      </c>
      <c r="B185" s="159"/>
      <c r="C185" s="159"/>
      <c r="D185" s="167"/>
      <c r="E185" s="167"/>
      <c r="F185" s="167"/>
      <c r="G185" s="168" t="n">
        <f aca="false">SUM(J185,L185,N185,P185,R185,T185,V185,X185,Z185,AB185,AD185,AF185,AH185,AJ185,AL185,AN185,AP185,AR185,AT185,AV185)</f>
        <v>0</v>
      </c>
      <c r="H185" s="169" t="n">
        <f aca="false">SUM(G185*1000)/54.5</f>
        <v>0</v>
      </c>
      <c r="I185" s="170"/>
      <c r="J185" s="171"/>
      <c r="K185" s="170"/>
      <c r="L185" s="171"/>
      <c r="M185" s="170"/>
      <c r="N185" s="171"/>
      <c r="O185" s="170"/>
      <c r="P185" s="171"/>
      <c r="Q185" s="170"/>
      <c r="R185" s="171"/>
      <c r="S185" s="170"/>
      <c r="T185" s="171"/>
      <c r="U185" s="170"/>
      <c r="V185" s="171"/>
      <c r="W185" s="170"/>
      <c r="X185" s="171"/>
      <c r="Y185" s="170"/>
      <c r="Z185" s="171"/>
      <c r="AA185" s="170"/>
      <c r="AB185" s="171"/>
      <c r="AC185" s="170"/>
      <c r="AD185" s="171"/>
      <c r="AE185" s="170"/>
      <c r="AF185" s="171"/>
      <c r="AG185" s="170"/>
      <c r="AH185" s="171"/>
      <c r="AI185" s="170"/>
      <c r="AJ185" s="171"/>
      <c r="AK185" s="170"/>
      <c r="AL185" s="171"/>
      <c r="AM185" s="170"/>
      <c r="AN185" s="171"/>
      <c r="AO185" s="170"/>
      <c r="AP185" s="171"/>
      <c r="AQ185" s="170"/>
      <c r="AR185" s="171"/>
      <c r="AS185" s="170"/>
      <c r="AT185" s="171"/>
      <c r="AU185" s="170"/>
      <c r="AV185" s="172" t="n">
        <f aca="false">IFERROR(VLOOKUP(A185,'Site check'!A:Q,14,0),0)</f>
        <v>0</v>
      </c>
    </row>
    <row r="186" customFormat="false" ht="13.15" hidden="false" customHeight="false" outlineLevel="0" collapsed="false">
      <c r="A186" s="33" t="s">
        <v>202</v>
      </c>
      <c r="B186" s="159"/>
      <c r="C186" s="176" t="s">
        <v>18</v>
      </c>
      <c r="D186" s="167"/>
      <c r="E186" s="176" t="s">
        <v>1087</v>
      </c>
      <c r="F186" s="167"/>
      <c r="G186" s="168" t="n">
        <f aca="false">SUM(J186,L186,N186,P186,R186,T186,V186,X186,Z186,AB186,AD186,AF186,AH186,AJ186,AL186,AN186,AP186,AR186,AT186,AV186)</f>
        <v>7.15</v>
      </c>
      <c r="H186" s="169" t="n">
        <f aca="false">SUM(G186*1000)/54.5</f>
        <v>131.192660550459</v>
      </c>
      <c r="I186" s="170" t="s">
        <v>1336</v>
      </c>
      <c r="J186" s="171" t="n">
        <v>1.25</v>
      </c>
      <c r="K186" s="170" t="s">
        <v>1184</v>
      </c>
      <c r="L186" s="171" t="n">
        <v>2.8</v>
      </c>
      <c r="M186" s="181" t="s">
        <v>1337</v>
      </c>
      <c r="N186" s="175" t="n">
        <v>1</v>
      </c>
      <c r="O186" s="181" t="s">
        <v>1338</v>
      </c>
      <c r="P186" s="175" t="n">
        <v>1.25</v>
      </c>
      <c r="Q186" s="173" t="s">
        <v>1339</v>
      </c>
      <c r="R186" s="174" t="n">
        <v>0.85</v>
      </c>
      <c r="S186" s="181"/>
      <c r="T186" s="175"/>
      <c r="U186" s="181"/>
      <c r="V186" s="175"/>
      <c r="W186" s="181"/>
      <c r="X186" s="175"/>
      <c r="Y186" s="170"/>
      <c r="Z186" s="171"/>
      <c r="AA186" s="170"/>
      <c r="AB186" s="171"/>
      <c r="AC186" s="170"/>
      <c r="AD186" s="171"/>
      <c r="AE186" s="170"/>
      <c r="AF186" s="171"/>
      <c r="AG186" s="170"/>
      <c r="AH186" s="171"/>
      <c r="AI186" s="170"/>
      <c r="AJ186" s="171"/>
      <c r="AK186" s="170"/>
      <c r="AL186" s="171"/>
      <c r="AM186" s="170"/>
      <c r="AN186" s="171"/>
      <c r="AO186" s="170"/>
      <c r="AP186" s="171"/>
      <c r="AQ186" s="170"/>
      <c r="AR186" s="171"/>
      <c r="AS186" s="170"/>
      <c r="AT186" s="171"/>
      <c r="AU186" s="170"/>
      <c r="AV186" s="172" t="n">
        <f aca="false">IFERROR(VLOOKUP(A186,'Site check'!A:Q,14,0),0)</f>
        <v>0</v>
      </c>
    </row>
    <row r="187" customFormat="false" ht="13.15" hidden="false" customHeight="false" outlineLevel="0" collapsed="false">
      <c r="A187" s="33" t="s">
        <v>203</v>
      </c>
      <c r="B187" s="159"/>
      <c r="C187" s="176"/>
      <c r="D187" s="167"/>
      <c r="E187" s="167"/>
      <c r="F187" s="167"/>
      <c r="G187" s="168" t="n">
        <f aca="false">SUM(J187,L187,N187,P187,R187,T187,V187,X187,Z187,AB187,AD187,AF187,AH187,AJ187,AL187,AN187,AP187,AR187,AT187,AV187)</f>
        <v>7.15</v>
      </c>
      <c r="H187" s="169" t="n">
        <f aca="false">SUM(G187*1000)/54.5</f>
        <v>131.192660550459</v>
      </c>
      <c r="I187" s="170" t="s">
        <v>1336</v>
      </c>
      <c r="J187" s="174" t="n">
        <v>1.25</v>
      </c>
      <c r="K187" s="170" t="s">
        <v>1184</v>
      </c>
      <c r="L187" s="171" t="n">
        <v>2.8</v>
      </c>
      <c r="M187" s="181" t="s">
        <v>1337</v>
      </c>
      <c r="N187" s="175" t="n">
        <v>1</v>
      </c>
      <c r="O187" s="181" t="s">
        <v>1338</v>
      </c>
      <c r="P187" s="175" t="n">
        <v>1.25</v>
      </c>
      <c r="Q187" s="173" t="s">
        <v>1339</v>
      </c>
      <c r="R187" s="174" t="n">
        <v>0.85</v>
      </c>
      <c r="S187" s="181"/>
      <c r="T187" s="175"/>
      <c r="U187" s="181"/>
      <c r="V187" s="175"/>
      <c r="W187" s="181"/>
      <c r="X187" s="175"/>
      <c r="Y187" s="170"/>
      <c r="Z187" s="171"/>
      <c r="AA187" s="170"/>
      <c r="AB187" s="171"/>
      <c r="AC187" s="170"/>
      <c r="AD187" s="171"/>
      <c r="AE187" s="170"/>
      <c r="AF187" s="171"/>
      <c r="AG187" s="170"/>
      <c r="AH187" s="171"/>
      <c r="AI187" s="170"/>
      <c r="AJ187" s="171"/>
      <c r="AK187" s="170"/>
      <c r="AL187" s="171"/>
      <c r="AM187" s="170"/>
      <c r="AN187" s="171"/>
      <c r="AO187" s="170"/>
      <c r="AP187" s="171"/>
      <c r="AQ187" s="170"/>
      <c r="AR187" s="171"/>
      <c r="AS187" s="170"/>
      <c r="AT187" s="171"/>
      <c r="AU187" s="170"/>
      <c r="AV187" s="172" t="n">
        <f aca="false">IFERROR(VLOOKUP(A187,'Site check'!A:Q,14,0),0)</f>
        <v>0</v>
      </c>
    </row>
    <row r="188" customFormat="false" ht="13.15" hidden="false" customHeight="false" outlineLevel="0" collapsed="false">
      <c r="A188" s="20" t="s">
        <v>204</v>
      </c>
      <c r="B188" s="159"/>
      <c r="C188" s="167"/>
      <c r="D188" s="167"/>
      <c r="E188" s="167"/>
      <c r="F188" s="167"/>
      <c r="G188" s="168" t="n">
        <f aca="false">SUM(J188,L188,N188,P188,R188,T188,V188,X188,Z188,AB188,AD188,AF188,AH188,AJ188,AL188,AN188,AP188,AR188,AT188,AV188)</f>
        <v>1</v>
      </c>
      <c r="H188" s="169" t="n">
        <f aca="false">SUM(G188*1000)/54.5</f>
        <v>18.348623853211</v>
      </c>
      <c r="I188" s="170" t="s">
        <v>1340</v>
      </c>
      <c r="J188" s="174" t="n">
        <v>1</v>
      </c>
      <c r="K188" s="170"/>
      <c r="L188" s="171"/>
      <c r="M188" s="170"/>
      <c r="N188" s="171"/>
      <c r="O188" s="170"/>
      <c r="P188" s="171"/>
      <c r="Q188" s="170"/>
      <c r="R188" s="171"/>
      <c r="S188" s="170"/>
      <c r="T188" s="171"/>
      <c r="U188" s="170"/>
      <c r="V188" s="171"/>
      <c r="W188" s="170"/>
      <c r="X188" s="171"/>
      <c r="Y188" s="170"/>
      <c r="Z188" s="171"/>
      <c r="AA188" s="170"/>
      <c r="AB188" s="171"/>
      <c r="AC188" s="170"/>
      <c r="AD188" s="171"/>
      <c r="AE188" s="170"/>
      <c r="AF188" s="171"/>
      <c r="AG188" s="170"/>
      <c r="AH188" s="171"/>
      <c r="AI188" s="170"/>
      <c r="AJ188" s="171"/>
      <c r="AK188" s="170"/>
      <c r="AL188" s="171"/>
      <c r="AM188" s="170"/>
      <c r="AN188" s="171"/>
      <c r="AO188" s="170"/>
      <c r="AP188" s="171"/>
      <c r="AQ188" s="170"/>
      <c r="AR188" s="171"/>
      <c r="AS188" s="170"/>
      <c r="AT188" s="171"/>
      <c r="AU188" s="170"/>
      <c r="AV188" s="172" t="n">
        <f aca="false">IFERROR(VLOOKUP(A188,'Site check'!A:Q,14,0),0)</f>
        <v>0</v>
      </c>
    </row>
    <row r="189" customFormat="false" ht="13.15" hidden="false" customHeight="false" outlineLevel="0" collapsed="false">
      <c r="A189" s="20" t="s">
        <v>205</v>
      </c>
      <c r="B189" s="159"/>
      <c r="C189" s="167"/>
      <c r="D189" s="167"/>
      <c r="E189" s="167"/>
      <c r="F189" s="167"/>
      <c r="G189" s="168" t="n">
        <f aca="false">SUM(J189,L189,N189,P189,R189,T189,V189,X189,Z189,AB189,AD189,AF189,AH189,AJ189,AL189,AN189,AP189,AR189,AT189,AV189)</f>
        <v>7.6</v>
      </c>
      <c r="H189" s="169" t="n">
        <f aca="false">SUM(G189*1000)/54.5</f>
        <v>139.449541284404</v>
      </c>
      <c r="I189" s="173" t="s">
        <v>1341</v>
      </c>
      <c r="J189" s="174" t="n">
        <v>4</v>
      </c>
      <c r="K189" s="179" t="s">
        <v>1342</v>
      </c>
      <c r="L189" s="180" t="n">
        <v>1.4</v>
      </c>
      <c r="M189" s="179" t="s">
        <v>1343</v>
      </c>
      <c r="N189" s="180" t="n">
        <v>2.2</v>
      </c>
      <c r="O189" s="170"/>
      <c r="P189" s="171"/>
      <c r="Q189" s="170"/>
      <c r="R189" s="171"/>
      <c r="S189" s="170"/>
      <c r="T189" s="171"/>
      <c r="U189" s="170"/>
      <c r="V189" s="171"/>
      <c r="W189" s="170"/>
      <c r="X189" s="171"/>
      <c r="Y189" s="170"/>
      <c r="Z189" s="171"/>
      <c r="AA189" s="170"/>
      <c r="AB189" s="171"/>
      <c r="AC189" s="170"/>
      <c r="AD189" s="171"/>
      <c r="AE189" s="170"/>
      <c r="AF189" s="171"/>
      <c r="AG189" s="170"/>
      <c r="AH189" s="171"/>
      <c r="AI189" s="170"/>
      <c r="AJ189" s="171"/>
      <c r="AK189" s="170"/>
      <c r="AL189" s="171"/>
      <c r="AM189" s="170"/>
      <c r="AN189" s="171"/>
      <c r="AO189" s="170"/>
      <c r="AP189" s="171"/>
      <c r="AQ189" s="170"/>
      <c r="AR189" s="171"/>
      <c r="AS189" s="170"/>
      <c r="AT189" s="171"/>
      <c r="AU189" s="170"/>
      <c r="AV189" s="172" t="n">
        <f aca="false">IFERROR(VLOOKUP(A189,'Site check'!A:Q,14,0),0)</f>
        <v>0</v>
      </c>
    </row>
    <row r="190" customFormat="false" ht="13.15" hidden="false" customHeight="false" outlineLevel="0" collapsed="false">
      <c r="A190" s="20" t="s">
        <v>206</v>
      </c>
      <c r="B190" s="159"/>
      <c r="C190" s="167"/>
      <c r="D190" s="167"/>
      <c r="E190" s="167"/>
      <c r="F190" s="167"/>
      <c r="G190" s="168" t="n">
        <f aca="false">SUM(J190,L190,N190,P190,R190,T190,V190,X190,Z190,AB190,AD190,AF190,AH190,AJ190,AL190,AN190,AP190,AR190,AT190,AV190)</f>
        <v>3</v>
      </c>
      <c r="H190" s="169" t="n">
        <f aca="false">SUM(G190*1000)/54.5</f>
        <v>55.045871559633</v>
      </c>
      <c r="I190" s="186" t="s">
        <v>1344</v>
      </c>
      <c r="J190" s="216" t="n">
        <v>2</v>
      </c>
      <c r="K190" s="193" t="s">
        <v>1345</v>
      </c>
      <c r="L190" s="192" t="n">
        <v>1</v>
      </c>
      <c r="M190" s="170"/>
      <c r="N190" s="171"/>
      <c r="O190" s="170"/>
      <c r="P190" s="171"/>
      <c r="Q190" s="170"/>
      <c r="R190" s="171"/>
      <c r="S190" s="170"/>
      <c r="T190" s="171"/>
      <c r="U190" s="170"/>
      <c r="V190" s="171"/>
      <c r="W190" s="170"/>
      <c r="X190" s="171"/>
      <c r="Y190" s="170"/>
      <c r="Z190" s="171"/>
      <c r="AA190" s="170"/>
      <c r="AB190" s="171"/>
      <c r="AC190" s="170"/>
      <c r="AD190" s="171"/>
      <c r="AE190" s="170"/>
      <c r="AF190" s="171"/>
      <c r="AG190" s="170"/>
      <c r="AH190" s="171"/>
      <c r="AI190" s="170"/>
      <c r="AJ190" s="171"/>
      <c r="AK190" s="170"/>
      <c r="AL190" s="171"/>
      <c r="AM190" s="170"/>
      <c r="AN190" s="171"/>
      <c r="AO190" s="170"/>
      <c r="AP190" s="171"/>
      <c r="AQ190" s="170"/>
      <c r="AR190" s="171"/>
      <c r="AS190" s="170"/>
      <c r="AT190" s="171"/>
      <c r="AU190" s="170"/>
      <c r="AV190" s="172" t="n">
        <f aca="false">IFERROR(VLOOKUP(A190,'Site check'!A:Q,14,0),0)</f>
        <v>0</v>
      </c>
    </row>
    <row r="191" customFormat="false" ht="13.15" hidden="false" customHeight="false" outlineLevel="0" collapsed="false">
      <c r="A191" s="20" t="s">
        <v>207</v>
      </c>
      <c r="B191" s="159"/>
      <c r="C191" s="167"/>
      <c r="D191" s="167"/>
      <c r="E191" s="167"/>
      <c r="F191" s="167"/>
      <c r="G191" s="168" t="n">
        <f aca="false">SUM(J191,L191,N191,P191,R191,T191,V191,X191,Z191,AB191,AD191,AF191,AH191,AJ191,AL191,AN191,AP191,AR191,AT191,AV191)</f>
        <v>4</v>
      </c>
      <c r="H191" s="169" t="n">
        <f aca="false">SUM(G191*1000)/54.5</f>
        <v>73.394495412844</v>
      </c>
      <c r="I191" s="173" t="s">
        <v>1346</v>
      </c>
      <c r="J191" s="174" t="n">
        <v>4</v>
      </c>
      <c r="K191" s="173"/>
      <c r="L191" s="174"/>
      <c r="M191" s="170"/>
      <c r="N191" s="171"/>
      <c r="O191" s="170"/>
      <c r="P191" s="171"/>
      <c r="Q191" s="170"/>
      <c r="R191" s="171"/>
      <c r="S191" s="170"/>
      <c r="T191" s="171"/>
      <c r="U191" s="170"/>
      <c r="V191" s="171"/>
      <c r="W191" s="170"/>
      <c r="X191" s="171"/>
      <c r="Y191" s="170"/>
      <c r="Z191" s="171"/>
      <c r="AA191" s="170"/>
      <c r="AB191" s="171"/>
      <c r="AC191" s="170"/>
      <c r="AD191" s="171"/>
      <c r="AE191" s="170"/>
      <c r="AF191" s="171"/>
      <c r="AG191" s="170"/>
      <c r="AH191" s="171"/>
      <c r="AI191" s="170"/>
      <c r="AJ191" s="171"/>
      <c r="AK191" s="170"/>
      <c r="AL191" s="171"/>
      <c r="AM191" s="170"/>
      <c r="AN191" s="171"/>
      <c r="AO191" s="170"/>
      <c r="AP191" s="171"/>
      <c r="AQ191" s="170"/>
      <c r="AR191" s="171"/>
      <c r="AS191" s="170"/>
      <c r="AT191" s="171"/>
      <c r="AU191" s="170"/>
      <c r="AV191" s="172" t="n">
        <f aca="false">IFERROR(VLOOKUP(A191,'Site check'!A:Q,14,0),0)</f>
        <v>0</v>
      </c>
    </row>
    <row r="192" customFormat="false" ht="13.15" hidden="false" customHeight="false" outlineLevel="0" collapsed="false">
      <c r="A192" s="20" t="s">
        <v>208</v>
      </c>
      <c r="B192" s="159"/>
      <c r="C192" s="167"/>
      <c r="D192" s="167"/>
      <c r="E192" s="167"/>
      <c r="F192" s="167"/>
      <c r="G192" s="168" t="n">
        <f aca="false">SUM(J192,L192,N192,P192,R192,T192,V192,X192,Z192,AB192,AD192,AF192,AH192,AJ192,AL192,AN192,AP192,AR192,AT192,AV192)</f>
        <v>0</v>
      </c>
      <c r="H192" s="169" t="n">
        <f aca="false">SUM(G192*1000)/54.5</f>
        <v>0</v>
      </c>
      <c r="I192" s="173"/>
      <c r="J192" s="174"/>
      <c r="K192" s="173"/>
      <c r="L192" s="174"/>
      <c r="M192" s="170"/>
      <c r="N192" s="171"/>
      <c r="O192" s="170"/>
      <c r="P192" s="171"/>
      <c r="Q192" s="170"/>
      <c r="R192" s="171"/>
      <c r="S192" s="170"/>
      <c r="T192" s="171"/>
      <c r="U192" s="170"/>
      <c r="V192" s="171"/>
      <c r="W192" s="170"/>
      <c r="X192" s="171"/>
      <c r="Y192" s="170"/>
      <c r="Z192" s="171"/>
      <c r="AA192" s="170"/>
      <c r="AB192" s="171"/>
      <c r="AC192" s="170"/>
      <c r="AD192" s="171"/>
      <c r="AE192" s="170"/>
      <c r="AF192" s="171"/>
      <c r="AG192" s="170"/>
      <c r="AH192" s="171"/>
      <c r="AI192" s="170"/>
      <c r="AJ192" s="171"/>
      <c r="AK192" s="170"/>
      <c r="AL192" s="171"/>
      <c r="AM192" s="170"/>
      <c r="AN192" s="171"/>
      <c r="AO192" s="170"/>
      <c r="AP192" s="171"/>
      <c r="AQ192" s="170"/>
      <c r="AR192" s="171"/>
      <c r="AS192" s="170"/>
      <c r="AT192" s="171"/>
      <c r="AU192" s="170"/>
      <c r="AV192" s="172" t="n">
        <f aca="false">IFERROR(VLOOKUP(A192,'Site check'!A:Q,14,0),0)</f>
        <v>0</v>
      </c>
    </row>
    <row r="193" customFormat="false" ht="13.15" hidden="false" customHeight="false" outlineLevel="0" collapsed="false">
      <c r="A193" s="20" t="s">
        <v>209</v>
      </c>
      <c r="B193" s="159"/>
      <c r="C193" s="176" t="s">
        <v>18</v>
      </c>
      <c r="D193" s="167"/>
      <c r="E193" s="167"/>
      <c r="F193" s="167"/>
      <c r="G193" s="168" t="n">
        <f aca="false">SUM(J193,L193,N193,P193,R193,T193,V193,X193,Z193,AB193,AD193,AF193,AH193,AJ193,AL193,AN193,AP193,AR193,AT193,AV193)</f>
        <v>6.9</v>
      </c>
      <c r="H193" s="169" t="n">
        <f aca="false">SUM(G193*1000)/54.5</f>
        <v>126.605504587156</v>
      </c>
      <c r="I193" s="173" t="s">
        <v>1347</v>
      </c>
      <c r="J193" s="174" t="n">
        <v>1.7</v>
      </c>
      <c r="K193" s="193" t="s">
        <v>1348</v>
      </c>
      <c r="L193" s="192" t="n">
        <v>1</v>
      </c>
      <c r="M193" s="179" t="s">
        <v>1349</v>
      </c>
      <c r="N193" s="180" t="n">
        <v>4.2</v>
      </c>
      <c r="O193" s="170"/>
      <c r="P193" s="171"/>
      <c r="Q193" s="170"/>
      <c r="R193" s="171"/>
      <c r="S193" s="170"/>
      <c r="T193" s="171"/>
      <c r="U193" s="170"/>
      <c r="V193" s="171"/>
      <c r="W193" s="170"/>
      <c r="X193" s="171"/>
      <c r="Y193" s="170"/>
      <c r="Z193" s="171"/>
      <c r="AA193" s="170"/>
      <c r="AB193" s="171"/>
      <c r="AC193" s="170"/>
      <c r="AD193" s="171"/>
      <c r="AE193" s="170"/>
      <c r="AF193" s="171"/>
      <c r="AG193" s="170"/>
      <c r="AH193" s="171"/>
      <c r="AI193" s="170"/>
      <c r="AJ193" s="171"/>
      <c r="AK193" s="170"/>
      <c r="AL193" s="171"/>
      <c r="AM193" s="170"/>
      <c r="AN193" s="171"/>
      <c r="AO193" s="170"/>
      <c r="AP193" s="171"/>
      <c r="AQ193" s="170"/>
      <c r="AR193" s="171"/>
      <c r="AS193" s="170"/>
      <c r="AT193" s="171"/>
      <c r="AU193" s="170"/>
      <c r="AV193" s="172" t="n">
        <f aca="false">IFERROR(VLOOKUP(A193,'Site check'!A:Q,14,0),0)</f>
        <v>0</v>
      </c>
    </row>
    <row r="194" customFormat="false" ht="13.15" hidden="false" customHeight="false" outlineLevel="0" collapsed="false">
      <c r="A194" s="33" t="s">
        <v>210</v>
      </c>
      <c r="B194" s="159"/>
      <c r="C194" s="167"/>
      <c r="D194" s="167"/>
      <c r="E194" s="167"/>
      <c r="F194" s="167"/>
      <c r="G194" s="168" t="n">
        <f aca="false">SUM(J194,L194,N194,P194,R194,T194,V194,X194,Z194,AB194,AD194,AF194,AH194,AJ194,AL194,AN194,AP194,AR194,AT194,AV194)</f>
        <v>0</v>
      </c>
      <c r="H194" s="169" t="n">
        <f aca="false">SUM(G194*1000)/54.5</f>
        <v>0</v>
      </c>
      <c r="I194" s="170"/>
      <c r="J194" s="171"/>
      <c r="K194" s="170"/>
      <c r="L194" s="171"/>
      <c r="M194" s="170"/>
      <c r="N194" s="171"/>
      <c r="O194" s="170"/>
      <c r="P194" s="171"/>
      <c r="Q194" s="170"/>
      <c r="R194" s="171"/>
      <c r="S194" s="170"/>
      <c r="T194" s="171"/>
      <c r="U194" s="170"/>
      <c r="V194" s="171"/>
      <c r="W194" s="170"/>
      <c r="X194" s="171"/>
      <c r="Y194" s="170"/>
      <c r="Z194" s="171"/>
      <c r="AA194" s="170"/>
      <c r="AB194" s="171"/>
      <c r="AC194" s="170"/>
      <c r="AD194" s="171"/>
      <c r="AE194" s="170"/>
      <c r="AF194" s="171"/>
      <c r="AG194" s="170"/>
      <c r="AH194" s="171"/>
      <c r="AI194" s="170"/>
      <c r="AJ194" s="171"/>
      <c r="AK194" s="170"/>
      <c r="AL194" s="171"/>
      <c r="AM194" s="170"/>
      <c r="AN194" s="171"/>
      <c r="AO194" s="170"/>
      <c r="AP194" s="171"/>
      <c r="AQ194" s="170"/>
      <c r="AR194" s="171"/>
      <c r="AS194" s="170"/>
      <c r="AT194" s="171"/>
      <c r="AU194" s="170"/>
      <c r="AV194" s="172" t="n">
        <f aca="false">IFERROR(VLOOKUP(A194,'Site check'!A:Q,14,0),0)</f>
        <v>0</v>
      </c>
    </row>
    <row r="195" customFormat="false" ht="13.15" hidden="false" customHeight="false" outlineLevel="0" collapsed="false">
      <c r="A195" s="33" t="s">
        <v>211</v>
      </c>
      <c r="B195" s="159"/>
      <c r="C195" s="167"/>
      <c r="D195" s="167"/>
      <c r="E195" s="167"/>
      <c r="F195" s="167"/>
      <c r="G195" s="168" t="n">
        <f aca="false">SUM(J195,L195,N195,P195,R195,T195,V195,X195,Z195,AB195,AD195,AF195,AH195,AJ195,AL195,AN195,AP195,AR195,AT195,AV195)</f>
        <v>0</v>
      </c>
      <c r="H195" s="169" t="n">
        <f aca="false">SUM(G195*1000)/54.5</f>
        <v>0</v>
      </c>
      <c r="I195" s="170"/>
      <c r="J195" s="171"/>
      <c r="K195" s="170"/>
      <c r="L195" s="171"/>
      <c r="M195" s="170"/>
      <c r="N195" s="171"/>
      <c r="O195" s="170"/>
      <c r="P195" s="171"/>
      <c r="Q195" s="170"/>
      <c r="R195" s="171"/>
      <c r="S195" s="170"/>
      <c r="T195" s="171"/>
      <c r="U195" s="170"/>
      <c r="V195" s="171"/>
      <c r="W195" s="170"/>
      <c r="X195" s="171"/>
      <c r="Y195" s="170"/>
      <c r="Z195" s="171"/>
      <c r="AA195" s="170"/>
      <c r="AB195" s="171"/>
      <c r="AC195" s="170"/>
      <c r="AD195" s="171"/>
      <c r="AE195" s="170"/>
      <c r="AF195" s="171"/>
      <c r="AG195" s="170"/>
      <c r="AH195" s="171"/>
      <c r="AI195" s="170"/>
      <c r="AJ195" s="171"/>
      <c r="AK195" s="170"/>
      <c r="AL195" s="171"/>
      <c r="AM195" s="170"/>
      <c r="AN195" s="171"/>
      <c r="AO195" s="170"/>
      <c r="AP195" s="171"/>
      <c r="AQ195" s="170"/>
      <c r="AR195" s="171"/>
      <c r="AS195" s="170"/>
      <c r="AT195" s="171"/>
      <c r="AU195" s="170"/>
      <c r="AV195" s="172" t="n">
        <f aca="false">IFERROR(VLOOKUP(A195,'Site check'!A:Q,14,0),0)</f>
        <v>0</v>
      </c>
    </row>
    <row r="196" customFormat="false" ht="13.15" hidden="false" customHeight="false" outlineLevel="0" collapsed="false">
      <c r="A196" s="20" t="s">
        <v>212</v>
      </c>
      <c r="B196" s="159"/>
      <c r="C196" s="176" t="s">
        <v>18</v>
      </c>
      <c r="D196" s="167"/>
      <c r="E196" s="167"/>
      <c r="F196" s="167"/>
      <c r="G196" s="168" t="n">
        <f aca="false">SUM(J196,L196,N196,P196,R196,T196,V196,X196,Z196,AB196,AD196,AF196,AH196,AJ196,AL196,AN196,AP196,AR196,AT196,AV196)</f>
        <v>2.7</v>
      </c>
      <c r="H196" s="169" t="n">
        <f aca="false">SUM(G196*1000)/54.5</f>
        <v>49.5412844036697</v>
      </c>
      <c r="I196" s="170" t="s">
        <v>1350</v>
      </c>
      <c r="J196" s="171" t="n">
        <v>1.7</v>
      </c>
      <c r="K196" s="202" t="s">
        <v>1351</v>
      </c>
      <c r="L196" s="178" t="n">
        <v>1</v>
      </c>
      <c r="M196" s="170"/>
      <c r="N196" s="171"/>
      <c r="O196" s="170"/>
      <c r="P196" s="171"/>
      <c r="Q196" s="170"/>
      <c r="R196" s="171"/>
      <c r="S196" s="170"/>
      <c r="T196" s="171"/>
      <c r="U196" s="170"/>
      <c r="V196" s="171"/>
      <c r="W196" s="170"/>
      <c r="X196" s="171"/>
      <c r="Y196" s="170"/>
      <c r="Z196" s="171"/>
      <c r="AA196" s="170"/>
      <c r="AB196" s="171"/>
      <c r="AC196" s="170"/>
      <c r="AD196" s="171"/>
      <c r="AE196" s="170"/>
      <c r="AF196" s="171"/>
      <c r="AG196" s="170"/>
      <c r="AH196" s="171"/>
      <c r="AI196" s="170"/>
      <c r="AJ196" s="171"/>
      <c r="AK196" s="170"/>
      <c r="AL196" s="171"/>
      <c r="AM196" s="170"/>
      <c r="AN196" s="171"/>
      <c r="AO196" s="170"/>
      <c r="AP196" s="171"/>
      <c r="AQ196" s="170"/>
      <c r="AR196" s="171"/>
      <c r="AS196" s="170"/>
      <c r="AT196" s="171"/>
      <c r="AU196" s="170"/>
      <c r="AV196" s="172" t="n">
        <f aca="false">IFERROR(VLOOKUP(A196,'Site check'!A:Q,14,0),0)</f>
        <v>0</v>
      </c>
    </row>
    <row r="197" customFormat="false" ht="13.15" hidden="false" customHeight="false" outlineLevel="0" collapsed="false">
      <c r="A197" s="20" t="s">
        <v>213</v>
      </c>
      <c r="B197" s="159"/>
      <c r="C197" s="159"/>
      <c r="D197" s="167"/>
      <c r="E197" s="176" t="s">
        <v>1087</v>
      </c>
      <c r="F197" s="167"/>
      <c r="G197" s="168" t="n">
        <f aca="false">SUM(J197,L197,N197,P197,R197,T197,V197,X197,Z197,AB197,AD197,AF197,AH197,AJ197,AL197,AN197,AP197,AR197,AT197,AV197)</f>
        <v>16.2</v>
      </c>
      <c r="H197" s="169" t="n">
        <f aca="false">SUM(G197*1000)/54.5</f>
        <v>297.247706422018</v>
      </c>
      <c r="I197" s="170" t="s">
        <v>1352</v>
      </c>
      <c r="J197" s="171" t="n">
        <v>12</v>
      </c>
      <c r="K197" s="179" t="s">
        <v>1353</v>
      </c>
      <c r="L197" s="180" t="n">
        <v>4.2</v>
      </c>
      <c r="M197" s="170"/>
      <c r="N197" s="171"/>
      <c r="O197" s="170"/>
      <c r="P197" s="171"/>
      <c r="Q197" s="170"/>
      <c r="R197" s="171"/>
      <c r="S197" s="170"/>
      <c r="T197" s="171"/>
      <c r="U197" s="170"/>
      <c r="V197" s="171"/>
      <c r="W197" s="170"/>
      <c r="X197" s="171"/>
      <c r="Y197" s="170"/>
      <c r="Z197" s="171"/>
      <c r="AA197" s="170"/>
      <c r="AB197" s="171"/>
      <c r="AC197" s="170"/>
      <c r="AD197" s="171"/>
      <c r="AE197" s="170"/>
      <c r="AF197" s="171"/>
      <c r="AG197" s="170"/>
      <c r="AH197" s="171"/>
      <c r="AI197" s="170"/>
      <c r="AJ197" s="171"/>
      <c r="AK197" s="170"/>
      <c r="AL197" s="171"/>
      <c r="AM197" s="170"/>
      <c r="AN197" s="171"/>
      <c r="AO197" s="170"/>
      <c r="AP197" s="171"/>
      <c r="AQ197" s="170"/>
      <c r="AR197" s="171"/>
      <c r="AS197" s="170"/>
      <c r="AT197" s="171"/>
      <c r="AU197" s="170"/>
      <c r="AV197" s="172" t="n">
        <f aca="false">IFERROR(VLOOKUP(A197,'Site check'!A:Q,14,0),0)</f>
        <v>0</v>
      </c>
    </row>
    <row r="198" customFormat="false" ht="13.15" hidden="false" customHeight="false" outlineLevel="0" collapsed="false">
      <c r="A198" s="20" t="s">
        <v>214</v>
      </c>
      <c r="B198" s="159"/>
      <c r="C198" s="167"/>
      <c r="D198" s="167"/>
      <c r="E198" s="167"/>
      <c r="F198" s="167"/>
      <c r="G198" s="168" t="n">
        <f aca="false">SUM(J198,L198,N198,P198,R198,T198,V198,X198,Z198,AB198,AD198,AF198,AH198,AJ198,AL198,AN198,AP198,AR198,AT198,AV198)</f>
        <v>0</v>
      </c>
      <c r="H198" s="169" t="n">
        <f aca="false">SUM(G198*1000)/54.5</f>
        <v>0</v>
      </c>
      <c r="I198" s="170"/>
      <c r="J198" s="171"/>
      <c r="K198" s="170"/>
      <c r="L198" s="171"/>
      <c r="M198" s="170"/>
      <c r="N198" s="171"/>
      <c r="O198" s="170"/>
      <c r="P198" s="171"/>
      <c r="Q198" s="170"/>
      <c r="R198" s="171"/>
      <c r="S198" s="170"/>
      <c r="T198" s="171"/>
      <c r="U198" s="170"/>
      <c r="V198" s="171"/>
      <c r="W198" s="170"/>
      <c r="X198" s="171"/>
      <c r="Y198" s="170"/>
      <c r="Z198" s="171"/>
      <c r="AA198" s="170"/>
      <c r="AB198" s="171"/>
      <c r="AC198" s="170"/>
      <c r="AD198" s="171"/>
      <c r="AE198" s="170"/>
      <c r="AF198" s="171"/>
      <c r="AG198" s="170"/>
      <c r="AH198" s="171"/>
      <c r="AI198" s="170"/>
      <c r="AJ198" s="171"/>
      <c r="AK198" s="170"/>
      <c r="AL198" s="171"/>
      <c r="AM198" s="170"/>
      <c r="AN198" s="171"/>
      <c r="AO198" s="170"/>
      <c r="AP198" s="171"/>
      <c r="AQ198" s="170"/>
      <c r="AR198" s="171"/>
      <c r="AS198" s="170"/>
      <c r="AT198" s="171"/>
      <c r="AU198" s="170"/>
      <c r="AV198" s="172" t="n">
        <f aca="false">IFERROR(VLOOKUP(A198,'Site check'!A:Q,14,0),0)</f>
        <v>0</v>
      </c>
    </row>
    <row r="199" customFormat="false" ht="13.15" hidden="false" customHeight="false" outlineLevel="0" collapsed="false">
      <c r="A199" s="20" t="s">
        <v>215</v>
      </c>
      <c r="B199" s="159"/>
      <c r="C199" s="167"/>
      <c r="D199" s="167"/>
      <c r="E199" s="167"/>
      <c r="F199" s="167"/>
      <c r="G199" s="168" t="n">
        <f aca="false">SUM(J199,L199,N199,P199,R199,T199,V199,X199,Z199,AB199,AD199,AF199,AH199,AJ199,AL199,AN199,AP199,AR199,AT199,AV199)</f>
        <v>0</v>
      </c>
      <c r="H199" s="169" t="n">
        <f aca="false">SUM(G199*1000)/54.5</f>
        <v>0</v>
      </c>
      <c r="I199" s="170"/>
      <c r="J199" s="171"/>
      <c r="K199" s="170"/>
      <c r="L199" s="171"/>
      <c r="M199" s="170"/>
      <c r="N199" s="171"/>
      <c r="O199" s="170"/>
      <c r="P199" s="171"/>
      <c r="Q199" s="170"/>
      <c r="R199" s="171"/>
      <c r="S199" s="170"/>
      <c r="T199" s="171"/>
      <c r="U199" s="170"/>
      <c r="V199" s="171"/>
      <c r="W199" s="170"/>
      <c r="X199" s="171"/>
      <c r="Y199" s="170"/>
      <c r="Z199" s="171"/>
      <c r="AA199" s="170"/>
      <c r="AB199" s="171"/>
      <c r="AC199" s="170"/>
      <c r="AD199" s="171"/>
      <c r="AE199" s="170"/>
      <c r="AF199" s="171"/>
      <c r="AG199" s="170"/>
      <c r="AH199" s="171"/>
      <c r="AI199" s="170"/>
      <c r="AJ199" s="171"/>
      <c r="AK199" s="170"/>
      <c r="AL199" s="171"/>
      <c r="AM199" s="170"/>
      <c r="AN199" s="171"/>
      <c r="AO199" s="170"/>
      <c r="AP199" s="171"/>
      <c r="AQ199" s="170"/>
      <c r="AR199" s="171"/>
      <c r="AS199" s="170"/>
      <c r="AT199" s="171"/>
      <c r="AU199" s="170"/>
      <c r="AV199" s="172" t="n">
        <f aca="false">IFERROR(VLOOKUP(A199,'Site check'!A:Q,14,0),0)</f>
        <v>0</v>
      </c>
    </row>
    <row r="200" customFormat="false" ht="13.15" hidden="false" customHeight="false" outlineLevel="0" collapsed="false">
      <c r="A200" s="20" t="s">
        <v>216</v>
      </c>
      <c r="B200" s="159"/>
      <c r="C200" s="167"/>
      <c r="D200" s="167"/>
      <c r="E200" s="167"/>
      <c r="F200" s="167"/>
      <c r="G200" s="168" t="n">
        <f aca="false">SUM(J200,L200,N200,P200,R200,T200,V200,X200,Z200,AB200,AD200,AF200,AH200,AJ200,AL200,AN200,AP200,AR200,AT200,AV200)</f>
        <v>2</v>
      </c>
      <c r="H200" s="169" t="n">
        <f aca="false">SUM(G200*1000)/54.5</f>
        <v>36.697247706422</v>
      </c>
      <c r="I200" s="170" t="s">
        <v>1354</v>
      </c>
      <c r="J200" s="171" t="n">
        <v>2</v>
      </c>
      <c r="K200" s="170"/>
      <c r="L200" s="171"/>
      <c r="M200" s="170"/>
      <c r="N200" s="171"/>
      <c r="O200" s="170"/>
      <c r="P200" s="171"/>
      <c r="Q200" s="170"/>
      <c r="R200" s="171"/>
      <c r="S200" s="170"/>
      <c r="T200" s="171"/>
      <c r="U200" s="170"/>
      <c r="V200" s="171"/>
      <c r="W200" s="170"/>
      <c r="X200" s="171"/>
      <c r="Y200" s="170"/>
      <c r="Z200" s="171"/>
      <c r="AA200" s="170"/>
      <c r="AB200" s="171"/>
      <c r="AC200" s="170"/>
      <c r="AD200" s="171"/>
      <c r="AE200" s="170"/>
      <c r="AF200" s="171"/>
      <c r="AG200" s="170"/>
      <c r="AH200" s="171"/>
      <c r="AI200" s="170"/>
      <c r="AJ200" s="171"/>
      <c r="AK200" s="170"/>
      <c r="AL200" s="171"/>
      <c r="AM200" s="170"/>
      <c r="AN200" s="171"/>
      <c r="AO200" s="170"/>
      <c r="AP200" s="171"/>
      <c r="AQ200" s="170"/>
      <c r="AR200" s="171"/>
      <c r="AS200" s="170"/>
      <c r="AT200" s="171"/>
      <c r="AU200" s="170"/>
      <c r="AV200" s="172" t="n">
        <f aca="false">IFERROR(VLOOKUP(A200,'Site check'!A:Q,14,0),0)</f>
        <v>0</v>
      </c>
    </row>
    <row r="201" customFormat="false" ht="13.15" hidden="false" customHeight="false" outlineLevel="0" collapsed="false">
      <c r="A201" s="20" t="s">
        <v>217</v>
      </c>
      <c r="B201" s="159"/>
      <c r="C201" s="167"/>
      <c r="D201" s="167"/>
      <c r="E201" s="167"/>
      <c r="F201" s="167"/>
      <c r="G201" s="168" t="n">
        <f aca="false">SUM(J201,L201,N201,P201,R201,T201,V201,X201,Z201,AB201,AD201,AF201,AH201,AJ201,AL201,AN201,AP201,AR201,AT201,AV201)</f>
        <v>0</v>
      </c>
      <c r="H201" s="169" t="n">
        <f aca="false">SUM(G201*1000)/54.5</f>
        <v>0</v>
      </c>
      <c r="I201" s="170"/>
      <c r="J201" s="171"/>
      <c r="K201" s="170"/>
      <c r="L201" s="171"/>
      <c r="M201" s="170"/>
      <c r="N201" s="171"/>
      <c r="O201" s="170"/>
      <c r="P201" s="171"/>
      <c r="Q201" s="170"/>
      <c r="R201" s="171"/>
      <c r="S201" s="170"/>
      <c r="T201" s="171"/>
      <c r="U201" s="170"/>
      <c r="V201" s="171"/>
      <c r="W201" s="170"/>
      <c r="X201" s="171"/>
      <c r="Y201" s="170"/>
      <c r="Z201" s="171"/>
      <c r="AA201" s="170"/>
      <c r="AB201" s="171"/>
      <c r="AC201" s="170"/>
      <c r="AD201" s="171"/>
      <c r="AE201" s="170"/>
      <c r="AF201" s="171"/>
      <c r="AG201" s="170"/>
      <c r="AH201" s="171"/>
      <c r="AI201" s="170"/>
      <c r="AJ201" s="171"/>
      <c r="AK201" s="170"/>
      <c r="AL201" s="171"/>
      <c r="AM201" s="170"/>
      <c r="AN201" s="171"/>
      <c r="AO201" s="170"/>
      <c r="AP201" s="171"/>
      <c r="AQ201" s="170"/>
      <c r="AR201" s="171"/>
      <c r="AS201" s="170"/>
      <c r="AT201" s="171"/>
      <c r="AU201" s="170"/>
      <c r="AV201" s="172" t="n">
        <f aca="false">IFERROR(VLOOKUP(A201,'Site check'!A:Q,14,0),0)</f>
        <v>0</v>
      </c>
    </row>
    <row r="202" customFormat="false" ht="13.15" hidden="false" customHeight="false" outlineLevel="0" collapsed="false">
      <c r="A202" s="34" t="s">
        <v>218</v>
      </c>
      <c r="B202" s="167"/>
      <c r="C202" s="167"/>
      <c r="D202" s="167"/>
      <c r="E202" s="167"/>
      <c r="F202" s="167"/>
      <c r="G202" s="168" t="n">
        <f aca="false">SUM(J202,L202,N202,P202,R202,T202,V202,X202,Z202,AB202,AD202,AF202,AH202,AJ202,AL202,AN202,AP202,AR202,AT202,AV202)</f>
        <v>36.5</v>
      </c>
      <c r="H202" s="169" t="n">
        <f aca="false">SUM(G202*1000)/54.5</f>
        <v>669.724770642202</v>
      </c>
      <c r="I202" s="170" t="s">
        <v>1355</v>
      </c>
      <c r="J202" s="171" t="n">
        <v>12</v>
      </c>
      <c r="K202" s="170" t="s">
        <v>1356</v>
      </c>
      <c r="L202" s="171" t="n">
        <v>3</v>
      </c>
      <c r="M202" s="170" t="s">
        <v>1357</v>
      </c>
      <c r="N202" s="171" t="n">
        <v>0.5</v>
      </c>
      <c r="O202" s="170" t="s">
        <v>1358</v>
      </c>
      <c r="P202" s="171" t="n">
        <v>4</v>
      </c>
      <c r="Q202" s="186" t="s">
        <v>1359</v>
      </c>
      <c r="R202" s="192" t="n">
        <v>2</v>
      </c>
      <c r="S202" s="202" t="s">
        <v>1360</v>
      </c>
      <c r="T202" s="178" t="n">
        <v>6</v>
      </c>
      <c r="U202" s="177" t="s">
        <v>1361</v>
      </c>
      <c r="V202" s="178" t="n">
        <v>3</v>
      </c>
      <c r="W202" s="181" t="s">
        <v>1362</v>
      </c>
      <c r="X202" s="175" t="n">
        <v>3</v>
      </c>
      <c r="Y202" s="181" t="s">
        <v>1363</v>
      </c>
      <c r="Z202" s="175" t="n">
        <v>3</v>
      </c>
      <c r="AA202" s="181"/>
      <c r="AB202" s="175"/>
      <c r="AC202" s="170"/>
      <c r="AD202" s="171"/>
      <c r="AE202" s="170"/>
      <c r="AF202" s="171"/>
      <c r="AG202" s="170"/>
      <c r="AH202" s="171"/>
      <c r="AI202" s="170"/>
      <c r="AJ202" s="171"/>
      <c r="AK202" s="170"/>
      <c r="AL202" s="171"/>
      <c r="AM202" s="170"/>
      <c r="AN202" s="171"/>
      <c r="AO202" s="170"/>
      <c r="AP202" s="171"/>
      <c r="AQ202" s="170"/>
      <c r="AR202" s="171"/>
      <c r="AS202" s="170"/>
      <c r="AT202" s="171"/>
      <c r="AU202" s="170"/>
      <c r="AV202" s="172" t="n">
        <f aca="false">IFERROR(VLOOKUP(A202,'Site check'!A:Q,14,0),0)</f>
        <v>0</v>
      </c>
    </row>
    <row r="203" customFormat="false" ht="13.15" hidden="false" customHeight="false" outlineLevel="0" collapsed="false">
      <c r="A203" s="34" t="s">
        <v>219</v>
      </c>
      <c r="B203" s="184" t="s">
        <v>17</v>
      </c>
      <c r="C203" s="176" t="s">
        <v>18</v>
      </c>
      <c r="D203" s="176" t="s">
        <v>19</v>
      </c>
      <c r="E203" s="167"/>
      <c r="F203" s="176" t="s">
        <v>958</v>
      </c>
      <c r="G203" s="168" t="n">
        <f aca="false">SUM(J203,L203,N203,P203,R203,T203,V203,X203,Z203,AB203,AD203,AF203,AH203,AJ203,AL203,AN203,AP203,AR203,AT203,AV203)</f>
        <v>11.9</v>
      </c>
      <c r="H203" s="169" t="n">
        <f aca="false">SUM(G203*1000)/54.5</f>
        <v>218.348623853211</v>
      </c>
      <c r="I203" s="170" t="s">
        <v>1364</v>
      </c>
      <c r="J203" s="171" t="n">
        <v>2</v>
      </c>
      <c r="K203" s="170" t="s">
        <v>1365</v>
      </c>
      <c r="L203" s="171" t="n">
        <v>1.1</v>
      </c>
      <c r="M203" s="170" t="s">
        <v>1366</v>
      </c>
      <c r="N203" s="171" t="n">
        <v>1.7</v>
      </c>
      <c r="O203" s="170" t="s">
        <v>1367</v>
      </c>
      <c r="P203" s="171" t="n">
        <v>2.7</v>
      </c>
      <c r="Q203" s="170" t="s">
        <v>1368</v>
      </c>
      <c r="R203" s="171" t="n">
        <v>1.2</v>
      </c>
      <c r="S203" s="170" t="s">
        <v>1369</v>
      </c>
      <c r="T203" s="171" t="n">
        <v>3.2</v>
      </c>
      <c r="U203" s="170"/>
      <c r="V203" s="171"/>
      <c r="W203" s="170"/>
      <c r="X203" s="171"/>
      <c r="Y203" s="170"/>
      <c r="Z203" s="171"/>
      <c r="AA203" s="170"/>
      <c r="AB203" s="171"/>
      <c r="AC203" s="170"/>
      <c r="AD203" s="171"/>
      <c r="AE203" s="170"/>
      <c r="AF203" s="171"/>
      <c r="AG203" s="170"/>
      <c r="AH203" s="171"/>
      <c r="AI203" s="170"/>
      <c r="AJ203" s="171"/>
      <c r="AK203" s="170"/>
      <c r="AL203" s="171"/>
      <c r="AM203" s="170"/>
      <c r="AN203" s="171"/>
      <c r="AO203" s="170"/>
      <c r="AP203" s="171"/>
      <c r="AQ203" s="170"/>
      <c r="AR203" s="171"/>
      <c r="AS203" s="170"/>
      <c r="AT203" s="171"/>
      <c r="AU203" s="170"/>
      <c r="AV203" s="172" t="n">
        <f aca="false">IFERROR(VLOOKUP(A203,'Site check'!A:Q,14,0),0)</f>
        <v>0</v>
      </c>
    </row>
    <row r="204" customFormat="false" ht="13.15" hidden="false" customHeight="false" outlineLevel="0" collapsed="false">
      <c r="A204" s="20" t="s">
        <v>220</v>
      </c>
      <c r="B204" s="159"/>
      <c r="C204" s="167"/>
      <c r="D204" s="167"/>
      <c r="E204" s="167"/>
      <c r="F204" s="167"/>
      <c r="G204" s="168" t="n">
        <f aca="false">SUM(J204,L204,N204,P204,R204,T204,V204,X204,Z204,AB204,AD204,AF204,AH204,AJ204,AL204,AN204,AP204,AR204,AT204,AV204)</f>
        <v>0</v>
      </c>
      <c r="H204" s="169" t="n">
        <f aca="false">SUM(G204*1000)/54.5</f>
        <v>0</v>
      </c>
      <c r="I204" s="170"/>
      <c r="J204" s="171"/>
      <c r="K204" s="170"/>
      <c r="L204" s="171"/>
      <c r="M204" s="170"/>
      <c r="N204" s="171"/>
      <c r="O204" s="170"/>
      <c r="P204" s="171"/>
      <c r="Q204" s="170"/>
      <c r="R204" s="171"/>
      <c r="S204" s="170"/>
      <c r="T204" s="171"/>
      <c r="U204" s="170"/>
      <c r="V204" s="171"/>
      <c r="W204" s="170"/>
      <c r="X204" s="171"/>
      <c r="Y204" s="170"/>
      <c r="Z204" s="171"/>
      <c r="AA204" s="170"/>
      <c r="AB204" s="171"/>
      <c r="AC204" s="170"/>
      <c r="AD204" s="171"/>
      <c r="AE204" s="170"/>
      <c r="AF204" s="171"/>
      <c r="AG204" s="170"/>
      <c r="AH204" s="171"/>
      <c r="AI204" s="170"/>
      <c r="AJ204" s="171"/>
      <c r="AK204" s="170"/>
      <c r="AL204" s="171"/>
      <c r="AM204" s="170"/>
      <c r="AN204" s="171"/>
      <c r="AO204" s="170"/>
      <c r="AP204" s="171"/>
      <c r="AQ204" s="170"/>
      <c r="AR204" s="171"/>
      <c r="AS204" s="170"/>
      <c r="AT204" s="171"/>
      <c r="AU204" s="170"/>
      <c r="AV204" s="172" t="n">
        <f aca="false">IFERROR(VLOOKUP(A204,'Site check'!A:Q,14,0),0)</f>
        <v>0</v>
      </c>
    </row>
    <row r="205" customFormat="false" ht="13.15" hidden="false" customHeight="false" outlineLevel="0" collapsed="false">
      <c r="A205" s="20" t="s">
        <v>221</v>
      </c>
      <c r="B205" s="159"/>
      <c r="C205" s="167"/>
      <c r="D205" s="167"/>
      <c r="E205" s="167"/>
      <c r="F205" s="167"/>
      <c r="G205" s="168" t="n">
        <f aca="false">SUM(J205,L205,N205,P205,R205,T205,V205,X205,Z205,AB205,AD205,AF205,AH205,AJ205,AL205,AN205,AP205,AR205,AT205,AV205)</f>
        <v>10.2</v>
      </c>
      <c r="H205" s="169" t="n">
        <f aca="false">SUM(G205*1000)/54.5</f>
        <v>187.155963302752</v>
      </c>
      <c r="I205" s="181" t="s">
        <v>1063</v>
      </c>
      <c r="J205" s="175" t="n">
        <v>1.8</v>
      </c>
      <c r="K205" s="181" t="s">
        <v>1175</v>
      </c>
      <c r="L205" s="175" t="n">
        <v>2.9</v>
      </c>
      <c r="M205" s="173" t="s">
        <v>1096</v>
      </c>
      <c r="N205" s="174" t="n">
        <v>0.5</v>
      </c>
      <c r="O205" s="181" t="s">
        <v>1370</v>
      </c>
      <c r="P205" s="175" t="n">
        <v>5</v>
      </c>
      <c r="Q205" s="170"/>
      <c r="R205" s="171"/>
      <c r="S205" s="170"/>
      <c r="T205" s="171"/>
      <c r="U205" s="170"/>
      <c r="V205" s="171"/>
      <c r="W205" s="170"/>
      <c r="X205" s="171"/>
      <c r="Y205" s="170"/>
      <c r="Z205" s="171"/>
      <c r="AA205" s="170"/>
      <c r="AB205" s="171"/>
      <c r="AC205" s="170"/>
      <c r="AD205" s="171"/>
      <c r="AE205" s="170"/>
      <c r="AF205" s="171"/>
      <c r="AG205" s="170"/>
      <c r="AH205" s="171"/>
      <c r="AI205" s="170"/>
      <c r="AJ205" s="171"/>
      <c r="AK205" s="170"/>
      <c r="AL205" s="171"/>
      <c r="AM205" s="170"/>
      <c r="AN205" s="171"/>
      <c r="AO205" s="170"/>
      <c r="AP205" s="171"/>
      <c r="AQ205" s="170"/>
      <c r="AR205" s="171"/>
      <c r="AS205" s="170"/>
      <c r="AT205" s="171"/>
      <c r="AU205" s="170"/>
      <c r="AV205" s="172" t="n">
        <f aca="false">IFERROR(VLOOKUP(A205,'Site check'!A:Q,14,0),0)</f>
        <v>0</v>
      </c>
    </row>
    <row r="206" customFormat="false" ht="13.15" hidden="false" customHeight="false" outlineLevel="0" collapsed="false">
      <c r="A206" s="20" t="s">
        <v>222</v>
      </c>
      <c r="B206" s="159"/>
      <c r="C206" s="167"/>
      <c r="D206" s="167"/>
      <c r="E206" s="167"/>
      <c r="F206" s="167"/>
      <c r="G206" s="168" t="n">
        <f aca="false">SUM(J206,L206,N206,P206,R206,T206,V206,X206,Z206,AB206,AD206,AF206,AH206,AJ206,AL206,AN206,AP206,AR206,AT206,AV206)</f>
        <v>0.25</v>
      </c>
      <c r="H206" s="169" t="n">
        <f aca="false">SUM(G206*1000)/54.5</f>
        <v>4.58715596330275</v>
      </c>
      <c r="I206" s="186" t="s">
        <v>1371</v>
      </c>
      <c r="J206" s="192" t="n">
        <v>0.25</v>
      </c>
      <c r="K206" s="170"/>
      <c r="L206" s="171"/>
      <c r="M206" s="170"/>
      <c r="N206" s="171"/>
      <c r="O206" s="170"/>
      <c r="P206" s="171"/>
      <c r="Q206" s="170"/>
      <c r="R206" s="171"/>
      <c r="S206" s="170"/>
      <c r="T206" s="171"/>
      <c r="U206" s="170"/>
      <c r="V206" s="171"/>
      <c r="W206" s="170"/>
      <c r="X206" s="171"/>
      <c r="Y206" s="170"/>
      <c r="Z206" s="171"/>
      <c r="AA206" s="170"/>
      <c r="AB206" s="171"/>
      <c r="AC206" s="170"/>
      <c r="AD206" s="171"/>
      <c r="AE206" s="170"/>
      <c r="AF206" s="171"/>
      <c r="AG206" s="170"/>
      <c r="AH206" s="171"/>
      <c r="AI206" s="170"/>
      <c r="AJ206" s="171"/>
      <c r="AK206" s="170"/>
      <c r="AL206" s="171"/>
      <c r="AM206" s="170"/>
      <c r="AN206" s="171"/>
      <c r="AO206" s="170"/>
      <c r="AP206" s="171"/>
      <c r="AQ206" s="170"/>
      <c r="AR206" s="171"/>
      <c r="AS206" s="170"/>
      <c r="AT206" s="171"/>
      <c r="AU206" s="170"/>
      <c r="AV206" s="172" t="n">
        <f aca="false">IFERROR(VLOOKUP(A206,'Site check'!A:Q,14,0),0)</f>
        <v>0</v>
      </c>
    </row>
    <row r="207" customFormat="false" ht="13.15" hidden="false" customHeight="false" outlineLevel="0" collapsed="false">
      <c r="A207" s="20" t="s">
        <v>223</v>
      </c>
      <c r="B207" s="159"/>
      <c r="C207" s="176" t="s">
        <v>18</v>
      </c>
      <c r="D207" s="167"/>
      <c r="E207" s="167"/>
      <c r="F207" s="167"/>
      <c r="G207" s="168" t="n">
        <f aca="false">SUM(J207,L207,N207,P207,R207,T207,V207,X207,Z207,AB207,AD207,AF207,AH207,AJ207,AL207,AN207,AP207,AR207,AT207,AV207)</f>
        <v>7.2</v>
      </c>
      <c r="H207" s="169" t="n">
        <f aca="false">SUM(G207*1000)/54.5</f>
        <v>132.110091743119</v>
      </c>
      <c r="I207" s="181" t="s">
        <v>1372</v>
      </c>
      <c r="J207" s="175" t="n">
        <v>1.7</v>
      </c>
      <c r="K207" s="181" t="s">
        <v>1373</v>
      </c>
      <c r="L207" s="175" t="n">
        <v>2.75</v>
      </c>
      <c r="M207" s="170" t="s">
        <v>1374</v>
      </c>
      <c r="N207" s="171" t="n">
        <v>2.75</v>
      </c>
      <c r="O207" s="170"/>
      <c r="P207" s="171"/>
      <c r="Q207" s="170"/>
      <c r="R207" s="171"/>
      <c r="S207" s="170"/>
      <c r="T207" s="171"/>
      <c r="U207" s="170"/>
      <c r="V207" s="171"/>
      <c r="W207" s="170"/>
      <c r="X207" s="171"/>
      <c r="Y207" s="170"/>
      <c r="Z207" s="171"/>
      <c r="AA207" s="170"/>
      <c r="AB207" s="171"/>
      <c r="AC207" s="170"/>
      <c r="AD207" s="171"/>
      <c r="AE207" s="170"/>
      <c r="AF207" s="171"/>
      <c r="AG207" s="170"/>
      <c r="AH207" s="171"/>
      <c r="AI207" s="170"/>
      <c r="AJ207" s="171"/>
      <c r="AK207" s="170"/>
      <c r="AL207" s="171"/>
      <c r="AM207" s="170"/>
      <c r="AN207" s="171"/>
      <c r="AO207" s="170"/>
      <c r="AP207" s="171"/>
      <c r="AQ207" s="170"/>
      <c r="AR207" s="171"/>
      <c r="AS207" s="170"/>
      <c r="AT207" s="171"/>
      <c r="AU207" s="170"/>
      <c r="AV207" s="172" t="n">
        <f aca="false">IFERROR(VLOOKUP(A207,'Site check'!A:Q,14,0),0)</f>
        <v>0</v>
      </c>
    </row>
    <row r="208" customFormat="false" ht="12.75" hidden="false" customHeight="false" outlineLevel="0" collapsed="false">
      <c r="A208" s="20" t="s">
        <v>224</v>
      </c>
      <c r="B208" s="159"/>
      <c r="C208" s="176" t="s">
        <v>18</v>
      </c>
      <c r="D208" s="167"/>
      <c r="E208" s="167"/>
      <c r="F208" s="167"/>
      <c r="G208" s="168" t="n">
        <f aca="false">SUM(J208,L208,N208,P208,R208,T208,V208,X208,Z208,AB208,AD208,AF208,AH208,AJ208,AL208,AN208,AP208,AR208,AT208,AV208)</f>
        <v>6.9</v>
      </c>
      <c r="H208" s="169" t="n">
        <f aca="false">SUM(G208*1000)/54.5</f>
        <v>126.605504587156</v>
      </c>
      <c r="I208" s="170" t="s">
        <v>1375</v>
      </c>
      <c r="J208" s="171" t="n">
        <v>1.7</v>
      </c>
      <c r="K208" s="186" t="s">
        <v>1376</v>
      </c>
      <c r="L208" s="209" t="n">
        <v>1</v>
      </c>
      <c r="M208" s="181" t="s">
        <v>1377</v>
      </c>
      <c r="N208" s="175" t="n">
        <v>4.2</v>
      </c>
      <c r="O208" s="181"/>
      <c r="P208" s="175"/>
      <c r="Q208" s="170"/>
      <c r="R208" s="171"/>
      <c r="S208" s="170"/>
      <c r="T208" s="171"/>
      <c r="U208" s="170"/>
      <c r="V208" s="171"/>
      <c r="W208" s="170"/>
      <c r="X208" s="171"/>
      <c r="Y208" s="170"/>
      <c r="Z208" s="171"/>
      <c r="AA208" s="170"/>
      <c r="AB208" s="171"/>
      <c r="AC208" s="170"/>
      <c r="AD208" s="171"/>
      <c r="AE208" s="170"/>
      <c r="AF208" s="171"/>
      <c r="AG208" s="170"/>
      <c r="AH208" s="171"/>
      <c r="AI208" s="170"/>
      <c r="AJ208" s="171"/>
      <c r="AK208" s="170"/>
      <c r="AL208" s="171"/>
      <c r="AM208" s="170"/>
      <c r="AN208" s="171"/>
      <c r="AO208" s="170"/>
      <c r="AP208" s="171"/>
      <c r="AQ208" s="170"/>
      <c r="AR208" s="171"/>
      <c r="AS208" s="170"/>
      <c r="AT208" s="171"/>
      <c r="AU208" s="170"/>
      <c r="AV208" s="172" t="n">
        <f aca="false">IFERROR(VLOOKUP(A208,'Site check'!A:Q,14,0),0)</f>
        <v>0</v>
      </c>
    </row>
    <row r="209" customFormat="false" ht="13.15" hidden="false" customHeight="false" outlineLevel="0" collapsed="false">
      <c r="A209" s="20" t="s">
        <v>225</v>
      </c>
      <c r="B209" s="219"/>
      <c r="C209" s="167"/>
      <c r="D209" s="167"/>
      <c r="E209" s="167"/>
      <c r="F209" s="167"/>
      <c r="G209" s="168" t="n">
        <f aca="false">SUM(J209,L209,N209,P209,R209,T209,V209,X209,Z209,AB209,AD209,AF209,AH209,AJ209,AL209,AN209,AP209,AR209,AT209,AV209)</f>
        <v>8.2</v>
      </c>
      <c r="H209" s="169" t="n">
        <f aca="false">SUM(G209*1000)/54.5</f>
        <v>150.45871559633</v>
      </c>
      <c r="I209" s="170" t="s">
        <v>1378</v>
      </c>
      <c r="J209" s="171" t="n">
        <v>0.5</v>
      </c>
      <c r="K209" s="220" t="s">
        <v>1216</v>
      </c>
      <c r="L209" s="209" t="n">
        <v>2</v>
      </c>
      <c r="M209" s="212" t="s">
        <v>1379</v>
      </c>
      <c r="N209" s="205" t="n">
        <v>1</v>
      </c>
      <c r="O209" s="204" t="s">
        <v>1380</v>
      </c>
      <c r="P209" s="221" t="n">
        <v>4.2</v>
      </c>
      <c r="Q209" s="179" t="s">
        <v>1381</v>
      </c>
      <c r="R209" s="180" t="n">
        <v>0.5</v>
      </c>
      <c r="S209" s="179"/>
      <c r="T209" s="180"/>
      <c r="U209" s="170"/>
      <c r="V209" s="171"/>
      <c r="W209" s="170"/>
      <c r="X209" s="171"/>
      <c r="Y209" s="170"/>
      <c r="Z209" s="171"/>
      <c r="AA209" s="170"/>
      <c r="AB209" s="171"/>
      <c r="AC209" s="170"/>
      <c r="AD209" s="171"/>
      <c r="AE209" s="170"/>
      <c r="AF209" s="171"/>
      <c r="AG209" s="170"/>
      <c r="AH209" s="171"/>
      <c r="AI209" s="170"/>
      <c r="AJ209" s="171"/>
      <c r="AK209" s="170"/>
      <c r="AL209" s="171"/>
      <c r="AM209" s="170"/>
      <c r="AN209" s="171"/>
      <c r="AO209" s="170"/>
      <c r="AP209" s="171"/>
      <c r="AQ209" s="170"/>
      <c r="AR209" s="171"/>
      <c r="AS209" s="170"/>
      <c r="AT209" s="171"/>
      <c r="AU209" s="170"/>
      <c r="AV209" s="172" t="n">
        <f aca="false">IFERROR(VLOOKUP(A209,'Site check'!A:Q,14,0),0)</f>
        <v>0</v>
      </c>
    </row>
    <row r="210" customFormat="false" ht="13.15" hidden="false" customHeight="false" outlineLevel="0" collapsed="false">
      <c r="A210" s="20" t="s">
        <v>226</v>
      </c>
      <c r="B210" s="159"/>
      <c r="C210" s="167"/>
      <c r="D210" s="167"/>
      <c r="E210" s="167"/>
      <c r="F210" s="167"/>
      <c r="G210" s="168" t="n">
        <f aca="false">SUM(J210,L210,N210,P210,R210,T210,V210,X210,Z210,AB210,AD210,AF210,AH210,AJ210,AL210,AN210,AP210,AR210,AT210,AV210)</f>
        <v>0</v>
      </c>
      <c r="H210" s="169" t="n">
        <f aca="false">SUM(G210*1000)/54.5</f>
        <v>0</v>
      </c>
      <c r="I210" s="170"/>
      <c r="J210" s="171"/>
      <c r="K210" s="170"/>
      <c r="L210" s="171"/>
      <c r="M210" s="170"/>
      <c r="N210" s="171"/>
      <c r="O210" s="170"/>
      <c r="P210" s="171"/>
      <c r="Q210" s="170"/>
      <c r="R210" s="171"/>
      <c r="S210" s="170"/>
      <c r="T210" s="171"/>
      <c r="U210" s="170"/>
      <c r="V210" s="171"/>
      <c r="W210" s="170"/>
      <c r="X210" s="171"/>
      <c r="Y210" s="170"/>
      <c r="Z210" s="171"/>
      <c r="AA210" s="170"/>
      <c r="AB210" s="171"/>
      <c r="AC210" s="170"/>
      <c r="AD210" s="171"/>
      <c r="AE210" s="170"/>
      <c r="AF210" s="171"/>
      <c r="AG210" s="170"/>
      <c r="AH210" s="171"/>
      <c r="AI210" s="170"/>
      <c r="AJ210" s="171"/>
      <c r="AK210" s="170"/>
      <c r="AL210" s="171"/>
      <c r="AM210" s="170"/>
      <c r="AN210" s="171"/>
      <c r="AO210" s="170"/>
      <c r="AP210" s="171"/>
      <c r="AQ210" s="170"/>
      <c r="AR210" s="171"/>
      <c r="AS210" s="170"/>
      <c r="AT210" s="171"/>
      <c r="AU210" s="170"/>
      <c r="AV210" s="172" t="n">
        <f aca="false">IFERROR(VLOOKUP(A210,'Site check'!A:Q,14,0),0)</f>
        <v>0</v>
      </c>
    </row>
    <row r="211" customFormat="false" ht="13.15" hidden="false" customHeight="false" outlineLevel="0" collapsed="false">
      <c r="A211" s="20" t="s">
        <v>227</v>
      </c>
      <c r="B211" s="159"/>
      <c r="C211" s="167"/>
      <c r="D211" s="167"/>
      <c r="E211" s="167"/>
      <c r="F211" s="167"/>
      <c r="G211" s="168" t="n">
        <f aca="false">SUM(J211,L211,N211,P211,R211,T211,V211,X211,Z211,AB211,AD211,AF211,AH211,AJ211,AL211,AN211,AP211,AR211,AT211,AV211)</f>
        <v>0</v>
      </c>
      <c r="H211" s="169" t="n">
        <f aca="false">SUM(G211*1000)/54.5</f>
        <v>0</v>
      </c>
      <c r="I211" s="170"/>
      <c r="J211" s="171"/>
      <c r="K211" s="170"/>
      <c r="L211" s="171"/>
      <c r="M211" s="170"/>
      <c r="N211" s="171"/>
      <c r="O211" s="170"/>
      <c r="P211" s="171"/>
      <c r="Q211" s="170"/>
      <c r="R211" s="171"/>
      <c r="S211" s="170"/>
      <c r="T211" s="171"/>
      <c r="U211" s="170"/>
      <c r="V211" s="171"/>
      <c r="W211" s="170"/>
      <c r="X211" s="171"/>
      <c r="Y211" s="170"/>
      <c r="Z211" s="171"/>
      <c r="AA211" s="170"/>
      <c r="AB211" s="171"/>
      <c r="AC211" s="170"/>
      <c r="AD211" s="171"/>
      <c r="AE211" s="170"/>
      <c r="AF211" s="171"/>
      <c r="AG211" s="170"/>
      <c r="AH211" s="171"/>
      <c r="AI211" s="170"/>
      <c r="AJ211" s="171"/>
      <c r="AK211" s="170"/>
      <c r="AL211" s="171"/>
      <c r="AM211" s="170"/>
      <c r="AN211" s="171"/>
      <c r="AO211" s="170"/>
      <c r="AP211" s="171"/>
      <c r="AQ211" s="170"/>
      <c r="AR211" s="171"/>
      <c r="AS211" s="170"/>
      <c r="AT211" s="171"/>
      <c r="AU211" s="170"/>
      <c r="AV211" s="172" t="n">
        <f aca="false">IFERROR(VLOOKUP(A211,'Site check'!A:Q,14,0),0)</f>
        <v>0</v>
      </c>
    </row>
    <row r="212" customFormat="false" ht="13.15" hidden="false" customHeight="false" outlineLevel="0" collapsed="false">
      <c r="A212" s="20" t="s">
        <v>228</v>
      </c>
      <c r="B212" s="159"/>
      <c r="C212" s="167"/>
      <c r="D212" s="167"/>
      <c r="E212" s="167"/>
      <c r="F212" s="167"/>
      <c r="G212" s="168" t="n">
        <f aca="false">SUM(J212,L212,N212,P212,R212,T212,V212,X212,Z212,AB212,AD212,AF212,AH212,AJ212,AL212,AN212,AP212,AR212,AT212,AV212)</f>
        <v>2</v>
      </c>
      <c r="H212" s="169" t="n">
        <f aca="false">SUM(G212*1000)/54.5</f>
        <v>36.697247706422</v>
      </c>
      <c r="I212" s="170" t="s">
        <v>1382</v>
      </c>
      <c r="J212" s="171" t="n">
        <v>1</v>
      </c>
      <c r="K212" s="193" t="s">
        <v>1383</v>
      </c>
      <c r="L212" s="192" t="n">
        <v>1</v>
      </c>
      <c r="M212" s="204"/>
      <c r="N212" s="221"/>
      <c r="O212" s="212"/>
      <c r="P212" s="171"/>
      <c r="Q212" s="170"/>
      <c r="R212" s="171"/>
      <c r="S212" s="170"/>
      <c r="T212" s="171"/>
      <c r="U212" s="170"/>
      <c r="V212" s="171"/>
      <c r="W212" s="170"/>
      <c r="X212" s="171"/>
      <c r="Y212" s="170"/>
      <c r="Z212" s="171"/>
      <c r="AA212" s="170"/>
      <c r="AB212" s="171"/>
      <c r="AC212" s="170"/>
      <c r="AD212" s="171"/>
      <c r="AE212" s="170"/>
      <c r="AF212" s="171"/>
      <c r="AG212" s="170"/>
      <c r="AH212" s="171"/>
      <c r="AI212" s="170"/>
      <c r="AJ212" s="171"/>
      <c r="AK212" s="170"/>
      <c r="AL212" s="171"/>
      <c r="AM212" s="170"/>
      <c r="AN212" s="171"/>
      <c r="AO212" s="170"/>
      <c r="AP212" s="171"/>
      <c r="AQ212" s="170"/>
      <c r="AR212" s="171"/>
      <c r="AS212" s="170"/>
      <c r="AT212" s="171"/>
      <c r="AU212" s="170"/>
      <c r="AV212" s="172" t="n">
        <f aca="false">IFERROR(VLOOKUP(A212,'Site check'!A:Q,14,0),0)</f>
        <v>0</v>
      </c>
    </row>
    <row r="213" customFormat="false" ht="13.15" hidden="false" customHeight="false" outlineLevel="0" collapsed="false">
      <c r="A213" s="20" t="s">
        <v>229</v>
      </c>
      <c r="B213" s="159"/>
      <c r="C213" s="167"/>
      <c r="D213" s="167"/>
      <c r="E213" s="167"/>
      <c r="F213" s="167"/>
      <c r="G213" s="168" t="n">
        <f aca="false">SUM(J213,L213,N213,P213,R213,T213,V213,X213,Z213,AB213,AD213,AF213,AH213,AJ213,AL213,AN213,AP213,AR213,AT213,AV213)</f>
        <v>1</v>
      </c>
      <c r="H213" s="169" t="n">
        <f aca="false">SUM(G213*1000)/54.5</f>
        <v>18.348623853211</v>
      </c>
      <c r="I213" s="186" t="s">
        <v>1384</v>
      </c>
      <c r="J213" s="192" t="n">
        <v>1</v>
      </c>
      <c r="K213" s="173"/>
      <c r="L213" s="174"/>
      <c r="M213" s="170"/>
      <c r="N213" s="171"/>
      <c r="O213" s="170"/>
      <c r="P213" s="171"/>
      <c r="Q213" s="170"/>
      <c r="R213" s="171"/>
      <c r="S213" s="170"/>
      <c r="T213" s="171"/>
      <c r="U213" s="170"/>
      <c r="V213" s="171"/>
      <c r="W213" s="170"/>
      <c r="X213" s="171"/>
      <c r="Y213" s="170"/>
      <c r="Z213" s="171"/>
      <c r="AA213" s="170"/>
      <c r="AB213" s="171"/>
      <c r="AC213" s="170"/>
      <c r="AD213" s="171"/>
      <c r="AE213" s="170"/>
      <c r="AF213" s="171"/>
      <c r="AG213" s="170"/>
      <c r="AH213" s="171"/>
      <c r="AI213" s="170"/>
      <c r="AJ213" s="171"/>
      <c r="AK213" s="170"/>
      <c r="AL213" s="171"/>
      <c r="AM213" s="170"/>
      <c r="AN213" s="171"/>
      <c r="AO213" s="170"/>
      <c r="AP213" s="171"/>
      <c r="AQ213" s="170"/>
      <c r="AR213" s="171"/>
      <c r="AS213" s="170"/>
      <c r="AT213" s="171"/>
      <c r="AU213" s="170"/>
      <c r="AV213" s="172" t="n">
        <f aca="false">IFERROR(VLOOKUP(A213,'Site check'!A:Q,14,0),0)</f>
        <v>0</v>
      </c>
    </row>
    <row r="214" customFormat="false" ht="13.15" hidden="false" customHeight="false" outlineLevel="0" collapsed="false">
      <c r="A214" s="20" t="s">
        <v>230</v>
      </c>
      <c r="B214" s="159"/>
      <c r="C214" s="167"/>
      <c r="D214" s="167"/>
      <c r="E214" s="167"/>
      <c r="F214" s="167"/>
      <c r="G214" s="168" t="n">
        <f aca="false">SUM(J214,L214,N214,P214,R214,T214,V214,X214,Z214,AB214,AD214,AF214,AH214,AJ214,AL214,AN214,AP214,AR214,AT214,AV214)</f>
        <v>1</v>
      </c>
      <c r="H214" s="169" t="n">
        <f aca="false">SUM(G214*1000)/54.5</f>
        <v>18.348623853211</v>
      </c>
      <c r="I214" s="186" t="s">
        <v>1385</v>
      </c>
      <c r="J214" s="192" t="n">
        <v>1</v>
      </c>
      <c r="K214" s="173"/>
      <c r="L214" s="174"/>
      <c r="M214" s="170"/>
      <c r="N214" s="171"/>
      <c r="O214" s="170"/>
      <c r="P214" s="171"/>
      <c r="Q214" s="170"/>
      <c r="R214" s="171"/>
      <c r="S214" s="170"/>
      <c r="T214" s="171"/>
      <c r="U214" s="170"/>
      <c r="V214" s="171"/>
      <c r="W214" s="170"/>
      <c r="X214" s="171"/>
      <c r="Y214" s="170"/>
      <c r="Z214" s="171"/>
      <c r="AA214" s="170"/>
      <c r="AB214" s="171"/>
      <c r="AC214" s="170"/>
      <c r="AD214" s="171"/>
      <c r="AE214" s="170"/>
      <c r="AF214" s="171"/>
      <c r="AG214" s="170"/>
      <c r="AH214" s="171"/>
      <c r="AI214" s="170"/>
      <c r="AJ214" s="171"/>
      <c r="AK214" s="170"/>
      <c r="AL214" s="171"/>
      <c r="AM214" s="170"/>
      <c r="AN214" s="171"/>
      <c r="AO214" s="170"/>
      <c r="AP214" s="171"/>
      <c r="AQ214" s="170"/>
      <c r="AR214" s="171"/>
      <c r="AS214" s="170"/>
      <c r="AT214" s="171"/>
      <c r="AU214" s="170"/>
      <c r="AV214" s="172" t="n">
        <f aca="false">IFERROR(VLOOKUP(A214,'Site check'!A:Q,14,0),0)</f>
        <v>0</v>
      </c>
    </row>
    <row r="215" customFormat="false" ht="13.15" hidden="false" customHeight="false" outlineLevel="0" collapsed="false">
      <c r="A215" s="34" t="s">
        <v>231</v>
      </c>
      <c r="B215" s="159"/>
      <c r="C215" s="167"/>
      <c r="D215" s="167"/>
      <c r="E215" s="167"/>
      <c r="F215" s="167"/>
      <c r="G215" s="168" t="n">
        <f aca="false">SUM(J215,L215,N215,P215,R215,T215,V215,X215,Z215,AB215,AD215,AF215,AH215,AJ215,AL215,AN215,AP215,AR215,AT215,AV215)</f>
        <v>4</v>
      </c>
      <c r="H215" s="169" t="n">
        <f aca="false">SUM(G215*1000)/54.5</f>
        <v>73.394495412844</v>
      </c>
      <c r="I215" s="186" t="s">
        <v>1386</v>
      </c>
      <c r="J215" s="174" t="n">
        <v>2</v>
      </c>
      <c r="K215" s="186" t="s">
        <v>1387</v>
      </c>
      <c r="L215" s="174" t="n">
        <v>2</v>
      </c>
      <c r="M215" s="170"/>
      <c r="N215" s="171"/>
      <c r="O215" s="170"/>
      <c r="P215" s="171"/>
      <c r="Q215" s="170"/>
      <c r="R215" s="171"/>
      <c r="S215" s="170"/>
      <c r="T215" s="171"/>
      <c r="U215" s="170"/>
      <c r="V215" s="171"/>
      <c r="W215" s="170"/>
      <c r="X215" s="171"/>
      <c r="Y215" s="170"/>
      <c r="Z215" s="171"/>
      <c r="AA215" s="170"/>
      <c r="AB215" s="171"/>
      <c r="AC215" s="170"/>
      <c r="AD215" s="171"/>
      <c r="AE215" s="170"/>
      <c r="AF215" s="171"/>
      <c r="AG215" s="170"/>
      <c r="AH215" s="171"/>
      <c r="AI215" s="170"/>
      <c r="AJ215" s="171"/>
      <c r="AK215" s="170"/>
      <c r="AL215" s="171"/>
      <c r="AM215" s="170"/>
      <c r="AN215" s="171"/>
      <c r="AO215" s="170"/>
      <c r="AP215" s="171"/>
      <c r="AQ215" s="170"/>
      <c r="AR215" s="171"/>
      <c r="AS215" s="170"/>
      <c r="AT215" s="171"/>
      <c r="AU215" s="170"/>
      <c r="AV215" s="172" t="n">
        <f aca="false">IFERROR(VLOOKUP(A215,'Site check'!A:Q,14,0),0)</f>
        <v>0</v>
      </c>
    </row>
    <row r="216" customFormat="false" ht="13.15" hidden="false" customHeight="false" outlineLevel="0" collapsed="false">
      <c r="A216" s="34" t="s">
        <v>232</v>
      </c>
      <c r="B216" s="159"/>
      <c r="C216" s="167"/>
      <c r="D216" s="167"/>
      <c r="E216" s="167"/>
      <c r="F216" s="167"/>
      <c r="G216" s="168" t="n">
        <f aca="false">SUM(J216,L216,N216,P216,R216,T216,V216,X216,Z216,AB216,AD216,AF216,AH216,AJ216,AL216,AN216,AP216,AR216,AT216,AV216)</f>
        <v>0</v>
      </c>
      <c r="H216" s="169" t="n">
        <f aca="false">SUM(G216*1000)/54.5</f>
        <v>0</v>
      </c>
      <c r="I216" s="170"/>
      <c r="J216" s="171"/>
      <c r="K216" s="170"/>
      <c r="L216" s="171"/>
      <c r="M216" s="170"/>
      <c r="N216" s="171"/>
      <c r="O216" s="170"/>
      <c r="P216" s="171"/>
      <c r="Q216" s="170"/>
      <c r="R216" s="171"/>
      <c r="S216" s="170"/>
      <c r="T216" s="171"/>
      <c r="U216" s="170"/>
      <c r="V216" s="171"/>
      <c r="W216" s="170"/>
      <c r="X216" s="171"/>
      <c r="Y216" s="170"/>
      <c r="Z216" s="171"/>
      <c r="AA216" s="170"/>
      <c r="AB216" s="171"/>
      <c r="AC216" s="170"/>
      <c r="AD216" s="171"/>
      <c r="AE216" s="170"/>
      <c r="AF216" s="171"/>
      <c r="AG216" s="170"/>
      <c r="AH216" s="171"/>
      <c r="AI216" s="170"/>
      <c r="AJ216" s="171"/>
      <c r="AK216" s="170"/>
      <c r="AL216" s="171"/>
      <c r="AM216" s="170"/>
      <c r="AN216" s="171"/>
      <c r="AO216" s="170"/>
      <c r="AP216" s="171"/>
      <c r="AQ216" s="170"/>
      <c r="AR216" s="171"/>
      <c r="AS216" s="170"/>
      <c r="AT216" s="171"/>
      <c r="AU216" s="170"/>
      <c r="AV216" s="172" t="n">
        <f aca="false">IFERROR(VLOOKUP(A216,'Site check'!A:Q,14,0),0)</f>
        <v>0</v>
      </c>
    </row>
    <row r="217" customFormat="false" ht="13.15" hidden="false" customHeight="false" outlineLevel="0" collapsed="false">
      <c r="A217" s="34" t="s">
        <v>233</v>
      </c>
      <c r="B217" s="159"/>
      <c r="C217" s="167"/>
      <c r="D217" s="167"/>
      <c r="E217" s="167"/>
      <c r="F217" s="167"/>
      <c r="G217" s="168" t="n">
        <f aca="false">SUM(J217,L217,N217,P217,R217,T217,V217,X217,Z217,AB217,AD217,AF217,AH217,AJ217,AL217,AN217,AP217,AR217,AT217,AV217)</f>
        <v>0</v>
      </c>
      <c r="H217" s="169" t="n">
        <f aca="false">SUM(G217*1000)/54.5</f>
        <v>0</v>
      </c>
      <c r="I217" s="170"/>
      <c r="J217" s="171"/>
      <c r="K217" s="170"/>
      <c r="L217" s="171"/>
      <c r="M217" s="170"/>
      <c r="N217" s="171"/>
      <c r="O217" s="170"/>
      <c r="P217" s="171"/>
      <c r="Q217" s="170"/>
      <c r="R217" s="171"/>
      <c r="S217" s="170"/>
      <c r="T217" s="171"/>
      <c r="U217" s="170"/>
      <c r="V217" s="171"/>
      <c r="W217" s="170"/>
      <c r="X217" s="171"/>
      <c r="Y217" s="170"/>
      <c r="Z217" s="171"/>
      <c r="AA217" s="170"/>
      <c r="AB217" s="171"/>
      <c r="AC217" s="170"/>
      <c r="AD217" s="171"/>
      <c r="AE217" s="170"/>
      <c r="AF217" s="171"/>
      <c r="AG217" s="170"/>
      <c r="AH217" s="171"/>
      <c r="AI217" s="170"/>
      <c r="AJ217" s="171"/>
      <c r="AK217" s="170"/>
      <c r="AL217" s="171"/>
      <c r="AM217" s="170"/>
      <c r="AN217" s="171"/>
      <c r="AO217" s="170"/>
      <c r="AP217" s="171"/>
      <c r="AQ217" s="170"/>
      <c r="AR217" s="171"/>
      <c r="AS217" s="170"/>
      <c r="AT217" s="171"/>
      <c r="AU217" s="170"/>
      <c r="AV217" s="172" t="n">
        <f aca="false">IFERROR(VLOOKUP(A217,'Site check'!A:Q,14,0),0)</f>
        <v>0</v>
      </c>
    </row>
    <row r="218" customFormat="false" ht="13.15" hidden="false" customHeight="false" outlineLevel="0" collapsed="false">
      <c r="A218" s="33" t="s">
        <v>234</v>
      </c>
      <c r="B218" s="184" t="s">
        <v>17</v>
      </c>
      <c r="C218" s="167"/>
      <c r="D218" s="167"/>
      <c r="E218" s="167"/>
      <c r="F218" s="167"/>
      <c r="G218" s="168" t="n">
        <f aca="false">SUM(J218,L218,N218,P218,R218,T218,V218,X218,Z218,AB218,AD218,AF218,AH218,AJ218,AL218,AN218,AP218,AR218,AT218,AV218)</f>
        <v>15.5</v>
      </c>
      <c r="H218" s="169" t="n">
        <f aca="false">SUM(G218*1000)/54.5</f>
        <v>284.403669724771</v>
      </c>
      <c r="I218" s="170" t="s">
        <v>1388</v>
      </c>
      <c r="J218" s="171" t="n">
        <v>1.1</v>
      </c>
      <c r="K218" s="170"/>
      <c r="L218" s="171"/>
      <c r="M218" s="170" t="s">
        <v>1389</v>
      </c>
      <c r="N218" s="171" t="n">
        <v>1.2</v>
      </c>
      <c r="O218" s="170" t="s">
        <v>1390</v>
      </c>
      <c r="P218" s="171" t="n">
        <v>1</v>
      </c>
      <c r="Q218" s="170" t="s">
        <v>1391</v>
      </c>
      <c r="R218" s="171" t="n">
        <v>1</v>
      </c>
      <c r="S218" s="170" t="s">
        <v>1392</v>
      </c>
      <c r="T218" s="171" t="n">
        <v>1</v>
      </c>
      <c r="U218" s="181" t="s">
        <v>1393</v>
      </c>
      <c r="V218" s="175" t="n">
        <v>0.4</v>
      </c>
      <c r="W218" s="193" t="s">
        <v>1394</v>
      </c>
      <c r="X218" s="209" t="n">
        <v>1.95</v>
      </c>
      <c r="Y218" s="173" t="s">
        <v>1395</v>
      </c>
      <c r="Z218" s="174" t="n">
        <v>3.25</v>
      </c>
      <c r="AA218" s="173" t="s">
        <v>1396</v>
      </c>
      <c r="AB218" s="174" t="n">
        <v>1.5</v>
      </c>
      <c r="AC218" s="202" t="s">
        <v>1397</v>
      </c>
      <c r="AD218" s="200" t="n">
        <v>2</v>
      </c>
      <c r="AE218" s="179" t="s">
        <v>1398</v>
      </c>
      <c r="AF218" s="180" t="n">
        <v>1.1</v>
      </c>
      <c r="AG218" s="179"/>
      <c r="AH218" s="180"/>
      <c r="AI218" s="170"/>
      <c r="AJ218" s="171"/>
      <c r="AK218" s="170"/>
      <c r="AL218" s="171"/>
      <c r="AM218" s="170"/>
      <c r="AN218" s="171"/>
      <c r="AO218" s="170"/>
      <c r="AP218" s="171"/>
      <c r="AQ218" s="170"/>
      <c r="AR218" s="171"/>
      <c r="AS218" s="170"/>
      <c r="AT218" s="171"/>
      <c r="AU218" s="170"/>
      <c r="AV218" s="172" t="n">
        <f aca="false">IFERROR(VLOOKUP(A218,'Site check'!A:Q,14,0),0)</f>
        <v>0</v>
      </c>
    </row>
    <row r="219" customFormat="false" ht="13.15" hidden="false" customHeight="false" outlineLevel="0" collapsed="false">
      <c r="A219" s="33" t="s">
        <v>235</v>
      </c>
      <c r="B219" s="184" t="s">
        <v>17</v>
      </c>
      <c r="C219" s="176" t="s">
        <v>18</v>
      </c>
      <c r="D219" s="176" t="s">
        <v>19</v>
      </c>
      <c r="E219" s="167"/>
      <c r="F219" s="176" t="s">
        <v>958</v>
      </c>
      <c r="G219" s="168" t="n">
        <f aca="false">SUM(J219,L219,N219,P219,R219,T219,V219,X219,Z219,AB219,AD219,AF219,AH219,AJ219,AL219,AN219,AP219,AR219,AT219,AV219)</f>
        <v>15.5</v>
      </c>
      <c r="H219" s="169" t="n">
        <f aca="false">SUM(G219*1000)/54.5</f>
        <v>284.403669724771</v>
      </c>
      <c r="I219" s="170" t="s">
        <v>1388</v>
      </c>
      <c r="J219" s="171" t="n">
        <v>1.1</v>
      </c>
      <c r="K219" s="170"/>
      <c r="L219" s="171"/>
      <c r="M219" s="170" t="s">
        <v>1389</v>
      </c>
      <c r="N219" s="171" t="n">
        <v>1.2</v>
      </c>
      <c r="O219" s="170" t="s">
        <v>1390</v>
      </c>
      <c r="P219" s="171" t="n">
        <v>1</v>
      </c>
      <c r="Q219" s="170" t="s">
        <v>1391</v>
      </c>
      <c r="R219" s="171" t="n">
        <v>1</v>
      </c>
      <c r="S219" s="170" t="s">
        <v>1392</v>
      </c>
      <c r="T219" s="171" t="n">
        <v>1</v>
      </c>
      <c r="U219" s="181" t="s">
        <v>1393</v>
      </c>
      <c r="V219" s="175" t="n">
        <v>0.4</v>
      </c>
      <c r="W219" s="193" t="s">
        <v>1394</v>
      </c>
      <c r="X219" s="209" t="n">
        <v>1.95</v>
      </c>
      <c r="Y219" s="173" t="s">
        <v>1395</v>
      </c>
      <c r="Z219" s="174" t="n">
        <v>3.25</v>
      </c>
      <c r="AA219" s="173" t="s">
        <v>1396</v>
      </c>
      <c r="AB219" s="174" t="n">
        <v>1.5</v>
      </c>
      <c r="AC219" s="202" t="s">
        <v>1397</v>
      </c>
      <c r="AD219" s="200" t="n">
        <v>2</v>
      </c>
      <c r="AE219" s="179" t="s">
        <v>1398</v>
      </c>
      <c r="AF219" s="180" t="n">
        <v>1.1</v>
      </c>
      <c r="AG219" s="179"/>
      <c r="AH219" s="180"/>
      <c r="AI219" s="170"/>
      <c r="AJ219" s="171"/>
      <c r="AK219" s="170"/>
      <c r="AL219" s="171"/>
      <c r="AM219" s="170"/>
      <c r="AN219" s="171"/>
      <c r="AO219" s="170"/>
      <c r="AP219" s="171"/>
      <c r="AQ219" s="170"/>
      <c r="AR219" s="171"/>
      <c r="AS219" s="170"/>
      <c r="AT219" s="171"/>
      <c r="AU219" s="170"/>
      <c r="AV219" s="172" t="n">
        <f aca="false">IFERROR(VLOOKUP(A219,'Site check'!A:Q,14,0),0)</f>
        <v>0</v>
      </c>
    </row>
    <row r="220" customFormat="false" ht="13.15" hidden="false" customHeight="false" outlineLevel="0" collapsed="false">
      <c r="A220" s="32" t="s">
        <v>236</v>
      </c>
      <c r="B220" s="184" t="s">
        <v>17</v>
      </c>
      <c r="C220" s="167"/>
      <c r="D220" s="167"/>
      <c r="E220" s="167"/>
      <c r="F220" s="167"/>
      <c r="G220" s="168" t="n">
        <f aca="false">SUM(J220,L220,N220,P220,R220,T220,V220,X220,Z220,AB220,AD220,AF220,AH220,AJ220,AL220,AN220,AP220,AR220,AT220,AV220)</f>
        <v>6.55</v>
      </c>
      <c r="H220" s="169" t="n">
        <f aca="false">SUM(G220*1000)/54.5</f>
        <v>120.183486238532</v>
      </c>
      <c r="I220" s="186" t="s">
        <v>1399</v>
      </c>
      <c r="J220" s="192" t="n">
        <v>0.5</v>
      </c>
      <c r="K220" s="173" t="s">
        <v>1400</v>
      </c>
      <c r="L220" s="174" t="n">
        <v>1.25</v>
      </c>
      <c r="M220" s="173" t="s">
        <v>1401</v>
      </c>
      <c r="N220" s="174" t="n">
        <v>1.25</v>
      </c>
      <c r="O220" s="179" t="s">
        <v>1402</v>
      </c>
      <c r="P220" s="180" t="n">
        <v>2.75</v>
      </c>
      <c r="Q220" s="179" t="s">
        <v>1403</v>
      </c>
      <c r="R220" s="194" t="n">
        <v>0.8</v>
      </c>
      <c r="S220" s="170"/>
      <c r="T220" s="171"/>
      <c r="U220" s="170"/>
      <c r="V220" s="171"/>
      <c r="W220" s="170"/>
      <c r="X220" s="171"/>
      <c r="Y220" s="170"/>
      <c r="Z220" s="171"/>
      <c r="AA220" s="170"/>
      <c r="AB220" s="171"/>
      <c r="AC220" s="170"/>
      <c r="AD220" s="171"/>
      <c r="AE220" s="170"/>
      <c r="AF220" s="171"/>
      <c r="AG220" s="170"/>
      <c r="AH220" s="171"/>
      <c r="AI220" s="170"/>
      <c r="AJ220" s="171"/>
      <c r="AK220" s="170"/>
      <c r="AL220" s="171"/>
      <c r="AM220" s="170"/>
      <c r="AN220" s="171"/>
      <c r="AO220" s="170"/>
      <c r="AP220" s="171"/>
      <c r="AQ220" s="170"/>
      <c r="AR220" s="171"/>
      <c r="AS220" s="170"/>
      <c r="AT220" s="171"/>
      <c r="AU220" s="170"/>
      <c r="AV220" s="172" t="n">
        <f aca="false">IFERROR(VLOOKUP(A220,'Site check'!A:Q,14,0),0)</f>
        <v>0</v>
      </c>
    </row>
    <row r="221" customFormat="false" ht="13.15" hidden="false" customHeight="false" outlineLevel="0" collapsed="false">
      <c r="A221" s="32" t="s">
        <v>237</v>
      </c>
      <c r="B221" s="184" t="s">
        <v>17</v>
      </c>
      <c r="C221" s="167"/>
      <c r="D221" s="167"/>
      <c r="E221" s="167"/>
      <c r="F221" s="167"/>
      <c r="G221" s="168" t="n">
        <f aca="false">SUM(J221,L221,N221,P221,R221,T221,V221,X221,Z221,AB221,AD221,AF221,AH221,AJ221,AL221,AN221,AP221,AR221,AT221,AV221)</f>
        <v>6.55</v>
      </c>
      <c r="H221" s="169" t="n">
        <f aca="false">SUM(G221*1000)/54.5</f>
        <v>120.183486238532</v>
      </c>
      <c r="I221" s="186" t="s">
        <v>1399</v>
      </c>
      <c r="J221" s="192" t="n">
        <v>0.5</v>
      </c>
      <c r="K221" s="173" t="s">
        <v>1400</v>
      </c>
      <c r="L221" s="174" t="n">
        <v>1.25</v>
      </c>
      <c r="M221" s="173" t="s">
        <v>1401</v>
      </c>
      <c r="N221" s="174" t="n">
        <v>1.25</v>
      </c>
      <c r="O221" s="179" t="s">
        <v>1402</v>
      </c>
      <c r="P221" s="180" t="n">
        <v>2.75</v>
      </c>
      <c r="Q221" s="179" t="s">
        <v>1403</v>
      </c>
      <c r="R221" s="194" t="n">
        <v>0.8</v>
      </c>
      <c r="S221" s="170"/>
      <c r="T221" s="171"/>
      <c r="U221" s="170"/>
      <c r="V221" s="171"/>
      <c r="W221" s="170"/>
      <c r="X221" s="171"/>
      <c r="Y221" s="170"/>
      <c r="Z221" s="171"/>
      <c r="AA221" s="170"/>
      <c r="AB221" s="171"/>
      <c r="AC221" s="170"/>
      <c r="AD221" s="171"/>
      <c r="AE221" s="170"/>
      <c r="AF221" s="171"/>
      <c r="AG221" s="170"/>
      <c r="AH221" s="171"/>
      <c r="AI221" s="170"/>
      <c r="AJ221" s="171"/>
      <c r="AK221" s="170"/>
      <c r="AL221" s="171"/>
      <c r="AM221" s="170"/>
      <c r="AN221" s="171"/>
      <c r="AO221" s="170"/>
      <c r="AP221" s="171"/>
      <c r="AQ221" s="170"/>
      <c r="AR221" s="171"/>
      <c r="AS221" s="170"/>
      <c r="AT221" s="171"/>
      <c r="AU221" s="170"/>
      <c r="AV221" s="172" t="n">
        <f aca="false">IFERROR(VLOOKUP(A221,'Site check'!A:Q,14,0),0)</f>
        <v>0</v>
      </c>
    </row>
    <row r="222" customFormat="false" ht="13.15" hidden="false" customHeight="false" outlineLevel="0" collapsed="false">
      <c r="A222" s="20" t="s">
        <v>238</v>
      </c>
      <c r="B222" s="159"/>
      <c r="C222" s="167"/>
      <c r="D222" s="167"/>
      <c r="E222" s="167"/>
      <c r="F222" s="167"/>
      <c r="G222" s="168" t="n">
        <f aca="false">SUM(J222,L222,N222,P222,R222,T222,V222,X222,Z222,AB222,AD222,AF222,AH222,AJ222,AL222,AN222,AP222,AR222,AT222,AV222)</f>
        <v>0</v>
      </c>
      <c r="H222" s="169" t="n">
        <f aca="false">SUM(G222*1000)/54.5</f>
        <v>0</v>
      </c>
      <c r="I222" s="170"/>
      <c r="J222" s="171"/>
      <c r="K222" s="170"/>
      <c r="L222" s="171"/>
      <c r="M222" s="170"/>
      <c r="N222" s="171"/>
      <c r="O222" s="170"/>
      <c r="P222" s="171"/>
      <c r="Q222" s="170"/>
      <c r="R222" s="171"/>
      <c r="S222" s="170"/>
      <c r="T222" s="171"/>
      <c r="U222" s="170"/>
      <c r="V222" s="171"/>
      <c r="W222" s="170"/>
      <c r="X222" s="171"/>
      <c r="Y222" s="170"/>
      <c r="Z222" s="171"/>
      <c r="AA222" s="170"/>
      <c r="AB222" s="171"/>
      <c r="AC222" s="170"/>
      <c r="AD222" s="171"/>
      <c r="AE222" s="170"/>
      <c r="AF222" s="171"/>
      <c r="AG222" s="170"/>
      <c r="AH222" s="171"/>
      <c r="AI222" s="170"/>
      <c r="AJ222" s="171"/>
      <c r="AK222" s="170"/>
      <c r="AL222" s="171"/>
      <c r="AM222" s="170"/>
      <c r="AN222" s="171"/>
      <c r="AO222" s="170"/>
      <c r="AP222" s="171"/>
      <c r="AQ222" s="170"/>
      <c r="AR222" s="171"/>
      <c r="AS222" s="170"/>
      <c r="AT222" s="171"/>
      <c r="AU222" s="170"/>
      <c r="AV222" s="172" t="n">
        <f aca="false">IFERROR(VLOOKUP(A222,'Site check'!A:Q,14,0),0)</f>
        <v>0</v>
      </c>
    </row>
    <row r="223" customFormat="false" ht="13.15" hidden="false" customHeight="false" outlineLevel="0" collapsed="false">
      <c r="A223" s="20" t="s">
        <v>239</v>
      </c>
      <c r="B223" s="159"/>
      <c r="C223" s="167"/>
      <c r="D223" s="167"/>
      <c r="E223" s="167"/>
      <c r="F223" s="167"/>
      <c r="G223" s="168" t="n">
        <f aca="false">SUM(J223,L223,N223,P223,R223,T223,V223,X223,Z223,AB223,AD223,AF223,AH223,AJ223,AL223,AN223,AP223,AR223,AT223,AV223)</f>
        <v>0</v>
      </c>
      <c r="H223" s="169" t="n">
        <f aca="false">SUM(G223*1000)/54.5</f>
        <v>0</v>
      </c>
      <c r="I223" s="170"/>
      <c r="J223" s="171"/>
      <c r="K223" s="170"/>
      <c r="L223" s="171"/>
      <c r="M223" s="170"/>
      <c r="N223" s="171"/>
      <c r="O223" s="170"/>
      <c r="P223" s="171"/>
      <c r="Q223" s="170"/>
      <c r="R223" s="171"/>
      <c r="S223" s="170"/>
      <c r="T223" s="171"/>
      <c r="U223" s="170"/>
      <c r="V223" s="171"/>
      <c r="W223" s="170"/>
      <c r="X223" s="171"/>
      <c r="Y223" s="170"/>
      <c r="Z223" s="171"/>
      <c r="AA223" s="170"/>
      <c r="AB223" s="171"/>
      <c r="AC223" s="170"/>
      <c r="AD223" s="171"/>
      <c r="AE223" s="170"/>
      <c r="AF223" s="171"/>
      <c r="AG223" s="170"/>
      <c r="AH223" s="171"/>
      <c r="AI223" s="170"/>
      <c r="AJ223" s="171"/>
      <c r="AK223" s="170"/>
      <c r="AL223" s="171"/>
      <c r="AM223" s="170"/>
      <c r="AN223" s="171"/>
      <c r="AO223" s="170"/>
      <c r="AP223" s="171"/>
      <c r="AQ223" s="170"/>
      <c r="AR223" s="171"/>
      <c r="AS223" s="170"/>
      <c r="AT223" s="171"/>
      <c r="AU223" s="170"/>
      <c r="AV223" s="172" t="n">
        <f aca="false">IFERROR(VLOOKUP(A223,'Site check'!A:Q,14,0),0)</f>
        <v>0</v>
      </c>
    </row>
    <row r="224" customFormat="false" ht="13.15" hidden="false" customHeight="false" outlineLevel="0" collapsed="false">
      <c r="A224" s="20" t="s">
        <v>240</v>
      </c>
      <c r="B224" s="159"/>
      <c r="C224" s="176" t="s">
        <v>18</v>
      </c>
      <c r="D224" s="167"/>
      <c r="E224" s="167"/>
      <c r="F224" s="167"/>
      <c r="G224" s="168" t="n">
        <f aca="false">SUM(J224,L224,N224,P224,R224,T224,V224,X224,Z224,AB224,AD224,AF224,AH224,AJ224,AL224,AN224,AP224,AR224,AT224,AV224)</f>
        <v>3.4</v>
      </c>
      <c r="H224" s="169" t="n">
        <f aca="false">SUM(G224*1000)/54.5</f>
        <v>62.3853211009174</v>
      </c>
      <c r="I224" s="170" t="s">
        <v>1404</v>
      </c>
      <c r="J224" s="171" t="n">
        <v>2.4</v>
      </c>
      <c r="K224" s="179" t="s">
        <v>1405</v>
      </c>
      <c r="L224" s="180" t="n">
        <v>1</v>
      </c>
      <c r="M224" s="170"/>
      <c r="N224" s="171"/>
      <c r="O224" s="170"/>
      <c r="P224" s="171"/>
      <c r="Q224" s="170"/>
      <c r="R224" s="171"/>
      <c r="S224" s="170"/>
      <c r="T224" s="171"/>
      <c r="U224" s="170"/>
      <c r="V224" s="171"/>
      <c r="W224" s="170"/>
      <c r="X224" s="171"/>
      <c r="Y224" s="170"/>
      <c r="Z224" s="171"/>
      <c r="AA224" s="170"/>
      <c r="AB224" s="171"/>
      <c r="AC224" s="170"/>
      <c r="AD224" s="171"/>
      <c r="AE224" s="170"/>
      <c r="AF224" s="171"/>
      <c r="AG224" s="170"/>
      <c r="AH224" s="171"/>
      <c r="AI224" s="170"/>
      <c r="AJ224" s="171"/>
      <c r="AK224" s="170"/>
      <c r="AL224" s="171"/>
      <c r="AM224" s="170"/>
      <c r="AN224" s="171"/>
      <c r="AO224" s="170"/>
      <c r="AP224" s="171"/>
      <c r="AQ224" s="170"/>
      <c r="AR224" s="171"/>
      <c r="AS224" s="170"/>
      <c r="AT224" s="171"/>
      <c r="AU224" s="170"/>
      <c r="AV224" s="172" t="n">
        <f aca="false">IFERROR(VLOOKUP(A224,'Site check'!A:Q,14,0),0)</f>
        <v>0</v>
      </c>
    </row>
    <row r="225" customFormat="false" ht="13.15" hidden="false" customHeight="false" outlineLevel="0" collapsed="false">
      <c r="A225" s="20" t="s">
        <v>241</v>
      </c>
      <c r="B225" s="159"/>
      <c r="C225" s="167"/>
      <c r="D225" s="167"/>
      <c r="E225" s="167"/>
      <c r="F225" s="167"/>
      <c r="G225" s="168" t="n">
        <f aca="false">SUM(J225,L225,N225,P225,R225,T225,V225,X225,Z225,AB225,AD225,AF225,AH225,AJ225,AL225,AN225,AP225,AR225,AT225,AV225)</f>
        <v>3</v>
      </c>
      <c r="H225" s="169" t="n">
        <f aca="false">SUM(G225*1000)/54.5</f>
        <v>55.045871559633</v>
      </c>
      <c r="I225" s="173" t="s">
        <v>1406</v>
      </c>
      <c r="J225" s="174" t="n">
        <v>1</v>
      </c>
      <c r="K225" s="181" t="s">
        <v>1407</v>
      </c>
      <c r="L225" s="175" t="n">
        <v>2</v>
      </c>
      <c r="M225" s="170"/>
      <c r="N225" s="171"/>
      <c r="O225" s="170"/>
      <c r="P225" s="171"/>
      <c r="Q225" s="170"/>
      <c r="R225" s="171"/>
      <c r="S225" s="170"/>
      <c r="T225" s="171"/>
      <c r="U225" s="170"/>
      <c r="V225" s="171"/>
      <c r="W225" s="170"/>
      <c r="X225" s="171"/>
      <c r="Y225" s="170"/>
      <c r="Z225" s="171"/>
      <c r="AA225" s="170"/>
      <c r="AB225" s="171"/>
      <c r="AC225" s="170"/>
      <c r="AD225" s="171"/>
      <c r="AE225" s="170"/>
      <c r="AF225" s="171"/>
      <c r="AG225" s="170"/>
      <c r="AH225" s="171"/>
      <c r="AI225" s="170"/>
      <c r="AJ225" s="171"/>
      <c r="AK225" s="170"/>
      <c r="AL225" s="171"/>
      <c r="AM225" s="170"/>
      <c r="AN225" s="171"/>
      <c r="AO225" s="170"/>
      <c r="AP225" s="171"/>
      <c r="AQ225" s="170"/>
      <c r="AR225" s="171"/>
      <c r="AS225" s="170"/>
      <c r="AT225" s="171"/>
      <c r="AU225" s="170"/>
      <c r="AV225" s="172" t="n">
        <f aca="false">IFERROR(VLOOKUP(A225,'Site check'!A:Q,14,0),0)</f>
        <v>0</v>
      </c>
    </row>
    <row r="226" customFormat="false" ht="13.15" hidden="false" customHeight="false" outlineLevel="0" collapsed="false">
      <c r="A226" s="34" t="s">
        <v>242</v>
      </c>
      <c r="B226" s="159"/>
      <c r="C226" s="167"/>
      <c r="D226" s="167"/>
      <c r="E226" s="167"/>
      <c r="F226" s="167"/>
      <c r="G226" s="168" t="n">
        <f aca="false">SUM(J226,L226,N226,P226,R226,T226,V226,X226,Z226,AB226,AD226,AF226,AH226,AJ226,AL226,AN226,AP226,AR226,AT226,AV226)</f>
        <v>1.1</v>
      </c>
      <c r="H226" s="169" t="n">
        <f aca="false">SUM(G226*1000)/54.5</f>
        <v>20.1834862385321</v>
      </c>
      <c r="I226" s="179" t="s">
        <v>1408</v>
      </c>
      <c r="J226" s="180" t="n">
        <v>1.1</v>
      </c>
      <c r="K226" s="170"/>
      <c r="L226" s="171"/>
      <c r="M226" s="170"/>
      <c r="N226" s="171"/>
      <c r="O226" s="170"/>
      <c r="P226" s="171"/>
      <c r="Q226" s="170"/>
      <c r="R226" s="171"/>
      <c r="S226" s="170"/>
      <c r="T226" s="171"/>
      <c r="U226" s="170"/>
      <c r="V226" s="171"/>
      <c r="W226" s="170"/>
      <c r="X226" s="171"/>
      <c r="Y226" s="170"/>
      <c r="Z226" s="171"/>
      <c r="AA226" s="170"/>
      <c r="AB226" s="171"/>
      <c r="AC226" s="170"/>
      <c r="AD226" s="171"/>
      <c r="AE226" s="170"/>
      <c r="AF226" s="171"/>
      <c r="AG226" s="170"/>
      <c r="AH226" s="171"/>
      <c r="AI226" s="170"/>
      <c r="AJ226" s="171"/>
      <c r="AK226" s="170"/>
      <c r="AL226" s="171"/>
      <c r="AM226" s="170"/>
      <c r="AN226" s="171"/>
      <c r="AO226" s="170"/>
      <c r="AP226" s="171"/>
      <c r="AQ226" s="170"/>
      <c r="AR226" s="171"/>
      <c r="AS226" s="170"/>
      <c r="AT226" s="171"/>
      <c r="AU226" s="170"/>
      <c r="AV226" s="172" t="n">
        <f aca="false">IFERROR(VLOOKUP(A226,'Site check'!A:Q,14,0),0)</f>
        <v>0</v>
      </c>
    </row>
    <row r="227" customFormat="false" ht="13.15" hidden="false" customHeight="false" outlineLevel="0" collapsed="false">
      <c r="A227" s="34" t="s">
        <v>243</v>
      </c>
      <c r="B227" s="159"/>
      <c r="C227" s="167"/>
      <c r="D227" s="167"/>
      <c r="E227" s="167"/>
      <c r="F227" s="167"/>
      <c r="G227" s="168" t="n">
        <f aca="false">SUM(J227,L227,N227,P227,R227,T227,V227,X227,Z227,AB227,AD227,AF227,AH227,AJ227,AL227,AN227,AP227,AR227,AT227,AV227)</f>
        <v>0</v>
      </c>
      <c r="H227" s="169" t="n">
        <f aca="false">SUM(G227*1000)/54.5</f>
        <v>0</v>
      </c>
      <c r="I227" s="179"/>
      <c r="J227" s="180"/>
      <c r="K227" s="170"/>
      <c r="L227" s="171"/>
      <c r="M227" s="170"/>
      <c r="N227" s="171"/>
      <c r="O227" s="170"/>
      <c r="P227" s="171"/>
      <c r="Q227" s="170"/>
      <c r="R227" s="171"/>
      <c r="S227" s="170"/>
      <c r="T227" s="171"/>
      <c r="U227" s="170"/>
      <c r="V227" s="171"/>
      <c r="W227" s="170"/>
      <c r="X227" s="171"/>
      <c r="Y227" s="170"/>
      <c r="Z227" s="171"/>
      <c r="AA227" s="170"/>
      <c r="AB227" s="171"/>
      <c r="AC227" s="170"/>
      <c r="AD227" s="171"/>
      <c r="AE227" s="170"/>
      <c r="AF227" s="171"/>
      <c r="AG227" s="170"/>
      <c r="AH227" s="171"/>
      <c r="AI227" s="170"/>
      <c r="AJ227" s="171"/>
      <c r="AK227" s="170"/>
      <c r="AL227" s="171"/>
      <c r="AM227" s="170"/>
      <c r="AN227" s="171"/>
      <c r="AO227" s="170"/>
      <c r="AP227" s="171"/>
      <c r="AQ227" s="170"/>
      <c r="AR227" s="171"/>
      <c r="AS227" s="170"/>
      <c r="AT227" s="171"/>
      <c r="AU227" s="170"/>
      <c r="AV227" s="172" t="n">
        <f aca="false">IFERROR(VLOOKUP(A227,'Site check'!A:Q,14,0),0)</f>
        <v>0</v>
      </c>
    </row>
    <row r="228" customFormat="false" ht="13.15" hidden="false" customHeight="false" outlineLevel="0" collapsed="false">
      <c r="A228" s="34" t="s">
        <v>244</v>
      </c>
      <c r="B228" s="159"/>
      <c r="C228" s="167"/>
      <c r="D228" s="167"/>
      <c r="E228" s="167"/>
      <c r="F228" s="167"/>
      <c r="G228" s="168" t="n">
        <f aca="false">SUM(J228,L228,N228,P228,R228,T228,V228,X228,Z228,AB228,AD228,AF228,AH228,AJ228,AL228,AN228,AP228,AR228,AT228,AV228)</f>
        <v>0</v>
      </c>
      <c r="H228" s="169" t="n">
        <f aca="false">SUM(G228*1000)/54.5</f>
        <v>0</v>
      </c>
      <c r="I228" s="170"/>
      <c r="J228" s="171"/>
      <c r="K228" s="170"/>
      <c r="L228" s="171"/>
      <c r="M228" s="170"/>
      <c r="N228" s="171"/>
      <c r="O228" s="170"/>
      <c r="P228" s="171"/>
      <c r="Q228" s="170"/>
      <c r="R228" s="171"/>
      <c r="S228" s="170"/>
      <c r="T228" s="171"/>
      <c r="U228" s="170"/>
      <c r="V228" s="171"/>
      <c r="W228" s="170"/>
      <c r="X228" s="171"/>
      <c r="Y228" s="170"/>
      <c r="Z228" s="171"/>
      <c r="AA228" s="170"/>
      <c r="AB228" s="171"/>
      <c r="AC228" s="170"/>
      <c r="AD228" s="171"/>
      <c r="AE228" s="170"/>
      <c r="AF228" s="171"/>
      <c r="AG228" s="170"/>
      <c r="AH228" s="171"/>
      <c r="AI228" s="170"/>
      <c r="AJ228" s="171"/>
      <c r="AK228" s="170"/>
      <c r="AL228" s="171"/>
      <c r="AM228" s="170"/>
      <c r="AN228" s="171"/>
      <c r="AO228" s="170"/>
      <c r="AP228" s="171"/>
      <c r="AQ228" s="170"/>
      <c r="AR228" s="171"/>
      <c r="AS228" s="170"/>
      <c r="AT228" s="171"/>
      <c r="AU228" s="170"/>
      <c r="AV228" s="172" t="n">
        <f aca="false">IFERROR(VLOOKUP(A228,'Site check'!A:Q,14,0),0)</f>
        <v>0</v>
      </c>
    </row>
    <row r="229" customFormat="false" ht="13.15" hidden="false" customHeight="false" outlineLevel="0" collapsed="false">
      <c r="A229" s="34" t="s">
        <v>245</v>
      </c>
      <c r="B229" s="159"/>
      <c r="C229" s="167"/>
      <c r="D229" s="167"/>
      <c r="E229" s="167"/>
      <c r="F229" s="167"/>
      <c r="G229" s="168" t="n">
        <f aca="false">SUM(J229,L229,N229,P229,R229,T229,V229,X229,Z229,AB229,AD229,AF229,AH229,AJ229,AL229,AN229,AP229,AR229,AT229,AV229)</f>
        <v>0</v>
      </c>
      <c r="H229" s="169" t="n">
        <f aca="false">SUM(G229*1000)/54.5</f>
        <v>0</v>
      </c>
      <c r="I229" s="170"/>
      <c r="J229" s="171"/>
      <c r="K229" s="170"/>
      <c r="L229" s="171"/>
      <c r="M229" s="170"/>
      <c r="N229" s="171"/>
      <c r="O229" s="170"/>
      <c r="P229" s="171"/>
      <c r="Q229" s="170"/>
      <c r="R229" s="171"/>
      <c r="S229" s="170"/>
      <c r="T229" s="171"/>
      <c r="U229" s="170"/>
      <c r="V229" s="171"/>
      <c r="W229" s="170"/>
      <c r="X229" s="171"/>
      <c r="Y229" s="170"/>
      <c r="Z229" s="171"/>
      <c r="AA229" s="170"/>
      <c r="AB229" s="171"/>
      <c r="AC229" s="170"/>
      <c r="AD229" s="171"/>
      <c r="AE229" s="170"/>
      <c r="AF229" s="171"/>
      <c r="AG229" s="170"/>
      <c r="AH229" s="171"/>
      <c r="AI229" s="170"/>
      <c r="AJ229" s="171"/>
      <c r="AK229" s="170"/>
      <c r="AL229" s="171"/>
      <c r="AM229" s="170"/>
      <c r="AN229" s="171"/>
      <c r="AO229" s="170"/>
      <c r="AP229" s="171"/>
      <c r="AQ229" s="170"/>
      <c r="AR229" s="171"/>
      <c r="AS229" s="170"/>
      <c r="AT229" s="171"/>
      <c r="AU229" s="170"/>
      <c r="AV229" s="172" t="n">
        <f aca="false">IFERROR(VLOOKUP(A229,'Site check'!A:Q,14,0),0)</f>
        <v>0</v>
      </c>
    </row>
    <row r="230" customFormat="false" ht="13.15" hidden="false" customHeight="false" outlineLevel="0" collapsed="false">
      <c r="A230" s="20" t="s">
        <v>246</v>
      </c>
      <c r="B230" s="159"/>
      <c r="C230" s="167"/>
      <c r="D230" s="167"/>
      <c r="E230" s="167"/>
      <c r="F230" s="167"/>
      <c r="G230" s="168" t="n">
        <f aca="false">SUM(J230,L230,N230,P230,R230,T230,V230,X230,Z230,AB230,AD230,AF230,AH230,AJ230,AL230,AN230,AP230,AR230,AT230,AV230)</f>
        <v>0</v>
      </c>
      <c r="H230" s="169" t="n">
        <f aca="false">SUM(G230*1000)/54.5</f>
        <v>0</v>
      </c>
      <c r="I230" s="170"/>
      <c r="J230" s="171"/>
      <c r="K230" s="170"/>
      <c r="L230" s="171"/>
      <c r="M230" s="170"/>
      <c r="N230" s="171"/>
      <c r="O230" s="170"/>
      <c r="P230" s="171"/>
      <c r="Q230" s="170"/>
      <c r="R230" s="171"/>
      <c r="S230" s="170"/>
      <c r="T230" s="171"/>
      <c r="U230" s="170"/>
      <c r="V230" s="171"/>
      <c r="W230" s="170"/>
      <c r="X230" s="171"/>
      <c r="Y230" s="170"/>
      <c r="Z230" s="171"/>
      <c r="AA230" s="170"/>
      <c r="AB230" s="171"/>
      <c r="AC230" s="170"/>
      <c r="AD230" s="171"/>
      <c r="AE230" s="170"/>
      <c r="AF230" s="171"/>
      <c r="AG230" s="170"/>
      <c r="AH230" s="171"/>
      <c r="AI230" s="170"/>
      <c r="AJ230" s="171"/>
      <c r="AK230" s="170"/>
      <c r="AL230" s="171"/>
      <c r="AM230" s="170"/>
      <c r="AN230" s="171"/>
      <c r="AO230" s="170"/>
      <c r="AP230" s="171"/>
      <c r="AQ230" s="170"/>
      <c r="AR230" s="171"/>
      <c r="AS230" s="170"/>
      <c r="AT230" s="171"/>
      <c r="AU230" s="170"/>
      <c r="AV230" s="172" t="n">
        <f aca="false">IFERROR(VLOOKUP(A230,'Site check'!A:Q,14,0),0)</f>
        <v>0</v>
      </c>
    </row>
    <row r="231" customFormat="false" ht="23.45" hidden="false" customHeight="false" outlineLevel="0" collapsed="false">
      <c r="A231" s="33" t="s">
        <v>247</v>
      </c>
      <c r="B231" s="184" t="s">
        <v>17</v>
      </c>
      <c r="C231" s="167"/>
      <c r="D231" s="176" t="s">
        <v>19</v>
      </c>
      <c r="E231" s="167"/>
      <c r="F231" s="176" t="s">
        <v>958</v>
      </c>
      <c r="G231" s="168" t="n">
        <f aca="false">SUM(J231,L231,N231,P231,R231,T231,V231,X231,Z231,AB231,AD231,AF231,AH231,AJ231,AL231,AN231,AP231,AR231,AT231,AV231)</f>
        <v>9.805</v>
      </c>
      <c r="H231" s="169" t="n">
        <f aca="false">SUM(G231*1000)/54.5</f>
        <v>179.908256880734</v>
      </c>
      <c r="I231" s="170" t="s">
        <v>1409</v>
      </c>
      <c r="J231" s="171" t="n">
        <v>0.9</v>
      </c>
      <c r="K231" s="170" t="s">
        <v>1410</v>
      </c>
      <c r="L231" s="171" t="n">
        <v>1.855</v>
      </c>
      <c r="M231" s="170" t="s">
        <v>1411</v>
      </c>
      <c r="N231" s="171" t="n">
        <v>1.45</v>
      </c>
      <c r="O231" s="170" t="s">
        <v>1412</v>
      </c>
      <c r="P231" s="171" t="n">
        <v>1.9</v>
      </c>
      <c r="Q231" s="173" t="s">
        <v>1413</v>
      </c>
      <c r="R231" s="174" t="n">
        <v>2.1</v>
      </c>
      <c r="S231" s="185" t="s">
        <v>1414</v>
      </c>
      <c r="T231" s="194" t="n">
        <v>1.6</v>
      </c>
      <c r="U231" s="170"/>
      <c r="V231" s="171"/>
      <c r="W231" s="170"/>
      <c r="X231" s="171"/>
      <c r="Y231" s="170"/>
      <c r="Z231" s="171"/>
      <c r="AA231" s="170"/>
      <c r="AB231" s="171"/>
      <c r="AC231" s="170"/>
      <c r="AD231" s="171"/>
      <c r="AE231" s="170"/>
      <c r="AF231" s="171"/>
      <c r="AG231" s="170"/>
      <c r="AH231" s="171"/>
      <c r="AI231" s="170"/>
      <c r="AJ231" s="171"/>
      <c r="AK231" s="170"/>
      <c r="AL231" s="171"/>
      <c r="AM231" s="170"/>
      <c r="AN231" s="171"/>
      <c r="AO231" s="170"/>
      <c r="AP231" s="171"/>
      <c r="AQ231" s="170"/>
      <c r="AR231" s="171"/>
      <c r="AS231" s="170"/>
      <c r="AT231" s="171"/>
      <c r="AU231" s="170"/>
      <c r="AV231" s="172" t="n">
        <f aca="false">IFERROR(VLOOKUP(A231,'Site check'!A:Q,14,0),0)</f>
        <v>0</v>
      </c>
    </row>
    <row r="232" customFormat="false" ht="13.15" hidden="false" customHeight="false" outlineLevel="0" collapsed="false">
      <c r="A232" s="33" t="s">
        <v>248</v>
      </c>
      <c r="B232" s="167"/>
      <c r="C232" s="167"/>
      <c r="D232" s="167"/>
      <c r="E232" s="167"/>
      <c r="F232" s="167"/>
      <c r="G232" s="168" t="n">
        <f aca="false">SUM(J232,L232,N232,P232,R232,T232,V232,X232,Z232,AB232,AD232,AF232,AH232,AJ232,AL232,AN232,AP232,AR232,AT232,AV232)</f>
        <v>8.205</v>
      </c>
      <c r="H232" s="169" t="n">
        <f aca="false">SUM(G232*1000)/54.5</f>
        <v>150.550458715596</v>
      </c>
      <c r="I232" s="170" t="s">
        <v>1409</v>
      </c>
      <c r="J232" s="171" t="n">
        <v>0.9</v>
      </c>
      <c r="K232" s="170" t="s">
        <v>1410</v>
      </c>
      <c r="L232" s="171" t="n">
        <v>1.855</v>
      </c>
      <c r="M232" s="170" t="s">
        <v>1411</v>
      </c>
      <c r="N232" s="171" t="n">
        <v>1.45</v>
      </c>
      <c r="O232" s="170" t="s">
        <v>1412</v>
      </c>
      <c r="P232" s="171" t="n">
        <v>1.9</v>
      </c>
      <c r="Q232" s="173" t="s">
        <v>1413</v>
      </c>
      <c r="R232" s="174" t="n">
        <v>2.1</v>
      </c>
      <c r="S232" s="179"/>
      <c r="T232" s="180"/>
      <c r="U232" s="170"/>
      <c r="V232" s="171"/>
      <c r="W232" s="170"/>
      <c r="X232" s="171"/>
      <c r="Y232" s="170"/>
      <c r="Z232" s="171"/>
      <c r="AA232" s="170"/>
      <c r="AB232" s="171"/>
      <c r="AC232" s="170"/>
      <c r="AD232" s="171"/>
      <c r="AE232" s="170"/>
      <c r="AF232" s="171"/>
      <c r="AG232" s="170"/>
      <c r="AH232" s="171"/>
      <c r="AI232" s="170"/>
      <c r="AJ232" s="171"/>
      <c r="AK232" s="170"/>
      <c r="AL232" s="171"/>
      <c r="AM232" s="170"/>
      <c r="AN232" s="171"/>
      <c r="AO232" s="170"/>
      <c r="AP232" s="171"/>
      <c r="AQ232" s="170"/>
      <c r="AR232" s="171"/>
      <c r="AS232" s="170"/>
      <c r="AT232" s="171"/>
      <c r="AU232" s="170"/>
      <c r="AV232" s="172" t="n">
        <f aca="false">IFERROR(VLOOKUP(A232,'Site check'!A:Q,14,0),0)</f>
        <v>0</v>
      </c>
    </row>
    <row r="233" customFormat="false" ht="13.15" hidden="false" customHeight="false" outlineLevel="0" collapsed="false">
      <c r="A233" s="20" t="s">
        <v>249</v>
      </c>
      <c r="B233" s="159"/>
      <c r="C233" s="167"/>
      <c r="D233" s="167"/>
      <c r="E233" s="167"/>
      <c r="F233" s="167"/>
      <c r="G233" s="168" t="n">
        <f aca="false">SUM(J233,L233,N233,P233,R233,T233,V233,X233,Z233,AB233,AD233,AF233,AH233,AJ233,AL233,AN233,AP233,AR233,AT233,AV233)</f>
        <v>0</v>
      </c>
      <c r="H233" s="169" t="n">
        <f aca="false">SUM(G233*1000)/54.5</f>
        <v>0</v>
      </c>
      <c r="I233" s="170"/>
      <c r="J233" s="171"/>
      <c r="K233" s="170"/>
      <c r="L233" s="171"/>
      <c r="M233" s="170"/>
      <c r="N233" s="171"/>
      <c r="O233" s="170"/>
      <c r="P233" s="171"/>
      <c r="Q233" s="170"/>
      <c r="R233" s="171"/>
      <c r="S233" s="170"/>
      <c r="T233" s="171"/>
      <c r="U233" s="170"/>
      <c r="V233" s="171"/>
      <c r="W233" s="170"/>
      <c r="X233" s="171"/>
      <c r="Y233" s="170"/>
      <c r="Z233" s="171"/>
      <c r="AA233" s="170"/>
      <c r="AB233" s="171"/>
      <c r="AC233" s="170"/>
      <c r="AD233" s="171"/>
      <c r="AE233" s="170"/>
      <c r="AF233" s="171"/>
      <c r="AG233" s="170"/>
      <c r="AH233" s="171"/>
      <c r="AI233" s="170"/>
      <c r="AJ233" s="171"/>
      <c r="AK233" s="170"/>
      <c r="AL233" s="171"/>
      <c r="AM233" s="170"/>
      <c r="AN233" s="171"/>
      <c r="AO233" s="170"/>
      <c r="AP233" s="171"/>
      <c r="AQ233" s="170"/>
      <c r="AR233" s="171"/>
      <c r="AS233" s="170"/>
      <c r="AT233" s="171"/>
      <c r="AU233" s="170"/>
      <c r="AV233" s="172" t="n">
        <f aca="false">IFERROR(VLOOKUP(A233,'Site check'!A:Q,14,0),0)</f>
        <v>0</v>
      </c>
    </row>
    <row r="234" customFormat="false" ht="13.15" hidden="false" customHeight="false" outlineLevel="0" collapsed="false">
      <c r="A234" s="42" t="s">
        <v>250</v>
      </c>
      <c r="B234" s="159"/>
      <c r="C234" s="167"/>
      <c r="D234" s="167"/>
      <c r="E234" s="167"/>
      <c r="F234" s="167"/>
      <c r="G234" s="168" t="n">
        <f aca="false">SUM(J234,L234,N234,P234,R234,T234,V234,X234,Z234,AB234,AD234,AF234,AH234,AJ234,AL234,AN234,AP234,AR234,AT234,AV234)</f>
        <v>7.5</v>
      </c>
      <c r="H234" s="169" t="n">
        <f aca="false">SUM(G234*1000)/54.5</f>
        <v>137.614678899083</v>
      </c>
      <c r="I234" s="170" t="s">
        <v>1415</v>
      </c>
      <c r="J234" s="171" t="n">
        <v>5.8</v>
      </c>
      <c r="K234" s="181" t="s">
        <v>1416</v>
      </c>
      <c r="L234" s="175" t="n">
        <v>1.7</v>
      </c>
      <c r="M234" s="170"/>
      <c r="N234" s="171"/>
      <c r="O234" s="170"/>
      <c r="P234" s="171"/>
      <c r="Q234" s="170"/>
      <c r="R234" s="171"/>
      <c r="S234" s="170"/>
      <c r="T234" s="171"/>
      <c r="U234" s="170"/>
      <c r="V234" s="171"/>
      <c r="W234" s="170"/>
      <c r="X234" s="171"/>
      <c r="Y234" s="170"/>
      <c r="Z234" s="171"/>
      <c r="AA234" s="170"/>
      <c r="AB234" s="171"/>
      <c r="AC234" s="170"/>
      <c r="AD234" s="171"/>
      <c r="AE234" s="170"/>
      <c r="AF234" s="171"/>
      <c r="AG234" s="170"/>
      <c r="AH234" s="171"/>
      <c r="AI234" s="170"/>
      <c r="AJ234" s="171"/>
      <c r="AK234" s="170"/>
      <c r="AL234" s="171"/>
      <c r="AM234" s="170"/>
      <c r="AN234" s="171"/>
      <c r="AO234" s="170"/>
      <c r="AP234" s="171"/>
      <c r="AQ234" s="170"/>
      <c r="AR234" s="171"/>
      <c r="AS234" s="170"/>
      <c r="AT234" s="171"/>
      <c r="AU234" s="170"/>
      <c r="AV234" s="172" t="n">
        <f aca="false">IFERROR(VLOOKUP(A234,'Site check'!A:Q,14,0),0)</f>
        <v>0</v>
      </c>
    </row>
    <row r="235" customFormat="false" ht="13.15" hidden="false" customHeight="false" outlineLevel="0" collapsed="false">
      <c r="A235" s="42" t="s">
        <v>251</v>
      </c>
      <c r="B235" s="159"/>
      <c r="C235" s="167"/>
      <c r="D235" s="167"/>
      <c r="E235" s="167"/>
      <c r="F235" s="167"/>
      <c r="G235" s="168" t="n">
        <f aca="false">SUM(J235,L235,N235,P235,R235,T235,V235,X235,Z235,AB235,AD235,AF235,AH235,AJ235,AL235,AN235,AP235,AR235,AT235,AV235)</f>
        <v>7.5</v>
      </c>
      <c r="H235" s="169" t="n">
        <f aca="false">SUM(G235*1000)/54.5</f>
        <v>137.614678899083</v>
      </c>
      <c r="I235" s="170" t="s">
        <v>1415</v>
      </c>
      <c r="J235" s="171" t="n">
        <v>5.8</v>
      </c>
      <c r="K235" s="181" t="s">
        <v>1416</v>
      </c>
      <c r="L235" s="175" t="n">
        <v>1.7</v>
      </c>
      <c r="M235" s="170"/>
      <c r="N235" s="171"/>
      <c r="O235" s="170"/>
      <c r="P235" s="171"/>
      <c r="Q235" s="170"/>
      <c r="R235" s="171"/>
      <c r="S235" s="170"/>
      <c r="T235" s="171"/>
      <c r="U235" s="170"/>
      <c r="V235" s="171"/>
      <c r="W235" s="170"/>
      <c r="X235" s="171"/>
      <c r="Y235" s="170"/>
      <c r="Z235" s="171"/>
      <c r="AA235" s="170"/>
      <c r="AB235" s="171"/>
      <c r="AC235" s="170"/>
      <c r="AD235" s="171"/>
      <c r="AE235" s="170"/>
      <c r="AF235" s="171"/>
      <c r="AG235" s="170"/>
      <c r="AH235" s="171"/>
      <c r="AI235" s="170"/>
      <c r="AJ235" s="171"/>
      <c r="AK235" s="170"/>
      <c r="AL235" s="171"/>
      <c r="AM235" s="170"/>
      <c r="AN235" s="171"/>
      <c r="AO235" s="170"/>
      <c r="AP235" s="171"/>
      <c r="AQ235" s="170"/>
      <c r="AR235" s="171"/>
      <c r="AS235" s="170"/>
      <c r="AT235" s="171"/>
      <c r="AU235" s="170"/>
      <c r="AV235" s="172" t="n">
        <f aca="false">IFERROR(VLOOKUP(A235,'Site check'!A:Q,14,0),0)</f>
        <v>0</v>
      </c>
    </row>
    <row r="236" customFormat="false" ht="13.15" hidden="false" customHeight="false" outlineLevel="0" collapsed="false">
      <c r="A236" s="20" t="s">
        <v>252</v>
      </c>
      <c r="B236" s="159"/>
      <c r="C236" s="167"/>
      <c r="D236" s="167"/>
      <c r="E236" s="167"/>
      <c r="F236" s="167"/>
      <c r="G236" s="168" t="n">
        <f aca="false">SUM(J236,L236,N236,P236,R236,T236,V236,X236,Z236,AB236,AD236,AF236,AH236,AJ236,AL236,AN236,AP236,AR236,AT236,AV236)</f>
        <v>0</v>
      </c>
      <c r="H236" s="169" t="n">
        <f aca="false">SUM(G236*1000)/54.5</f>
        <v>0</v>
      </c>
      <c r="I236" s="170"/>
      <c r="J236" s="171"/>
      <c r="K236" s="170"/>
      <c r="L236" s="171"/>
      <c r="M236" s="170"/>
      <c r="N236" s="171"/>
      <c r="O236" s="170"/>
      <c r="P236" s="171"/>
      <c r="Q236" s="170"/>
      <c r="R236" s="171"/>
      <c r="S236" s="170"/>
      <c r="T236" s="171"/>
      <c r="U236" s="170"/>
      <c r="V236" s="171"/>
      <c r="W236" s="170"/>
      <c r="X236" s="171"/>
      <c r="Y236" s="170"/>
      <c r="Z236" s="171"/>
      <c r="AA236" s="170"/>
      <c r="AB236" s="171"/>
      <c r="AC236" s="170"/>
      <c r="AD236" s="171"/>
      <c r="AE236" s="170"/>
      <c r="AF236" s="171"/>
      <c r="AG236" s="170"/>
      <c r="AH236" s="171"/>
      <c r="AI236" s="170"/>
      <c r="AJ236" s="171"/>
      <c r="AK236" s="170"/>
      <c r="AL236" s="171"/>
      <c r="AM236" s="170"/>
      <c r="AN236" s="171"/>
      <c r="AO236" s="170"/>
      <c r="AP236" s="171"/>
      <c r="AQ236" s="170"/>
      <c r="AR236" s="171"/>
      <c r="AS236" s="170"/>
      <c r="AT236" s="171"/>
      <c r="AU236" s="170"/>
      <c r="AV236" s="172" t="n">
        <f aca="false">IFERROR(VLOOKUP(A236,'Site check'!A:Q,14,0),0)</f>
        <v>0</v>
      </c>
    </row>
    <row r="237" customFormat="false" ht="13.15" hidden="false" customHeight="false" outlineLevel="0" collapsed="false">
      <c r="A237" s="20" t="s">
        <v>253</v>
      </c>
      <c r="B237" s="159"/>
      <c r="C237" s="176" t="s">
        <v>18</v>
      </c>
      <c r="D237" s="167"/>
      <c r="E237" s="167"/>
      <c r="F237" s="167"/>
      <c r="G237" s="168" t="n">
        <f aca="false">SUM(J237,L237,N237,P237,R237,T237,V237,X237,Z237,AB237,AD237,AF237,AH237,AJ237,AL237,AN237,AP237,AR237,AT237,AV237)</f>
        <v>7.4</v>
      </c>
      <c r="H237" s="169" t="n">
        <f aca="false">SUM(G237*1000)/54.5</f>
        <v>135.779816513761</v>
      </c>
      <c r="I237" s="170" t="s">
        <v>1417</v>
      </c>
      <c r="J237" s="171" t="n">
        <v>2.4</v>
      </c>
      <c r="K237" s="173" t="s">
        <v>1418</v>
      </c>
      <c r="L237" s="174" t="n">
        <v>2</v>
      </c>
      <c r="M237" s="193" t="s">
        <v>1419</v>
      </c>
      <c r="N237" s="192" t="n">
        <v>2</v>
      </c>
      <c r="O237" s="173" t="s">
        <v>1420</v>
      </c>
      <c r="P237" s="174" t="n">
        <v>1</v>
      </c>
      <c r="Q237" s="179"/>
      <c r="R237" s="180"/>
      <c r="S237" s="170"/>
      <c r="T237" s="171"/>
      <c r="U237" s="170"/>
      <c r="V237" s="171"/>
      <c r="W237" s="170"/>
      <c r="X237" s="171"/>
      <c r="Y237" s="170"/>
      <c r="Z237" s="171"/>
      <c r="AA237" s="170"/>
      <c r="AB237" s="171"/>
      <c r="AC237" s="170"/>
      <c r="AD237" s="171"/>
      <c r="AE237" s="170"/>
      <c r="AF237" s="171"/>
      <c r="AG237" s="170"/>
      <c r="AH237" s="171"/>
      <c r="AI237" s="170"/>
      <c r="AJ237" s="171"/>
      <c r="AK237" s="170"/>
      <c r="AL237" s="171"/>
      <c r="AM237" s="170"/>
      <c r="AN237" s="171"/>
      <c r="AO237" s="170"/>
      <c r="AP237" s="171"/>
      <c r="AQ237" s="170"/>
      <c r="AR237" s="171"/>
      <c r="AS237" s="170"/>
      <c r="AT237" s="171"/>
      <c r="AU237" s="170"/>
      <c r="AV237" s="172" t="n">
        <f aca="false">IFERROR(VLOOKUP(A237,'Site check'!A:Q,14,0),0)</f>
        <v>0</v>
      </c>
    </row>
    <row r="238" customFormat="false" ht="13.15" hidden="false" customHeight="false" outlineLevel="0" collapsed="false">
      <c r="A238" s="20" t="s">
        <v>254</v>
      </c>
      <c r="B238" s="159"/>
      <c r="C238" s="189"/>
      <c r="D238" s="167"/>
      <c r="E238" s="167"/>
      <c r="F238" s="167"/>
      <c r="G238" s="168" t="n">
        <f aca="false">SUM(J238,L238,N238,P238,R238,T238,V238,X238,Z238,AB238,AD238,AF238,AH238,AJ238,AL238,AN238,AP238,AR238,AT238,AV238)</f>
        <v>0</v>
      </c>
      <c r="H238" s="169" t="n">
        <f aca="false">SUM(G238*1000)/54.5</f>
        <v>0</v>
      </c>
      <c r="I238" s="170"/>
      <c r="J238" s="171"/>
      <c r="K238" s="170"/>
      <c r="L238" s="171"/>
      <c r="M238" s="170"/>
      <c r="N238" s="171"/>
      <c r="O238" s="170"/>
      <c r="P238" s="171"/>
      <c r="Q238" s="170"/>
      <c r="R238" s="171"/>
      <c r="S238" s="170"/>
      <c r="T238" s="171"/>
      <c r="U238" s="170"/>
      <c r="V238" s="171"/>
      <c r="W238" s="170"/>
      <c r="X238" s="171"/>
      <c r="Y238" s="170"/>
      <c r="Z238" s="171"/>
      <c r="AA238" s="170"/>
      <c r="AB238" s="171"/>
      <c r="AC238" s="170"/>
      <c r="AD238" s="171"/>
      <c r="AE238" s="170"/>
      <c r="AF238" s="171"/>
      <c r="AG238" s="170"/>
      <c r="AH238" s="171"/>
      <c r="AI238" s="170"/>
      <c r="AJ238" s="171"/>
      <c r="AK238" s="170"/>
      <c r="AL238" s="171"/>
      <c r="AM238" s="170"/>
      <c r="AN238" s="171"/>
      <c r="AO238" s="170"/>
      <c r="AP238" s="171"/>
      <c r="AQ238" s="170"/>
      <c r="AR238" s="171"/>
      <c r="AS238" s="170"/>
      <c r="AT238" s="171"/>
      <c r="AU238" s="170"/>
      <c r="AV238" s="172" t="n">
        <f aca="false">IFERROR(VLOOKUP(A238,'Site check'!A:Q,14,0),0)</f>
        <v>0</v>
      </c>
    </row>
    <row r="239" customFormat="false" ht="34.9" hidden="false" customHeight="false" outlineLevel="0" collapsed="false">
      <c r="A239" s="33" t="s">
        <v>255</v>
      </c>
      <c r="B239" s="184" t="s">
        <v>17</v>
      </c>
      <c r="C239" s="176" t="s">
        <v>18</v>
      </c>
      <c r="D239" s="176" t="s">
        <v>19</v>
      </c>
      <c r="E239" s="167"/>
      <c r="F239" s="176" t="s">
        <v>958</v>
      </c>
      <c r="G239" s="168" t="n">
        <f aca="false">SUM(J239,L239,N239,P239,R239,T239,V239,X239,Z239,AB239,AD239,AF239,AH239,AJ239,AL239,AN239,AP239,AR239,AT239,AV239)</f>
        <v>10.675</v>
      </c>
      <c r="H239" s="169" t="n">
        <f aca="false">SUM(G239*1000)/54.5</f>
        <v>195.871559633028</v>
      </c>
      <c r="I239" s="170" t="s">
        <v>1421</v>
      </c>
      <c r="J239" s="171" t="n">
        <v>1.2</v>
      </c>
      <c r="K239" s="181" t="s">
        <v>1422</v>
      </c>
      <c r="L239" s="171" t="n">
        <v>1.25</v>
      </c>
      <c r="M239" s="170" t="s">
        <v>1423</v>
      </c>
      <c r="N239" s="171" t="n">
        <v>1.25</v>
      </c>
      <c r="O239" s="170" t="s">
        <v>1424</v>
      </c>
      <c r="P239" s="171" t="n">
        <v>0.75</v>
      </c>
      <c r="Q239" s="170" t="s">
        <v>1425</v>
      </c>
      <c r="R239" s="171" t="n">
        <v>0.35</v>
      </c>
      <c r="S239" s="181" t="s">
        <v>1426</v>
      </c>
      <c r="T239" s="175" t="n">
        <v>0.675</v>
      </c>
      <c r="U239" s="181" t="s">
        <v>1427</v>
      </c>
      <c r="V239" s="175" t="n">
        <v>1.5</v>
      </c>
      <c r="W239" s="181" t="s">
        <v>1428</v>
      </c>
      <c r="X239" s="175" t="n">
        <v>0.95</v>
      </c>
      <c r="Y239" s="181" t="s">
        <v>1429</v>
      </c>
      <c r="Z239" s="171" t="n">
        <v>0.95</v>
      </c>
      <c r="AA239" s="181" t="s">
        <v>1430</v>
      </c>
      <c r="AB239" s="171" t="n">
        <v>1</v>
      </c>
      <c r="AC239" s="185" t="s">
        <v>1431</v>
      </c>
      <c r="AD239" s="180" t="n">
        <v>0.8</v>
      </c>
      <c r="AE239" s="170"/>
      <c r="AF239" s="171"/>
      <c r="AG239" s="170"/>
      <c r="AH239" s="171"/>
      <c r="AI239" s="170"/>
      <c r="AJ239" s="171"/>
      <c r="AK239" s="170"/>
      <c r="AL239" s="171"/>
      <c r="AM239" s="170"/>
      <c r="AN239" s="171"/>
      <c r="AO239" s="170"/>
      <c r="AP239" s="171"/>
      <c r="AQ239" s="170"/>
      <c r="AR239" s="171"/>
      <c r="AS239" s="170"/>
      <c r="AT239" s="171"/>
      <c r="AU239" s="170"/>
      <c r="AV239" s="172" t="n">
        <f aca="false">IFERROR(VLOOKUP(A239,'Site check'!A:Q,14,0),0)</f>
        <v>0</v>
      </c>
    </row>
    <row r="240" customFormat="false" ht="34.9" hidden="false" customHeight="false" outlineLevel="0" collapsed="false">
      <c r="A240" s="33" t="s">
        <v>256</v>
      </c>
      <c r="B240" s="167"/>
      <c r="C240" s="167"/>
      <c r="D240" s="167"/>
      <c r="E240" s="167"/>
      <c r="F240" s="167"/>
      <c r="G240" s="168" t="n">
        <f aca="false">SUM(J240,L240,N240,P240,R240,T240,V240,X240,Z240,AB240,AD240,AF240,AH240,AJ240,AL240,AN240,AP240,AR240,AT240,AV240)</f>
        <v>10.675</v>
      </c>
      <c r="H240" s="169" t="n">
        <f aca="false">SUM(G240*1000)/54.5</f>
        <v>195.871559633028</v>
      </c>
      <c r="I240" s="181" t="s">
        <v>1421</v>
      </c>
      <c r="J240" s="175" t="n">
        <v>1.2</v>
      </c>
      <c r="K240" s="181" t="s">
        <v>1422</v>
      </c>
      <c r="L240" s="171" t="n">
        <v>1.25</v>
      </c>
      <c r="M240" s="170" t="s">
        <v>1423</v>
      </c>
      <c r="N240" s="171" t="n">
        <v>1.25</v>
      </c>
      <c r="O240" s="170" t="s">
        <v>1424</v>
      </c>
      <c r="P240" s="171" t="n">
        <v>0.75</v>
      </c>
      <c r="Q240" s="170" t="s">
        <v>1425</v>
      </c>
      <c r="R240" s="171" t="n">
        <v>0.35</v>
      </c>
      <c r="S240" s="181" t="s">
        <v>1426</v>
      </c>
      <c r="T240" s="175" t="n">
        <v>0.675</v>
      </c>
      <c r="U240" s="181" t="s">
        <v>1427</v>
      </c>
      <c r="V240" s="175" t="n">
        <v>1.5</v>
      </c>
      <c r="W240" s="181" t="s">
        <v>1428</v>
      </c>
      <c r="X240" s="175" t="n">
        <v>0.95</v>
      </c>
      <c r="Y240" s="181" t="s">
        <v>1429</v>
      </c>
      <c r="Z240" s="171" t="n">
        <v>0.95</v>
      </c>
      <c r="AA240" s="181" t="s">
        <v>1430</v>
      </c>
      <c r="AB240" s="171" t="n">
        <v>1</v>
      </c>
      <c r="AC240" s="185" t="s">
        <v>1431</v>
      </c>
      <c r="AD240" s="180" t="n">
        <v>0.8</v>
      </c>
      <c r="AE240" s="170"/>
      <c r="AF240" s="171"/>
      <c r="AG240" s="170"/>
      <c r="AH240" s="171"/>
      <c r="AI240" s="170"/>
      <c r="AJ240" s="171"/>
      <c r="AK240" s="170"/>
      <c r="AL240" s="171"/>
      <c r="AM240" s="170"/>
      <c r="AN240" s="171"/>
      <c r="AO240" s="170"/>
      <c r="AP240" s="171"/>
      <c r="AQ240" s="170"/>
      <c r="AR240" s="171"/>
      <c r="AS240" s="170"/>
      <c r="AT240" s="171"/>
      <c r="AU240" s="170"/>
      <c r="AV240" s="172" t="n">
        <f aca="false">IFERROR(VLOOKUP(A240,'Site check'!A:Q,14,0),0)</f>
        <v>0</v>
      </c>
    </row>
    <row r="241" customFormat="false" ht="13.15" hidden="false" customHeight="false" outlineLevel="0" collapsed="false">
      <c r="A241" s="32" t="s">
        <v>257</v>
      </c>
      <c r="B241" s="159"/>
      <c r="C241" s="167"/>
      <c r="D241" s="167"/>
      <c r="E241" s="167"/>
      <c r="F241" s="167"/>
      <c r="G241" s="168" t="n">
        <f aca="false">SUM(J241,L241,N241,P241,R241,T241,V241,X241,Z241,AB241,AD241,AF241,AH241,AJ241,AL241,AN241,AP241,AR241,AT241,AV241)</f>
        <v>11.83</v>
      </c>
      <c r="H241" s="169" t="n">
        <f aca="false">SUM(G241*1000)/54.5</f>
        <v>217.064220183486</v>
      </c>
      <c r="I241" s="173" t="s">
        <v>1432</v>
      </c>
      <c r="J241" s="174" t="n">
        <v>2</v>
      </c>
      <c r="K241" s="173" t="s">
        <v>1433</v>
      </c>
      <c r="L241" s="174" t="n">
        <v>2</v>
      </c>
      <c r="M241" s="186" t="s">
        <v>1434</v>
      </c>
      <c r="N241" s="192" t="n">
        <v>2.73</v>
      </c>
      <c r="O241" s="177" t="s">
        <v>1435</v>
      </c>
      <c r="P241" s="200" t="n">
        <v>3</v>
      </c>
      <c r="Q241" s="177" t="s">
        <v>1436</v>
      </c>
      <c r="R241" s="200" t="n">
        <v>2.1</v>
      </c>
      <c r="S241" s="181"/>
      <c r="T241" s="175"/>
      <c r="U241" s="170"/>
      <c r="V241" s="171"/>
      <c r="W241" s="170"/>
      <c r="X241" s="171"/>
      <c r="Y241" s="170"/>
      <c r="Z241" s="171"/>
      <c r="AA241" s="170"/>
      <c r="AB241" s="171"/>
      <c r="AC241" s="170"/>
      <c r="AD241" s="171"/>
      <c r="AE241" s="170"/>
      <c r="AF241" s="171"/>
      <c r="AG241" s="170"/>
      <c r="AH241" s="171"/>
      <c r="AI241" s="170"/>
      <c r="AJ241" s="171"/>
      <c r="AK241" s="170"/>
      <c r="AL241" s="171"/>
      <c r="AM241" s="170"/>
      <c r="AN241" s="171"/>
      <c r="AO241" s="170"/>
      <c r="AP241" s="171"/>
      <c r="AQ241" s="170"/>
      <c r="AR241" s="171"/>
      <c r="AS241" s="170"/>
      <c r="AT241" s="171"/>
      <c r="AU241" s="170"/>
      <c r="AV241" s="172" t="n">
        <f aca="false">IFERROR(VLOOKUP(A241,'Site check'!A:Q,14,0),0)</f>
        <v>0</v>
      </c>
    </row>
    <row r="242" customFormat="false" ht="13.15" hidden="false" customHeight="false" outlineLevel="0" collapsed="false">
      <c r="A242" s="32" t="s">
        <v>258</v>
      </c>
      <c r="B242" s="159"/>
      <c r="C242" s="167"/>
      <c r="D242" s="167"/>
      <c r="E242" s="167"/>
      <c r="F242" s="167"/>
      <c r="G242" s="168" t="n">
        <f aca="false">SUM(J242,L242,N242,P242,R242,T242,V242,X242,Z242,AB242,AD242,AF242,AH242,AJ242,AL242,AN242,AP242,AR242,AT242,AV242)</f>
        <v>11.83</v>
      </c>
      <c r="H242" s="169" t="n">
        <f aca="false">SUM(G242*1000)/54.5</f>
        <v>217.064220183486</v>
      </c>
      <c r="I242" s="173" t="s">
        <v>1432</v>
      </c>
      <c r="J242" s="174" t="n">
        <v>2</v>
      </c>
      <c r="K242" s="173" t="s">
        <v>1433</v>
      </c>
      <c r="L242" s="174" t="n">
        <v>2</v>
      </c>
      <c r="M242" s="186" t="s">
        <v>1434</v>
      </c>
      <c r="N242" s="192" t="n">
        <v>2.73</v>
      </c>
      <c r="O242" s="177" t="s">
        <v>1435</v>
      </c>
      <c r="P242" s="200" t="n">
        <v>3</v>
      </c>
      <c r="Q242" s="177" t="s">
        <v>1436</v>
      </c>
      <c r="R242" s="200" t="n">
        <v>2.1</v>
      </c>
      <c r="S242" s="170"/>
      <c r="T242" s="171"/>
      <c r="U242" s="170"/>
      <c r="V242" s="171"/>
      <c r="W242" s="170"/>
      <c r="X242" s="171"/>
      <c r="Y242" s="170"/>
      <c r="Z242" s="171"/>
      <c r="AA242" s="170"/>
      <c r="AB242" s="171"/>
      <c r="AC242" s="170"/>
      <c r="AD242" s="171"/>
      <c r="AE242" s="170"/>
      <c r="AF242" s="171"/>
      <c r="AG242" s="170"/>
      <c r="AH242" s="171"/>
      <c r="AI242" s="170"/>
      <c r="AJ242" s="171"/>
      <c r="AK242" s="170"/>
      <c r="AL242" s="171"/>
      <c r="AM242" s="170"/>
      <c r="AN242" s="171"/>
      <c r="AO242" s="170"/>
      <c r="AP242" s="171"/>
      <c r="AQ242" s="170"/>
      <c r="AR242" s="171"/>
      <c r="AS242" s="170"/>
      <c r="AT242" s="171"/>
      <c r="AU242" s="170"/>
      <c r="AV242" s="172" t="n">
        <f aca="false">IFERROR(VLOOKUP(A242,'Site check'!A:Q,14,0),0)</f>
        <v>0</v>
      </c>
    </row>
    <row r="243" customFormat="false" ht="13.15" hidden="false" customHeight="false" outlineLevel="0" collapsed="false">
      <c r="A243" s="20" t="s">
        <v>259</v>
      </c>
      <c r="B243" s="159"/>
      <c r="C243" s="167"/>
      <c r="D243" s="167"/>
      <c r="E243" s="167"/>
      <c r="F243" s="167"/>
      <c r="G243" s="168" t="n">
        <f aca="false">SUM(J243,L243,N243,P243,R243,T243,V243,X243,Z243,AB243,AD243,AF243,AH243,AJ243,AL243,AN243,AP243,AR243,AT243,AV243)</f>
        <v>0</v>
      </c>
      <c r="H243" s="169" t="n">
        <f aca="false">SUM(G243*1000)/54.5</f>
        <v>0</v>
      </c>
      <c r="I243" s="170"/>
      <c r="J243" s="171"/>
      <c r="K243" s="170"/>
      <c r="L243" s="171"/>
      <c r="M243" s="170"/>
      <c r="N243" s="171"/>
      <c r="O243" s="170"/>
      <c r="P243" s="171"/>
      <c r="Q243" s="170"/>
      <c r="R243" s="171"/>
      <c r="S243" s="170"/>
      <c r="T243" s="171"/>
      <c r="U243" s="170"/>
      <c r="V243" s="171"/>
      <c r="W243" s="170"/>
      <c r="X243" s="171"/>
      <c r="Y243" s="170"/>
      <c r="Z243" s="171"/>
      <c r="AA243" s="170"/>
      <c r="AB243" s="171"/>
      <c r="AC243" s="170"/>
      <c r="AD243" s="171"/>
      <c r="AE243" s="170"/>
      <c r="AF243" s="171"/>
      <c r="AG243" s="170"/>
      <c r="AH243" s="171"/>
      <c r="AI243" s="170"/>
      <c r="AJ243" s="171"/>
      <c r="AK243" s="170"/>
      <c r="AL243" s="171"/>
      <c r="AM243" s="170"/>
      <c r="AN243" s="171"/>
      <c r="AO243" s="170"/>
      <c r="AP243" s="171"/>
      <c r="AQ243" s="170"/>
      <c r="AR243" s="171"/>
      <c r="AS243" s="170"/>
      <c r="AT243" s="171"/>
      <c r="AU243" s="170"/>
      <c r="AV243" s="172" t="n">
        <f aca="false">IFERROR(VLOOKUP(A243,'Site check'!A:Q,14,0),0)</f>
        <v>0</v>
      </c>
    </row>
    <row r="244" customFormat="false" ht="13.15" hidden="false" customHeight="false" outlineLevel="0" collapsed="false">
      <c r="A244" s="20" t="s">
        <v>260</v>
      </c>
      <c r="B244" s="159"/>
      <c r="C244" s="167"/>
      <c r="D244" s="167"/>
      <c r="E244" s="167"/>
      <c r="F244" s="167"/>
      <c r="G244" s="168" t="n">
        <f aca="false">SUM(J244,L244,N244,P244,R244,T244,V244,X244,Z244,AB244,AD244,AF244,AH244,AJ244,AL244,AN244,AP244,AR244,AT244,AV244)</f>
        <v>1.5</v>
      </c>
      <c r="H244" s="169" t="n">
        <f aca="false">SUM(G244*1000)/54.5</f>
        <v>27.5229357798165</v>
      </c>
      <c r="I244" s="181" t="s">
        <v>1437</v>
      </c>
      <c r="J244" s="175" t="n">
        <v>1.5</v>
      </c>
      <c r="K244" s="170"/>
      <c r="L244" s="171"/>
      <c r="M244" s="170"/>
      <c r="N244" s="171"/>
      <c r="O244" s="170"/>
      <c r="P244" s="171"/>
      <c r="Q244" s="170"/>
      <c r="R244" s="171"/>
      <c r="S244" s="170"/>
      <c r="T244" s="171"/>
      <c r="U244" s="170"/>
      <c r="V244" s="171"/>
      <c r="W244" s="170"/>
      <c r="X244" s="171"/>
      <c r="Y244" s="170"/>
      <c r="Z244" s="171"/>
      <c r="AA244" s="170"/>
      <c r="AB244" s="171"/>
      <c r="AC244" s="170"/>
      <c r="AD244" s="171"/>
      <c r="AE244" s="170"/>
      <c r="AF244" s="171"/>
      <c r="AG244" s="170"/>
      <c r="AH244" s="171"/>
      <c r="AI244" s="170"/>
      <c r="AJ244" s="171"/>
      <c r="AK244" s="170"/>
      <c r="AL244" s="171"/>
      <c r="AM244" s="170"/>
      <c r="AN244" s="171"/>
      <c r="AO244" s="170"/>
      <c r="AP244" s="171"/>
      <c r="AQ244" s="170"/>
      <c r="AR244" s="171"/>
      <c r="AS244" s="170"/>
      <c r="AT244" s="171"/>
      <c r="AU244" s="170"/>
      <c r="AV244" s="172" t="n">
        <f aca="false">IFERROR(VLOOKUP(A244,'Site check'!A:Q,14,0),0)</f>
        <v>0</v>
      </c>
    </row>
    <row r="245" customFormat="false" ht="13.15" hidden="false" customHeight="false" outlineLevel="0" collapsed="false">
      <c r="A245" s="20" t="s">
        <v>261</v>
      </c>
      <c r="B245" s="159"/>
      <c r="C245" s="167"/>
      <c r="D245" s="167"/>
      <c r="E245" s="167"/>
      <c r="F245" s="167"/>
      <c r="G245" s="168" t="n">
        <f aca="false">SUM(J245,L245,N245,P245,R245,T245,V245,X245,Z245,AB245,AD245,AF245,AH245,AJ245,AL245,AN245,AP245,AR245,AT245,AV245)</f>
        <v>0</v>
      </c>
      <c r="H245" s="169" t="n">
        <f aca="false">SUM(G245*1000)/54.5</f>
        <v>0</v>
      </c>
      <c r="I245" s="170"/>
      <c r="J245" s="171"/>
      <c r="K245" s="170"/>
      <c r="L245" s="171"/>
      <c r="M245" s="170"/>
      <c r="N245" s="171"/>
      <c r="O245" s="170"/>
      <c r="P245" s="171"/>
      <c r="Q245" s="170"/>
      <c r="R245" s="171"/>
      <c r="S245" s="170"/>
      <c r="T245" s="171"/>
      <c r="U245" s="170"/>
      <c r="V245" s="171"/>
      <c r="W245" s="170"/>
      <c r="X245" s="171"/>
      <c r="Y245" s="170"/>
      <c r="Z245" s="171"/>
      <c r="AA245" s="170"/>
      <c r="AB245" s="171"/>
      <c r="AC245" s="170"/>
      <c r="AD245" s="171"/>
      <c r="AE245" s="170"/>
      <c r="AF245" s="171"/>
      <c r="AG245" s="170"/>
      <c r="AH245" s="171"/>
      <c r="AI245" s="170"/>
      <c r="AJ245" s="171"/>
      <c r="AK245" s="170"/>
      <c r="AL245" s="171"/>
      <c r="AM245" s="170"/>
      <c r="AN245" s="171"/>
      <c r="AO245" s="170"/>
      <c r="AP245" s="171"/>
      <c r="AQ245" s="170"/>
      <c r="AR245" s="171"/>
      <c r="AS245" s="170"/>
      <c r="AT245" s="171"/>
      <c r="AU245" s="170"/>
      <c r="AV245" s="172" t="n">
        <f aca="false">IFERROR(VLOOKUP(A245,'Site check'!A:Q,14,0),0)</f>
        <v>0</v>
      </c>
    </row>
    <row r="246" customFormat="false" ht="13.15" hidden="false" customHeight="false" outlineLevel="0" collapsed="false">
      <c r="A246" s="20" t="s">
        <v>262</v>
      </c>
      <c r="B246" s="159"/>
      <c r="C246" s="167"/>
      <c r="D246" s="167"/>
      <c r="E246" s="167"/>
      <c r="F246" s="167"/>
      <c r="G246" s="168" t="n">
        <f aca="false">SUM(J246,L246,N246,P246,R246,T246,V246,X246,Z246,AB246,AD246,AF246,AH246,AJ246,AL246,AN246,AP246,AR246,AT246,AV246)</f>
        <v>1</v>
      </c>
      <c r="H246" s="169" t="n">
        <f aca="false">SUM(G246*1000)/54.5</f>
        <v>18.348623853211</v>
      </c>
      <c r="I246" s="186" t="s">
        <v>1438</v>
      </c>
      <c r="J246" s="192" t="n">
        <v>1</v>
      </c>
      <c r="K246" s="170"/>
      <c r="L246" s="171"/>
      <c r="M246" s="170"/>
      <c r="N246" s="171"/>
      <c r="O246" s="170"/>
      <c r="P246" s="171"/>
      <c r="Q246" s="170"/>
      <c r="R246" s="171"/>
      <c r="S246" s="170"/>
      <c r="T246" s="171"/>
      <c r="U246" s="170"/>
      <c r="V246" s="171"/>
      <c r="W246" s="170"/>
      <c r="X246" s="171"/>
      <c r="Y246" s="170"/>
      <c r="Z246" s="171"/>
      <c r="AA246" s="170"/>
      <c r="AB246" s="171"/>
      <c r="AC246" s="170"/>
      <c r="AD246" s="171"/>
      <c r="AE246" s="170"/>
      <c r="AF246" s="171"/>
      <c r="AG246" s="170"/>
      <c r="AH246" s="171"/>
      <c r="AI246" s="170"/>
      <c r="AJ246" s="171"/>
      <c r="AK246" s="170"/>
      <c r="AL246" s="171"/>
      <c r="AM246" s="170"/>
      <c r="AN246" s="171"/>
      <c r="AO246" s="170"/>
      <c r="AP246" s="171"/>
      <c r="AQ246" s="170"/>
      <c r="AR246" s="171"/>
      <c r="AS246" s="170"/>
      <c r="AT246" s="171"/>
      <c r="AU246" s="170"/>
      <c r="AV246" s="172" t="n">
        <f aca="false">IFERROR(VLOOKUP(A246,'Site check'!A:Q,14,0),0)</f>
        <v>0</v>
      </c>
    </row>
    <row r="247" customFormat="false" ht="13.15" hidden="false" customHeight="false" outlineLevel="0" collapsed="false">
      <c r="A247" s="20" t="s">
        <v>263</v>
      </c>
      <c r="B247" s="159"/>
      <c r="C247" s="176" t="s">
        <v>18</v>
      </c>
      <c r="D247" s="167"/>
      <c r="E247" s="167"/>
      <c r="F247" s="167"/>
      <c r="G247" s="168" t="n">
        <f aca="false">SUM(J247,L247,N247,P247,R247,T247,V247,X247,Z247,AB247,AD247,AF247,AH247,AJ247,AL247,AN247,AP247,AR247,AT247,AV247)</f>
        <v>2.4</v>
      </c>
      <c r="H247" s="169" t="n">
        <f aca="false">SUM(G247*1000)/54.5</f>
        <v>44.0366972477064</v>
      </c>
      <c r="I247" s="170" t="s">
        <v>1439</v>
      </c>
      <c r="J247" s="171" t="n">
        <v>2.4</v>
      </c>
      <c r="K247" s="170"/>
      <c r="L247" s="171"/>
      <c r="M247" s="170"/>
      <c r="N247" s="171"/>
      <c r="O247" s="170"/>
      <c r="P247" s="171"/>
      <c r="Q247" s="170"/>
      <c r="R247" s="171"/>
      <c r="S247" s="170"/>
      <c r="T247" s="171"/>
      <c r="U247" s="170"/>
      <c r="V247" s="171"/>
      <c r="W247" s="170"/>
      <c r="X247" s="171"/>
      <c r="Y247" s="170"/>
      <c r="Z247" s="171"/>
      <c r="AA247" s="170"/>
      <c r="AB247" s="171"/>
      <c r="AC247" s="170"/>
      <c r="AD247" s="171"/>
      <c r="AE247" s="170"/>
      <c r="AF247" s="171"/>
      <c r="AG247" s="170"/>
      <c r="AH247" s="171"/>
      <c r="AI247" s="170"/>
      <c r="AJ247" s="171"/>
      <c r="AK247" s="170"/>
      <c r="AL247" s="171"/>
      <c r="AM247" s="170"/>
      <c r="AN247" s="171"/>
      <c r="AO247" s="170"/>
      <c r="AP247" s="171"/>
      <c r="AQ247" s="170"/>
      <c r="AR247" s="171"/>
      <c r="AS247" s="170"/>
      <c r="AT247" s="171"/>
      <c r="AU247" s="170"/>
      <c r="AV247" s="172" t="n">
        <f aca="false">IFERROR(VLOOKUP(A247,'Site check'!A:Q,14,0),0)</f>
        <v>0</v>
      </c>
    </row>
    <row r="248" customFormat="false" ht="13.15" hidden="false" customHeight="false" outlineLevel="0" collapsed="false">
      <c r="A248" s="20" t="s">
        <v>264</v>
      </c>
      <c r="B248" s="159"/>
      <c r="C248" s="167"/>
      <c r="D248" s="167"/>
      <c r="E248" s="167"/>
      <c r="F248" s="167"/>
      <c r="G248" s="168" t="n">
        <f aca="false">SUM(J248,L248,N248,P248,R248,T248,V248,X248,Z248,AB248,AD248,AF248,AH248,AJ248,AL248,AN248,AP248,AR248,AT248,AV248)</f>
        <v>0.9</v>
      </c>
      <c r="H248" s="169" t="n">
        <f aca="false">SUM(G248*1000)/54.5</f>
        <v>16.5137614678899</v>
      </c>
      <c r="I248" s="173" t="s">
        <v>1440</v>
      </c>
      <c r="J248" s="174" t="n">
        <v>0.5</v>
      </c>
      <c r="K248" s="179" t="s">
        <v>1441</v>
      </c>
      <c r="L248" s="180" t="n">
        <v>0.4</v>
      </c>
      <c r="M248" s="170"/>
      <c r="N248" s="171"/>
      <c r="O248" s="170"/>
      <c r="P248" s="171"/>
      <c r="Q248" s="170"/>
      <c r="R248" s="171"/>
      <c r="S248" s="170"/>
      <c r="T248" s="171"/>
      <c r="U248" s="170"/>
      <c r="V248" s="171"/>
      <c r="W248" s="170"/>
      <c r="X248" s="171"/>
      <c r="Y248" s="170"/>
      <c r="Z248" s="171"/>
      <c r="AA248" s="170"/>
      <c r="AB248" s="171"/>
      <c r="AC248" s="170"/>
      <c r="AD248" s="171"/>
      <c r="AE248" s="170"/>
      <c r="AF248" s="171"/>
      <c r="AG248" s="170"/>
      <c r="AH248" s="171"/>
      <c r="AI248" s="170"/>
      <c r="AJ248" s="171"/>
      <c r="AK248" s="170"/>
      <c r="AL248" s="171"/>
      <c r="AM248" s="170"/>
      <c r="AN248" s="171"/>
      <c r="AO248" s="170"/>
      <c r="AP248" s="171"/>
      <c r="AQ248" s="170"/>
      <c r="AR248" s="171"/>
      <c r="AS248" s="170"/>
      <c r="AT248" s="171"/>
      <c r="AU248" s="170"/>
      <c r="AV248" s="172" t="n">
        <f aca="false">IFERROR(VLOOKUP(A248,'Site check'!A:Q,14,0),0)</f>
        <v>0</v>
      </c>
    </row>
    <row r="249" customFormat="false" ht="13.15" hidden="false" customHeight="false" outlineLevel="0" collapsed="false">
      <c r="A249" s="20" t="s">
        <v>265</v>
      </c>
      <c r="B249" s="159"/>
      <c r="C249" s="176" t="s">
        <v>18</v>
      </c>
      <c r="D249" s="167"/>
      <c r="E249" s="167"/>
      <c r="F249" s="167"/>
      <c r="G249" s="168" t="n">
        <f aca="false">SUM(J249,L249,N249,P249,R249,T249,V249,X249,Z249,AB249,AD249,AF249,AH249,AJ249,AL249,AN249,AP249,AR249,AT249,AV249)</f>
        <v>6.9</v>
      </c>
      <c r="H249" s="169" t="n">
        <f aca="false">SUM(G249*1000)/54.5</f>
        <v>126.605504587156</v>
      </c>
      <c r="I249" s="173" t="s">
        <v>1442</v>
      </c>
      <c r="J249" s="174" t="n">
        <v>1.7</v>
      </c>
      <c r="K249" s="193" t="s">
        <v>1443</v>
      </c>
      <c r="L249" s="192" t="n">
        <v>1</v>
      </c>
      <c r="M249" s="204" t="s">
        <v>1444</v>
      </c>
      <c r="N249" s="221" t="n">
        <v>4.2</v>
      </c>
      <c r="O249" s="170"/>
      <c r="P249" s="171"/>
      <c r="Q249" s="170"/>
      <c r="R249" s="171"/>
      <c r="S249" s="170"/>
      <c r="T249" s="171"/>
      <c r="U249" s="170"/>
      <c r="V249" s="171"/>
      <c r="W249" s="170"/>
      <c r="X249" s="171"/>
      <c r="Y249" s="170"/>
      <c r="Z249" s="171"/>
      <c r="AA249" s="170"/>
      <c r="AB249" s="171"/>
      <c r="AC249" s="170"/>
      <c r="AD249" s="171"/>
      <c r="AE249" s="170"/>
      <c r="AF249" s="171"/>
      <c r="AG249" s="170"/>
      <c r="AH249" s="171"/>
      <c r="AI249" s="170"/>
      <c r="AJ249" s="171"/>
      <c r="AK249" s="170"/>
      <c r="AL249" s="171"/>
      <c r="AM249" s="170"/>
      <c r="AN249" s="171"/>
      <c r="AO249" s="170"/>
      <c r="AP249" s="171"/>
      <c r="AQ249" s="170"/>
      <c r="AR249" s="171"/>
      <c r="AS249" s="170"/>
      <c r="AT249" s="171"/>
      <c r="AU249" s="170"/>
      <c r="AV249" s="172" t="n">
        <f aca="false">IFERROR(VLOOKUP(A249,'Site check'!A:Q,14,0),0)</f>
        <v>0</v>
      </c>
    </row>
    <row r="250" customFormat="false" ht="13.15" hidden="false" customHeight="false" outlineLevel="0" collapsed="false">
      <c r="A250" s="20" t="s">
        <v>266</v>
      </c>
      <c r="B250" s="159"/>
      <c r="C250" s="167"/>
      <c r="D250" s="167"/>
      <c r="E250" s="167"/>
      <c r="F250" s="167"/>
      <c r="G250" s="168" t="n">
        <f aca="false">SUM(J250,L250,N250,P250,R250,T250,V250,X250,Z250,AB250,AD250,AF250,AH250,AJ250,AL250,AN250,AP250,AR250,AT250,AV250)</f>
        <v>1</v>
      </c>
      <c r="H250" s="169" t="n">
        <f aca="false">SUM(G250*1000)/54.5</f>
        <v>18.348623853211</v>
      </c>
      <c r="I250" s="186" t="s">
        <v>1445</v>
      </c>
      <c r="J250" s="192" t="n">
        <v>1</v>
      </c>
      <c r="K250" s="173"/>
      <c r="L250" s="174"/>
      <c r="M250" s="170"/>
      <c r="N250" s="171"/>
      <c r="O250" s="170"/>
      <c r="P250" s="171"/>
      <c r="Q250" s="170"/>
      <c r="R250" s="171"/>
      <c r="S250" s="170"/>
      <c r="T250" s="171"/>
      <c r="U250" s="170"/>
      <c r="V250" s="171"/>
      <c r="W250" s="170"/>
      <c r="X250" s="171"/>
      <c r="Y250" s="170"/>
      <c r="Z250" s="171"/>
      <c r="AA250" s="170"/>
      <c r="AB250" s="171"/>
      <c r="AC250" s="170"/>
      <c r="AD250" s="171"/>
      <c r="AE250" s="170"/>
      <c r="AF250" s="171"/>
      <c r="AG250" s="170"/>
      <c r="AH250" s="171"/>
      <c r="AI250" s="170"/>
      <c r="AJ250" s="171"/>
      <c r="AK250" s="170"/>
      <c r="AL250" s="171"/>
      <c r="AM250" s="170"/>
      <c r="AN250" s="171"/>
      <c r="AO250" s="170"/>
      <c r="AP250" s="171"/>
      <c r="AQ250" s="170"/>
      <c r="AR250" s="171"/>
      <c r="AS250" s="170"/>
      <c r="AT250" s="171"/>
      <c r="AU250" s="170"/>
      <c r="AV250" s="172" t="n">
        <f aca="false">IFERROR(VLOOKUP(A250,'Site check'!A:Q,14,0),0)</f>
        <v>0</v>
      </c>
    </row>
    <row r="251" customFormat="false" ht="13.15" hidden="false" customHeight="false" outlineLevel="0" collapsed="false">
      <c r="A251" s="20" t="s">
        <v>267</v>
      </c>
      <c r="B251" s="159"/>
      <c r="C251" s="176" t="s">
        <v>18</v>
      </c>
      <c r="D251" s="167"/>
      <c r="E251" s="167"/>
      <c r="F251" s="167"/>
      <c r="G251" s="168" t="n">
        <f aca="false">SUM(J251,L251,N251,P251,R251,T251,V251,X251,Z251,AB251,AD251,AF251,AH251,AJ251,AL251,AN251,AP251,AR251,AT251,AV251)</f>
        <v>2.4</v>
      </c>
      <c r="H251" s="169" t="n">
        <f aca="false">SUM(G251*1000)/54.5</f>
        <v>44.0366972477064</v>
      </c>
      <c r="I251" s="173" t="s">
        <v>1446</v>
      </c>
      <c r="J251" s="174" t="n">
        <v>2.4</v>
      </c>
      <c r="K251" s="173"/>
      <c r="L251" s="174"/>
      <c r="M251" s="170"/>
      <c r="N251" s="171"/>
      <c r="O251" s="170"/>
      <c r="P251" s="171"/>
      <c r="Q251" s="170"/>
      <c r="R251" s="171"/>
      <c r="S251" s="170"/>
      <c r="T251" s="171"/>
      <c r="U251" s="170"/>
      <c r="V251" s="171"/>
      <c r="W251" s="170"/>
      <c r="X251" s="171"/>
      <c r="Y251" s="170"/>
      <c r="Z251" s="171"/>
      <c r="AA251" s="170"/>
      <c r="AB251" s="171"/>
      <c r="AC251" s="170"/>
      <c r="AD251" s="171"/>
      <c r="AE251" s="170"/>
      <c r="AF251" s="171"/>
      <c r="AG251" s="170"/>
      <c r="AH251" s="171"/>
      <c r="AI251" s="170"/>
      <c r="AJ251" s="171"/>
      <c r="AK251" s="170"/>
      <c r="AL251" s="171"/>
      <c r="AM251" s="170"/>
      <c r="AN251" s="171"/>
      <c r="AO251" s="170"/>
      <c r="AP251" s="171"/>
      <c r="AQ251" s="170"/>
      <c r="AR251" s="171"/>
      <c r="AS251" s="170"/>
      <c r="AT251" s="171"/>
      <c r="AU251" s="170"/>
      <c r="AV251" s="172" t="n">
        <f aca="false">IFERROR(VLOOKUP(A251,'Site check'!A:Q,14,0),0)</f>
        <v>0</v>
      </c>
    </row>
    <row r="252" customFormat="false" ht="12.75" hidden="false" customHeight="false" outlineLevel="0" collapsed="false">
      <c r="A252" s="20" t="s">
        <v>268</v>
      </c>
      <c r="B252" s="159"/>
      <c r="C252" s="167"/>
      <c r="D252" s="167"/>
      <c r="E252" s="167"/>
      <c r="F252" s="167"/>
      <c r="G252" s="168" t="n">
        <f aca="false">SUM(J252,L252,N252,P252,R252,T252,V252,X252,Z252,AB252,AD252,AF252,AH252,AJ252,AL252,AN252,AP252,AR252,AT252,AV252)</f>
        <v>1</v>
      </c>
      <c r="H252" s="169" t="n">
        <f aca="false">SUM(G252*1000)/54.5</f>
        <v>18.348623853211</v>
      </c>
      <c r="I252" s="186" t="s">
        <v>1447</v>
      </c>
      <c r="J252" s="192" t="n">
        <v>1</v>
      </c>
      <c r="K252" s="201"/>
      <c r="L252" s="71"/>
      <c r="M252" s="170"/>
      <c r="N252" s="171"/>
      <c r="O252" s="170"/>
      <c r="P252" s="171"/>
      <c r="Q252" s="170"/>
      <c r="R252" s="171"/>
      <c r="S252" s="170"/>
      <c r="T252" s="171"/>
      <c r="U252" s="170"/>
      <c r="V252" s="171"/>
      <c r="W252" s="170"/>
      <c r="X252" s="171"/>
      <c r="Y252" s="170"/>
      <c r="Z252" s="171"/>
      <c r="AA252" s="170"/>
      <c r="AB252" s="171"/>
      <c r="AC252" s="170"/>
      <c r="AD252" s="171"/>
      <c r="AE252" s="170"/>
      <c r="AF252" s="171"/>
      <c r="AG252" s="170"/>
      <c r="AH252" s="171"/>
      <c r="AI252" s="170"/>
      <c r="AJ252" s="171"/>
      <c r="AK252" s="170"/>
      <c r="AL252" s="171"/>
      <c r="AM252" s="170"/>
      <c r="AN252" s="171"/>
      <c r="AO252" s="170"/>
      <c r="AP252" s="171"/>
      <c r="AQ252" s="170"/>
      <c r="AR252" s="171"/>
      <c r="AS252" s="170"/>
      <c r="AT252" s="171"/>
      <c r="AU252" s="170"/>
      <c r="AV252" s="172" t="n">
        <f aca="false">IFERROR(VLOOKUP(A252,'Site check'!A:Q,14,0),0)</f>
        <v>0</v>
      </c>
    </row>
    <row r="253" customFormat="false" ht="12.75" hidden="false" customHeight="false" outlineLevel="0" collapsed="false">
      <c r="A253" s="20" t="s">
        <v>269</v>
      </c>
      <c r="B253" s="159"/>
      <c r="C253" s="167"/>
      <c r="D253" s="167"/>
      <c r="E253" s="167"/>
      <c r="F253" s="167"/>
      <c r="G253" s="168" t="n">
        <f aca="false">SUM(J253,L253,N253,P253,R253,T253,V253,X253,Z253,AB253,AD253,AF253,AH253,AJ253,AL253,AN253,AP253,AR253,AT253,AV253)</f>
        <v>2</v>
      </c>
      <c r="H253" s="169" t="n">
        <f aca="false">SUM(G253*1000)/54.5</f>
        <v>36.697247706422</v>
      </c>
      <c r="I253" s="201" t="s">
        <v>1448</v>
      </c>
      <c r="J253" s="71" t="n">
        <v>2</v>
      </c>
      <c r="K253" s="222"/>
      <c r="L253" s="223"/>
      <c r="M253" s="222"/>
      <c r="N253" s="171"/>
      <c r="O253" s="222"/>
      <c r="P253" s="171"/>
      <c r="Q253" s="222"/>
      <c r="R253" s="171"/>
      <c r="S253" s="222"/>
      <c r="T253" s="171"/>
      <c r="U253" s="222"/>
      <c r="V253" s="171"/>
      <c r="W253" s="222"/>
      <c r="X253" s="171"/>
      <c r="Y253" s="222"/>
      <c r="Z253" s="171"/>
      <c r="AA253" s="222"/>
      <c r="AB253" s="171"/>
      <c r="AC253" s="222"/>
      <c r="AD253" s="171"/>
      <c r="AE253" s="222"/>
      <c r="AF253" s="171"/>
      <c r="AG253" s="222"/>
      <c r="AH253" s="171"/>
      <c r="AI253" s="222"/>
      <c r="AJ253" s="171"/>
      <c r="AK253" s="222"/>
      <c r="AL253" s="171"/>
      <c r="AM253" s="222"/>
      <c r="AN253" s="171"/>
      <c r="AO253" s="222"/>
      <c r="AP253" s="171"/>
      <c r="AQ253" s="222"/>
      <c r="AR253" s="171"/>
      <c r="AS253" s="222"/>
      <c r="AT253" s="171"/>
      <c r="AU253" s="222"/>
      <c r="AV253" s="172" t="n">
        <f aca="false">IFERROR(VLOOKUP(A253,'Site check'!A:Q,14,0),0)</f>
        <v>0</v>
      </c>
    </row>
    <row r="254" customFormat="false" ht="13.15" hidden="false" customHeight="false" outlineLevel="0" collapsed="false">
      <c r="A254" s="20"/>
      <c r="B254" s="43"/>
      <c r="C254" s="43"/>
      <c r="D254" s="43"/>
      <c r="E254" s="43"/>
      <c r="F254" s="43"/>
      <c r="H254" s="169" t="n">
        <f aca="false">SUM(G254*1000)/54.5</f>
        <v>0</v>
      </c>
      <c r="I254" s="170"/>
      <c r="J254" s="171"/>
      <c r="K254" s="170"/>
      <c r="L254" s="171"/>
      <c r="M254" s="170"/>
      <c r="N254" s="171"/>
      <c r="O254" s="170"/>
      <c r="P254" s="171"/>
      <c r="Q254" s="170"/>
      <c r="R254" s="171"/>
      <c r="S254" s="170"/>
      <c r="T254" s="171"/>
      <c r="U254" s="170"/>
      <c r="V254" s="171"/>
      <c r="W254" s="170"/>
      <c r="X254" s="171"/>
      <c r="Y254" s="170"/>
      <c r="Z254" s="171"/>
      <c r="AA254" s="170"/>
      <c r="AB254" s="171"/>
      <c r="AC254" s="170"/>
      <c r="AD254" s="171"/>
      <c r="AE254" s="170"/>
      <c r="AF254" s="171"/>
      <c r="AG254" s="170"/>
      <c r="AH254" s="171"/>
      <c r="AI254" s="170"/>
      <c r="AJ254" s="171"/>
      <c r="AK254" s="170"/>
      <c r="AL254" s="171"/>
      <c r="AM254" s="170"/>
      <c r="AN254" s="171"/>
      <c r="AO254" s="170"/>
      <c r="AP254" s="171"/>
      <c r="AQ254" s="170"/>
      <c r="AR254" s="171"/>
      <c r="AS254" s="170"/>
      <c r="AT254" s="171"/>
      <c r="AU254" s="170"/>
      <c r="AV254" s="172" t="n">
        <f aca="false">IFERROR(VLOOKUP(A254,'Site check'!A:Q,14,0),0)</f>
        <v>0</v>
      </c>
    </row>
    <row r="255" customFormat="false" ht="13.15" hidden="false" customHeight="false" outlineLevel="0" collapsed="false">
      <c r="A255" s="20"/>
      <c r="H255" s="169" t="n">
        <f aca="false">SUM(G255*1000)/54.5</f>
        <v>0</v>
      </c>
      <c r="I255" s="170"/>
      <c r="J255" s="171"/>
      <c r="K255" s="170"/>
      <c r="L255" s="171"/>
      <c r="M255" s="170"/>
      <c r="N255" s="171"/>
      <c r="O255" s="170"/>
      <c r="P255" s="171"/>
      <c r="Q255" s="170"/>
      <c r="R255" s="171"/>
      <c r="S255" s="170"/>
      <c r="T255" s="171"/>
      <c r="U255" s="170"/>
      <c r="V255" s="171"/>
      <c r="W255" s="170"/>
      <c r="X255" s="171"/>
      <c r="Y255" s="170"/>
      <c r="Z255" s="171"/>
      <c r="AA255" s="170"/>
      <c r="AB255" s="171"/>
      <c r="AC255" s="170"/>
      <c r="AD255" s="171"/>
      <c r="AE255" s="170"/>
      <c r="AF255" s="171"/>
      <c r="AG255" s="170"/>
      <c r="AH255" s="171"/>
      <c r="AI255" s="170"/>
      <c r="AJ255" s="171"/>
      <c r="AK255" s="170"/>
      <c r="AL255" s="171"/>
      <c r="AM255" s="170"/>
      <c r="AN255" s="171"/>
      <c r="AO255" s="170"/>
      <c r="AP255" s="171"/>
      <c r="AQ255" s="170"/>
      <c r="AR255" s="171"/>
      <c r="AS255" s="170"/>
      <c r="AT255" s="171"/>
      <c r="AU255" s="170"/>
      <c r="AV255" s="172" t="n">
        <f aca="false">IFERROR(VLOOKUP(A255,'Site check'!A:Q,14,0),0)</f>
        <v>0</v>
      </c>
    </row>
    <row r="256" customFormat="false" ht="13.15" hidden="false" customHeight="false" outlineLevel="0" collapsed="false">
      <c r="A256" s="20"/>
      <c r="H256" s="169" t="n">
        <f aca="false">SUM(G256*1000)/54.5</f>
        <v>0</v>
      </c>
      <c r="I256" s="170"/>
      <c r="J256" s="171"/>
      <c r="K256" s="170"/>
      <c r="L256" s="171"/>
      <c r="M256" s="170"/>
      <c r="N256" s="171"/>
      <c r="O256" s="170"/>
      <c r="P256" s="171"/>
      <c r="Q256" s="170"/>
      <c r="R256" s="171"/>
      <c r="S256" s="170"/>
      <c r="T256" s="171"/>
      <c r="U256" s="170"/>
      <c r="V256" s="171"/>
      <c r="W256" s="170"/>
      <c r="X256" s="171"/>
      <c r="Y256" s="170"/>
      <c r="Z256" s="171"/>
      <c r="AA256" s="170"/>
      <c r="AB256" s="171"/>
      <c r="AC256" s="170"/>
      <c r="AD256" s="171"/>
      <c r="AE256" s="170"/>
      <c r="AF256" s="171"/>
      <c r="AG256" s="170"/>
      <c r="AH256" s="171"/>
      <c r="AI256" s="170"/>
      <c r="AJ256" s="171"/>
      <c r="AK256" s="170"/>
      <c r="AL256" s="171"/>
      <c r="AM256" s="170"/>
      <c r="AN256" s="171"/>
      <c r="AO256" s="170"/>
      <c r="AP256" s="171"/>
      <c r="AQ256" s="170"/>
      <c r="AR256" s="171"/>
      <c r="AS256" s="170"/>
      <c r="AT256" s="171"/>
      <c r="AU256" s="170"/>
      <c r="AV256" s="172" t="n">
        <f aca="false">IFERROR(VLOOKUP(A256,'Site check'!A:Q,14,0),0)</f>
        <v>0</v>
      </c>
    </row>
    <row r="257" customFormat="false" ht="13.15" hidden="false" customHeight="false" outlineLevel="0" collapsed="false">
      <c r="A257" s="20"/>
      <c r="H257" s="169" t="n">
        <f aca="false">SUM(G257*1000)/54.5</f>
        <v>0</v>
      </c>
      <c r="I257" s="170"/>
      <c r="J257" s="171"/>
      <c r="K257" s="170"/>
      <c r="L257" s="171"/>
      <c r="M257" s="170"/>
      <c r="N257" s="171"/>
      <c r="O257" s="170"/>
      <c r="P257" s="171"/>
      <c r="Q257" s="170"/>
      <c r="R257" s="171"/>
      <c r="S257" s="170"/>
      <c r="T257" s="171"/>
      <c r="U257" s="170"/>
      <c r="V257" s="171"/>
      <c r="W257" s="170"/>
      <c r="X257" s="171"/>
      <c r="Y257" s="170"/>
      <c r="Z257" s="171"/>
      <c r="AA257" s="170"/>
      <c r="AB257" s="171"/>
      <c r="AC257" s="170"/>
      <c r="AD257" s="171"/>
      <c r="AE257" s="170"/>
      <c r="AF257" s="171"/>
      <c r="AG257" s="170"/>
      <c r="AH257" s="171"/>
      <c r="AI257" s="170"/>
      <c r="AJ257" s="171"/>
      <c r="AK257" s="170"/>
      <c r="AL257" s="171"/>
      <c r="AM257" s="170"/>
      <c r="AN257" s="171"/>
      <c r="AO257" s="170"/>
      <c r="AP257" s="171"/>
      <c r="AQ257" s="170"/>
      <c r="AR257" s="171"/>
      <c r="AS257" s="170"/>
      <c r="AT257" s="171"/>
      <c r="AU257" s="170"/>
      <c r="AV257" s="172" t="n">
        <f aca="false">IFERROR(VLOOKUP(A257,'Site check'!A:Q,14,0),0)</f>
        <v>0</v>
      </c>
    </row>
    <row r="258" customFormat="false" ht="13.15" hidden="false" customHeight="false" outlineLevel="0" collapsed="false">
      <c r="A258" s="20"/>
      <c r="H258" s="169" t="n">
        <f aca="false">SUM(G258*1000)/54.5</f>
        <v>0</v>
      </c>
      <c r="I258" s="170"/>
      <c r="J258" s="171"/>
      <c r="K258" s="170"/>
      <c r="L258" s="171"/>
      <c r="M258" s="170"/>
      <c r="N258" s="171"/>
      <c r="O258" s="170"/>
      <c r="P258" s="171"/>
      <c r="Q258" s="170"/>
      <c r="R258" s="171"/>
      <c r="S258" s="170"/>
      <c r="T258" s="171"/>
      <c r="U258" s="170"/>
      <c r="V258" s="171"/>
      <c r="W258" s="170"/>
      <c r="X258" s="171"/>
      <c r="Y258" s="170"/>
      <c r="Z258" s="171"/>
      <c r="AA258" s="170"/>
      <c r="AB258" s="171"/>
      <c r="AC258" s="170"/>
      <c r="AD258" s="171"/>
      <c r="AE258" s="170"/>
      <c r="AF258" s="171"/>
      <c r="AG258" s="170"/>
      <c r="AH258" s="171"/>
      <c r="AI258" s="170"/>
      <c r="AJ258" s="171"/>
      <c r="AK258" s="170"/>
      <c r="AL258" s="171"/>
      <c r="AM258" s="170"/>
      <c r="AN258" s="171"/>
      <c r="AO258" s="170"/>
      <c r="AP258" s="171"/>
      <c r="AQ258" s="170"/>
      <c r="AR258" s="171"/>
      <c r="AS258" s="170"/>
      <c r="AT258" s="171"/>
      <c r="AU258" s="170"/>
      <c r="AV258" s="172" t="n">
        <f aca="false">IFERROR(VLOOKUP(A258,'Site check'!A:Q,14,0),0)</f>
        <v>0</v>
      </c>
    </row>
    <row r="259" customFormat="false" ht="13.15" hidden="false" customHeight="false" outlineLevel="0" collapsed="false">
      <c r="A259" s="20"/>
      <c r="H259" s="169" t="n">
        <f aca="false">SUM(G259*1000)/54.5</f>
        <v>0</v>
      </c>
      <c r="I259" s="170"/>
      <c r="J259" s="171"/>
      <c r="K259" s="170"/>
      <c r="L259" s="171"/>
      <c r="M259" s="170"/>
      <c r="N259" s="171"/>
      <c r="O259" s="170"/>
      <c r="P259" s="171"/>
      <c r="Q259" s="170"/>
      <c r="R259" s="171"/>
      <c r="S259" s="170"/>
      <c r="T259" s="171"/>
      <c r="U259" s="170"/>
      <c r="V259" s="171"/>
      <c r="W259" s="170"/>
      <c r="X259" s="171"/>
      <c r="Y259" s="170"/>
      <c r="Z259" s="171"/>
      <c r="AA259" s="170"/>
      <c r="AB259" s="171"/>
      <c r="AC259" s="170"/>
      <c r="AD259" s="171"/>
      <c r="AE259" s="170"/>
      <c r="AF259" s="171"/>
      <c r="AG259" s="170"/>
      <c r="AH259" s="171"/>
      <c r="AI259" s="170"/>
      <c r="AJ259" s="171"/>
      <c r="AK259" s="170"/>
      <c r="AL259" s="171"/>
      <c r="AM259" s="170"/>
      <c r="AN259" s="171"/>
      <c r="AO259" s="170"/>
      <c r="AP259" s="171"/>
      <c r="AQ259" s="170"/>
      <c r="AR259" s="171"/>
      <c r="AS259" s="170"/>
      <c r="AT259" s="171"/>
      <c r="AU259" s="170"/>
      <c r="AV259" s="172" t="n">
        <f aca="false">IFERROR(VLOOKUP(A259,'Site check'!A:Q,14,0),0)</f>
        <v>0</v>
      </c>
    </row>
    <row r="260" customFormat="false" ht="13.15" hidden="false" customHeight="false" outlineLevel="0" collapsed="false">
      <c r="A260" s="20"/>
      <c r="H260" s="169" t="n">
        <f aca="false">SUM(G260*1000)/54.5</f>
        <v>0</v>
      </c>
      <c r="I260" s="170"/>
      <c r="J260" s="171"/>
      <c r="K260" s="170"/>
      <c r="L260" s="171"/>
      <c r="M260" s="170"/>
      <c r="N260" s="171"/>
      <c r="O260" s="170"/>
      <c r="P260" s="171"/>
      <c r="Q260" s="170"/>
      <c r="R260" s="171"/>
      <c r="S260" s="170"/>
      <c r="T260" s="171"/>
      <c r="U260" s="170"/>
      <c r="V260" s="171"/>
      <c r="W260" s="170"/>
      <c r="X260" s="171"/>
      <c r="Y260" s="170"/>
      <c r="Z260" s="171"/>
      <c r="AA260" s="170"/>
      <c r="AB260" s="171"/>
      <c r="AC260" s="170"/>
      <c r="AD260" s="171"/>
      <c r="AE260" s="170"/>
      <c r="AF260" s="171"/>
      <c r="AG260" s="170"/>
      <c r="AH260" s="171"/>
      <c r="AI260" s="170"/>
      <c r="AJ260" s="171"/>
      <c r="AK260" s="170"/>
      <c r="AL260" s="171"/>
      <c r="AM260" s="170"/>
      <c r="AN260" s="171"/>
      <c r="AO260" s="170"/>
      <c r="AP260" s="171"/>
      <c r="AQ260" s="170"/>
      <c r="AR260" s="171"/>
      <c r="AS260" s="170"/>
      <c r="AT260" s="171"/>
      <c r="AU260" s="170"/>
      <c r="AV260" s="172" t="n">
        <f aca="false">IFERROR(VLOOKUP(A260,'Site check'!A:Q,14,0),0)</f>
        <v>0</v>
      </c>
    </row>
    <row r="261" customFormat="false" ht="13.15" hidden="false" customHeight="false" outlineLevel="0" collapsed="false">
      <c r="A261" s="20"/>
      <c r="H261" s="169" t="n">
        <f aca="false">SUM(G261*1000)/54.5</f>
        <v>0</v>
      </c>
      <c r="I261" s="170"/>
      <c r="J261" s="171"/>
      <c r="K261" s="170"/>
      <c r="L261" s="171"/>
      <c r="M261" s="170"/>
      <c r="N261" s="171"/>
      <c r="O261" s="170"/>
      <c r="P261" s="171"/>
      <c r="Q261" s="170"/>
      <c r="R261" s="171"/>
      <c r="S261" s="170"/>
      <c r="T261" s="171"/>
      <c r="U261" s="170"/>
      <c r="V261" s="171"/>
      <c r="W261" s="170"/>
      <c r="X261" s="171"/>
      <c r="Y261" s="170"/>
      <c r="Z261" s="171"/>
      <c r="AA261" s="170"/>
      <c r="AB261" s="171"/>
      <c r="AC261" s="170"/>
      <c r="AD261" s="171"/>
      <c r="AE261" s="170"/>
      <c r="AF261" s="171"/>
      <c r="AG261" s="170"/>
      <c r="AH261" s="171"/>
      <c r="AI261" s="170"/>
      <c r="AJ261" s="171"/>
      <c r="AK261" s="170"/>
      <c r="AL261" s="171"/>
      <c r="AM261" s="170"/>
      <c r="AN261" s="171"/>
      <c r="AO261" s="170"/>
      <c r="AP261" s="171"/>
      <c r="AQ261" s="170"/>
      <c r="AR261" s="171"/>
      <c r="AS261" s="170"/>
      <c r="AT261" s="171"/>
      <c r="AU261" s="170"/>
      <c r="AV261" s="172" t="n">
        <f aca="false">IFERROR(VLOOKUP(A261,'Site check'!A:Q,14,0),0)</f>
        <v>0</v>
      </c>
    </row>
    <row r="262" customFormat="false" ht="13.15" hidden="false" customHeight="false" outlineLevel="0" collapsed="false">
      <c r="A262" s="20"/>
      <c r="H262" s="169" t="n">
        <f aca="false">SUM(G262*1000)/54.5</f>
        <v>0</v>
      </c>
      <c r="I262" s="170"/>
      <c r="J262" s="171"/>
      <c r="K262" s="170"/>
      <c r="L262" s="171"/>
      <c r="M262" s="170"/>
      <c r="N262" s="171"/>
      <c r="O262" s="170"/>
      <c r="P262" s="171"/>
      <c r="Q262" s="170"/>
      <c r="R262" s="171"/>
      <c r="S262" s="170"/>
      <c r="T262" s="171"/>
      <c r="U262" s="170"/>
      <c r="V262" s="171"/>
      <c r="W262" s="170"/>
      <c r="X262" s="171"/>
      <c r="Y262" s="170"/>
      <c r="Z262" s="171"/>
      <c r="AA262" s="170"/>
      <c r="AB262" s="171"/>
      <c r="AC262" s="170"/>
      <c r="AD262" s="171"/>
      <c r="AE262" s="170"/>
      <c r="AF262" s="171"/>
      <c r="AG262" s="170"/>
      <c r="AH262" s="171"/>
      <c r="AI262" s="170"/>
      <c r="AJ262" s="171"/>
      <c r="AK262" s="170"/>
      <c r="AL262" s="171"/>
      <c r="AM262" s="170"/>
      <c r="AN262" s="171"/>
      <c r="AO262" s="170"/>
      <c r="AP262" s="171"/>
      <c r="AQ262" s="170"/>
      <c r="AR262" s="171"/>
      <c r="AS262" s="170"/>
      <c r="AT262" s="171"/>
      <c r="AU262" s="170"/>
      <c r="AV262" s="172" t="n">
        <f aca="false">IFERROR(VLOOKUP(A262,'Site check'!A:Q,14,0),0)</f>
        <v>0</v>
      </c>
    </row>
    <row r="263" customFormat="false" ht="13.15" hidden="false" customHeight="false" outlineLevel="0" collapsed="false">
      <c r="A263" s="20"/>
      <c r="H263" s="169" t="n">
        <f aca="false">SUM(G263*1000)/54.5</f>
        <v>0</v>
      </c>
      <c r="I263" s="170"/>
      <c r="J263" s="171"/>
      <c r="K263" s="170"/>
      <c r="L263" s="171"/>
      <c r="M263" s="170"/>
      <c r="N263" s="171"/>
      <c r="O263" s="170"/>
      <c r="P263" s="171"/>
      <c r="Q263" s="170"/>
      <c r="R263" s="171"/>
      <c r="S263" s="170"/>
      <c r="T263" s="171"/>
      <c r="U263" s="170"/>
      <c r="V263" s="171"/>
      <c r="W263" s="170"/>
      <c r="X263" s="171"/>
      <c r="Y263" s="170"/>
      <c r="Z263" s="171"/>
      <c r="AA263" s="170"/>
      <c r="AB263" s="171"/>
      <c r="AC263" s="170"/>
      <c r="AD263" s="171"/>
      <c r="AE263" s="170"/>
      <c r="AF263" s="171"/>
      <c r="AG263" s="170"/>
      <c r="AH263" s="171"/>
      <c r="AI263" s="170"/>
      <c r="AJ263" s="171"/>
      <c r="AK263" s="170"/>
      <c r="AL263" s="171"/>
      <c r="AM263" s="170"/>
      <c r="AN263" s="171"/>
      <c r="AO263" s="170"/>
      <c r="AP263" s="171"/>
      <c r="AQ263" s="170"/>
      <c r="AR263" s="171"/>
      <c r="AS263" s="170"/>
      <c r="AT263" s="171"/>
      <c r="AU263" s="170"/>
      <c r="AV263" s="172" t="n">
        <f aca="false">IFERROR(VLOOKUP(A263,'Site check'!A:Q,14,0),0)</f>
        <v>0</v>
      </c>
    </row>
    <row r="264" customFormat="false" ht="13.15" hidden="false" customHeight="false" outlineLevel="0" collapsed="false">
      <c r="A264" s="20"/>
      <c r="H264" s="169" t="n">
        <f aca="false">SUM(G264*1000)/54.5</f>
        <v>0</v>
      </c>
      <c r="I264" s="170"/>
      <c r="J264" s="171"/>
      <c r="K264" s="170"/>
      <c r="L264" s="171"/>
      <c r="M264" s="170"/>
      <c r="N264" s="171"/>
      <c r="O264" s="170"/>
      <c r="P264" s="171"/>
      <c r="Q264" s="170"/>
      <c r="R264" s="171"/>
      <c r="S264" s="170"/>
      <c r="T264" s="171"/>
      <c r="U264" s="170"/>
      <c r="V264" s="171"/>
      <c r="W264" s="170"/>
      <c r="X264" s="171"/>
      <c r="Y264" s="170"/>
      <c r="Z264" s="171"/>
      <c r="AA264" s="170"/>
      <c r="AB264" s="171"/>
      <c r="AC264" s="170"/>
      <c r="AD264" s="171"/>
      <c r="AE264" s="170"/>
      <c r="AF264" s="171"/>
      <c r="AG264" s="170"/>
      <c r="AH264" s="171"/>
      <c r="AI264" s="170"/>
      <c r="AJ264" s="171"/>
      <c r="AK264" s="170"/>
      <c r="AL264" s="171"/>
      <c r="AM264" s="170"/>
      <c r="AN264" s="171"/>
      <c r="AO264" s="170"/>
      <c r="AP264" s="171"/>
      <c r="AQ264" s="170"/>
      <c r="AR264" s="171"/>
      <c r="AS264" s="170"/>
      <c r="AT264" s="171"/>
      <c r="AU264" s="170"/>
      <c r="AV264" s="172" t="n">
        <f aca="false">IFERROR(VLOOKUP(A264,'Site check'!A:Q,14,0),0)</f>
        <v>0</v>
      </c>
    </row>
    <row r="265" customFormat="false" ht="13.15" hidden="false" customHeight="false" outlineLevel="0" collapsed="false">
      <c r="A265" s="20"/>
      <c r="H265" s="169" t="n">
        <f aca="false">SUM(G265*1000)/54.5</f>
        <v>0</v>
      </c>
      <c r="I265" s="170"/>
      <c r="J265" s="171"/>
      <c r="K265" s="170"/>
      <c r="L265" s="171"/>
      <c r="M265" s="170"/>
      <c r="N265" s="171"/>
      <c r="O265" s="170"/>
      <c r="P265" s="171"/>
      <c r="Q265" s="170"/>
      <c r="R265" s="171"/>
      <c r="S265" s="170"/>
      <c r="T265" s="171"/>
      <c r="U265" s="170"/>
      <c r="V265" s="171"/>
      <c r="W265" s="170"/>
      <c r="X265" s="171"/>
      <c r="Y265" s="170"/>
      <c r="Z265" s="171"/>
      <c r="AA265" s="170"/>
      <c r="AB265" s="171"/>
      <c r="AC265" s="170"/>
      <c r="AD265" s="171"/>
      <c r="AE265" s="170"/>
      <c r="AF265" s="171"/>
      <c r="AG265" s="170"/>
      <c r="AH265" s="171"/>
      <c r="AI265" s="170"/>
      <c r="AJ265" s="171"/>
      <c r="AK265" s="170"/>
      <c r="AL265" s="171"/>
      <c r="AM265" s="170"/>
      <c r="AN265" s="171"/>
      <c r="AO265" s="170"/>
      <c r="AP265" s="171"/>
      <c r="AQ265" s="170"/>
      <c r="AR265" s="171"/>
      <c r="AS265" s="170"/>
      <c r="AT265" s="171"/>
      <c r="AU265" s="170"/>
      <c r="AV265" s="172" t="n">
        <f aca="false">IFERROR(VLOOKUP(A265,'Site check'!A:Q,14,0),0)</f>
        <v>0</v>
      </c>
    </row>
    <row r="266" customFormat="false" ht="13.15" hidden="false" customHeight="false" outlineLevel="0" collapsed="false">
      <c r="A266" s="20"/>
      <c r="H266" s="169" t="n">
        <f aca="false">SUM(G266*1000)/54.5</f>
        <v>0</v>
      </c>
      <c r="I266" s="170"/>
      <c r="J266" s="171"/>
      <c r="K266" s="170"/>
      <c r="L266" s="171"/>
      <c r="M266" s="170"/>
      <c r="N266" s="171"/>
      <c r="O266" s="170"/>
      <c r="P266" s="171"/>
      <c r="Q266" s="170"/>
      <c r="R266" s="171"/>
      <c r="S266" s="170"/>
      <c r="T266" s="171"/>
      <c r="U266" s="170"/>
      <c r="V266" s="171"/>
      <c r="W266" s="170"/>
      <c r="X266" s="171"/>
      <c r="Y266" s="170"/>
      <c r="Z266" s="171"/>
      <c r="AA266" s="170"/>
      <c r="AB266" s="171"/>
      <c r="AC266" s="170"/>
      <c r="AD266" s="171"/>
      <c r="AE266" s="170"/>
      <c r="AF266" s="171"/>
      <c r="AG266" s="170"/>
      <c r="AH266" s="171"/>
      <c r="AI266" s="170"/>
      <c r="AJ266" s="171"/>
      <c r="AK266" s="170"/>
      <c r="AL266" s="171"/>
      <c r="AM266" s="170"/>
      <c r="AN266" s="171"/>
      <c r="AO266" s="170"/>
      <c r="AP266" s="171"/>
      <c r="AQ266" s="170"/>
      <c r="AR266" s="171"/>
      <c r="AS266" s="170"/>
      <c r="AT266" s="171"/>
      <c r="AU266" s="170"/>
      <c r="AV266" s="172" t="n">
        <f aca="false">IFERROR(VLOOKUP(A266,'Site check'!A:Q,14,0),0)</f>
        <v>0</v>
      </c>
    </row>
    <row r="267" customFormat="false" ht="13.15" hidden="false" customHeight="false" outlineLevel="0" collapsed="false">
      <c r="A267" s="20"/>
      <c r="H267" s="169" t="n">
        <f aca="false">SUM(G267*1000)/54.5</f>
        <v>0</v>
      </c>
      <c r="I267" s="170"/>
      <c r="J267" s="171"/>
      <c r="K267" s="170"/>
      <c r="L267" s="171"/>
      <c r="M267" s="170"/>
      <c r="N267" s="171"/>
      <c r="O267" s="170"/>
      <c r="P267" s="171"/>
      <c r="Q267" s="170"/>
      <c r="R267" s="171"/>
      <c r="S267" s="170"/>
      <c r="T267" s="171"/>
      <c r="U267" s="170"/>
      <c r="V267" s="171"/>
      <c r="W267" s="170"/>
      <c r="X267" s="171"/>
      <c r="Y267" s="170"/>
      <c r="Z267" s="171"/>
      <c r="AA267" s="170"/>
      <c r="AB267" s="171"/>
      <c r="AC267" s="170"/>
      <c r="AD267" s="171"/>
      <c r="AE267" s="170"/>
      <c r="AF267" s="171"/>
      <c r="AG267" s="170"/>
      <c r="AH267" s="171"/>
      <c r="AI267" s="170"/>
      <c r="AJ267" s="171"/>
      <c r="AK267" s="170"/>
      <c r="AL267" s="171"/>
      <c r="AM267" s="170"/>
      <c r="AN267" s="171"/>
      <c r="AO267" s="170"/>
      <c r="AP267" s="171"/>
      <c r="AQ267" s="170"/>
      <c r="AR267" s="171"/>
      <c r="AS267" s="170"/>
      <c r="AT267" s="171"/>
      <c r="AU267" s="170"/>
      <c r="AV267" s="172" t="n">
        <f aca="false">IFERROR(VLOOKUP(A267,'Site check'!A:Q,14,0),0)</f>
        <v>0</v>
      </c>
    </row>
    <row r="268" customFormat="false" ht="13.15" hidden="false" customHeight="false" outlineLevel="0" collapsed="false">
      <c r="A268" s="20"/>
      <c r="H268" s="169" t="n">
        <f aca="false">SUM(G268*1000)/54.5</f>
        <v>0</v>
      </c>
      <c r="I268" s="170"/>
      <c r="J268" s="171"/>
      <c r="K268" s="170"/>
      <c r="L268" s="171"/>
      <c r="M268" s="170"/>
      <c r="N268" s="171"/>
      <c r="O268" s="170"/>
      <c r="P268" s="171"/>
      <c r="Q268" s="170"/>
      <c r="R268" s="171"/>
      <c r="S268" s="170"/>
      <c r="T268" s="171"/>
      <c r="U268" s="170"/>
      <c r="V268" s="171"/>
      <c r="W268" s="170"/>
      <c r="X268" s="171"/>
      <c r="Y268" s="170"/>
      <c r="Z268" s="171"/>
      <c r="AA268" s="170"/>
      <c r="AB268" s="171"/>
      <c r="AC268" s="170"/>
      <c r="AD268" s="171"/>
      <c r="AE268" s="170"/>
      <c r="AF268" s="171"/>
      <c r="AG268" s="170"/>
      <c r="AH268" s="171"/>
      <c r="AI268" s="170"/>
      <c r="AJ268" s="171"/>
      <c r="AK268" s="170"/>
      <c r="AL268" s="171"/>
      <c r="AM268" s="170"/>
      <c r="AN268" s="171"/>
      <c r="AO268" s="170"/>
      <c r="AP268" s="171"/>
      <c r="AQ268" s="170"/>
      <c r="AR268" s="171"/>
      <c r="AS268" s="170"/>
      <c r="AT268" s="171"/>
      <c r="AU268" s="170"/>
      <c r="AV268" s="172" t="n">
        <f aca="false">IFERROR(VLOOKUP(A268,'Site check'!A:Q,14,0),0)</f>
        <v>0</v>
      </c>
    </row>
    <row r="269" customFormat="false" ht="13.15" hidden="false" customHeight="false" outlineLevel="0" collapsed="false">
      <c r="H269" s="169" t="n">
        <f aca="false">SUM(G269*1000)/54.5</f>
        <v>0</v>
      </c>
    </row>
    <row r="270" customFormat="false" ht="13.15" hidden="false" customHeight="false" outlineLevel="0" collapsed="false">
      <c r="A270" s="43"/>
      <c r="B270" s="43"/>
      <c r="C270" s="43"/>
      <c r="D270" s="43"/>
      <c r="E270" s="43"/>
      <c r="F270" s="43"/>
    </row>
  </sheetData>
  <sheetProtection algorithmName="SHA-512" hashValue="qMfGtG9PSF3OmtfUXdJTM5XiN2PJzfsqPEqjCMXrtu/KE4nsTlEImh24WGEpi4dbAkEaXd3ID4JbLm+rjqa4nQ==" saltValue="ukh591a38klfeVMGERRMfg==" spinCount="100000" sheet="true" formatCells="false" autoFilter="false"/>
  <mergeCells count="2">
    <mergeCell ref="D1:H1"/>
    <mergeCell ref="J2:L2"/>
  </mergeCells>
  <conditionalFormatting sqref="I127">
    <cfRule type="expression" priority="2" aboveAverage="0" equalAverage="0" bottom="0" percent="0" rank="0" text="" dxfId="113">
      <formula>$X127="Not Feasible"</formula>
    </cfRule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48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P1" activeCellId="0" sqref="P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40.28"/>
    <col collapsed="false" customWidth="true" hidden="false" outlineLevel="0" max="2" min="2" style="0" width="21.57"/>
    <col collapsed="false" customWidth="true" hidden="false" outlineLevel="0" max="4" min="3" style="0" width="11.29"/>
    <col collapsed="false" customWidth="true" hidden="false" outlineLevel="0" max="5" min="5" style="0" width="9.71"/>
    <col collapsed="false" customWidth="true" hidden="false" outlineLevel="0" max="6" min="6" style="0" width="7.71"/>
    <col collapsed="false" customWidth="true" hidden="false" outlineLevel="0" max="7" min="7" style="0" width="13.7"/>
    <col collapsed="false" customWidth="true" hidden="false" outlineLevel="0" max="8" min="8" style="0" width="9.42"/>
    <col collapsed="false" customWidth="true" hidden="false" outlineLevel="0" max="9" min="9" style="0" width="8"/>
    <col collapsed="false" customWidth="true" hidden="false" outlineLevel="0" max="15" min="15" style="0" width="13.7"/>
    <col collapsed="false" customWidth="true" hidden="false" outlineLevel="0" max="17" min="17" style="0" width="15"/>
    <col collapsed="false" customWidth="true" hidden="false" outlineLevel="0" max="19" min="19" style="0" width="12.71"/>
    <col collapsed="false" customWidth="true" hidden="false" outlineLevel="0" max="23" min="23" style="0" width="17.29"/>
    <col collapsed="false" customWidth="true" hidden="false" outlineLevel="0" max="45" min="45" style="0" width="9.29"/>
    <col collapsed="false" customWidth="true" hidden="false" outlineLevel="0" max="55" min="54" style="0" width="9.42"/>
  </cols>
  <sheetData>
    <row r="1" customFormat="false" ht="61.15" hidden="false" customHeight="false" outlineLevel="0" collapsed="false">
      <c r="A1" s="0" t="s">
        <v>1449</v>
      </c>
      <c r="B1" s="0" t="s">
        <v>872</v>
      </c>
      <c r="C1" s="0" t="s">
        <v>859</v>
      </c>
      <c r="D1" s="44" t="s">
        <v>1450</v>
      </c>
      <c r="E1" s="0" t="s">
        <v>881</v>
      </c>
      <c r="F1" s="0" t="s">
        <v>882</v>
      </c>
      <c r="G1" s="44" t="s">
        <v>286</v>
      </c>
      <c r="H1" s="44" t="s">
        <v>875</v>
      </c>
      <c r="I1" s="44" t="s">
        <v>876</v>
      </c>
      <c r="J1" s="0" t="n">
        <v>100</v>
      </c>
      <c r="K1" s="0" t="n">
        <v>80</v>
      </c>
      <c r="L1" s="0" t="n">
        <v>63</v>
      </c>
      <c r="M1" s="0" t="n">
        <v>40</v>
      </c>
      <c r="N1" s="0" t="n">
        <v>20</v>
      </c>
      <c r="O1" s="0" t="s">
        <v>1451</v>
      </c>
      <c r="P1" s="18" t="s">
        <v>946</v>
      </c>
      <c r="Q1" s="224" t="s">
        <v>1452</v>
      </c>
      <c r="R1" s="225" t="s">
        <v>948</v>
      </c>
      <c r="S1" s="164" t="s">
        <v>1452</v>
      </c>
      <c r="T1" s="225" t="s">
        <v>948</v>
      </c>
      <c r="U1" s="164" t="s">
        <v>1452</v>
      </c>
      <c r="V1" s="225" t="s">
        <v>948</v>
      </c>
      <c r="W1" s="164" t="s">
        <v>1452</v>
      </c>
      <c r="X1" s="225" t="s">
        <v>948</v>
      </c>
      <c r="Y1" s="164" t="s">
        <v>1452</v>
      </c>
      <c r="Z1" s="225" t="s">
        <v>948</v>
      </c>
      <c r="AA1" s="164" t="s">
        <v>1452</v>
      </c>
      <c r="AB1" s="225" t="s">
        <v>948</v>
      </c>
      <c r="AC1" s="164" t="s">
        <v>1452</v>
      </c>
      <c r="AD1" s="225" t="s">
        <v>948</v>
      </c>
      <c r="AE1" s="164" t="s">
        <v>1452</v>
      </c>
      <c r="AF1" s="225" t="s">
        <v>948</v>
      </c>
      <c r="AG1" s="164" t="s">
        <v>1452</v>
      </c>
      <c r="AH1" s="225" t="s">
        <v>948</v>
      </c>
      <c r="AI1" s="164" t="s">
        <v>1452</v>
      </c>
      <c r="AJ1" s="225" t="s">
        <v>948</v>
      </c>
      <c r="AK1" s="164" t="s">
        <v>1452</v>
      </c>
      <c r="AL1" s="225" t="s">
        <v>948</v>
      </c>
      <c r="AM1" s="164" t="s">
        <v>1452</v>
      </c>
      <c r="AN1" s="225" t="s">
        <v>948</v>
      </c>
      <c r="AO1" s="164" t="s">
        <v>1452</v>
      </c>
      <c r="AP1" s="225" t="s">
        <v>948</v>
      </c>
      <c r="AQ1" s="164" t="s">
        <v>1452</v>
      </c>
      <c r="AR1" s="225" t="s">
        <v>948</v>
      </c>
      <c r="AS1" s="164" t="s">
        <v>1452</v>
      </c>
      <c r="AT1" s="225"/>
      <c r="AU1" s="164" t="s">
        <v>1452</v>
      </c>
      <c r="AV1" s="225"/>
      <c r="AW1" s="164" t="s">
        <v>1452</v>
      </c>
      <c r="AX1" s="164" t="s">
        <v>1453</v>
      </c>
      <c r="AY1" s="164" t="s">
        <v>1454</v>
      </c>
      <c r="AZ1" s="166" t="s">
        <v>1455</v>
      </c>
      <c r="BA1" s="166" t="s">
        <v>1456</v>
      </c>
      <c r="BB1" s="44" t="s">
        <v>1457</v>
      </c>
      <c r="BC1" s="44" t="s">
        <v>1458</v>
      </c>
    </row>
    <row r="2" customFormat="false" ht="13.15" hidden="false" customHeight="false" outlineLevel="0" collapsed="false">
      <c r="A2" s="0" t="str">
        <f aca="false">[2]Sheet1!A2</f>
        <v>CAMN02_SEC_WALL_CBDB_01</v>
      </c>
      <c r="B2" s="0" t="str">
        <f aca="false">[2]Sheet1!B2</f>
        <v>CAMN02;DC SYS01</v>
      </c>
      <c r="C2" s="44" t="str">
        <f aca="false">[2]Sheet1!C2</f>
        <v>CAMN02</v>
      </c>
      <c r="D2" s="44" t="s">
        <v>482</v>
      </c>
      <c r="E2" s="0" t="n">
        <f aca="false">[2]Sheet1!D2</f>
        <v>0</v>
      </c>
      <c r="F2" s="0" t="n">
        <f aca="false">[2]Sheet1!E2</f>
        <v>0</v>
      </c>
      <c r="G2" s="45" t="n">
        <f aca="false">[2]Sheet1!F2</f>
        <v>0</v>
      </c>
      <c r="H2" s="0" t="n">
        <f aca="false">[2]Sheet1!G2</f>
        <v>300</v>
      </c>
      <c r="I2" s="0" t="n">
        <f aca="false">[2]Sheet1!H2</f>
        <v>300</v>
      </c>
      <c r="J2" s="0" t="n">
        <f aca="false">[2]Sheet1!I2</f>
        <v>0</v>
      </c>
      <c r="K2" s="0" t="n">
        <f aca="false">[2]Sheet1!J2</f>
        <v>1</v>
      </c>
      <c r="L2" s="0" t="n">
        <f aca="false">[2]Sheet1!K2</f>
        <v>0</v>
      </c>
      <c r="M2" s="0" t="n">
        <f aca="false">[2]Sheet1!L2</f>
        <v>0</v>
      </c>
      <c r="N2" s="0" t="n">
        <f aca="false">[2]Sheet1!M2</f>
        <v>0</v>
      </c>
      <c r="O2" s="0" t="n">
        <f aca="false">[2]Sheet1!N2</f>
        <v>0</v>
      </c>
      <c r="P2" s="226" t="n">
        <f aca="false">SUM(AY2+BA2)</f>
        <v>0</v>
      </c>
      <c r="Q2" s="201"/>
      <c r="R2" s="71"/>
      <c r="S2" s="227"/>
      <c r="T2" s="71"/>
      <c r="U2" s="201"/>
      <c r="V2" s="71"/>
      <c r="W2" s="227"/>
      <c r="X2" s="71"/>
      <c r="Y2" s="201"/>
      <c r="Z2" s="71"/>
      <c r="AA2" s="227"/>
      <c r="AB2" s="71"/>
      <c r="AC2" s="201"/>
      <c r="AD2" s="71"/>
      <c r="AE2" s="227"/>
      <c r="AF2" s="71"/>
      <c r="AG2" s="201"/>
      <c r="AH2" s="71"/>
      <c r="AI2" s="227"/>
      <c r="AJ2" s="71"/>
      <c r="AK2" s="201"/>
      <c r="AL2" s="71"/>
      <c r="AM2" s="227"/>
      <c r="AN2" s="71"/>
      <c r="AO2" s="201"/>
      <c r="AP2" s="71"/>
      <c r="AQ2" s="227"/>
      <c r="AR2" s="71"/>
      <c r="AS2" s="227"/>
      <c r="AT2" s="228"/>
      <c r="AU2" s="227"/>
      <c r="AV2" s="228"/>
      <c r="AW2" s="227"/>
      <c r="AX2" s="229" t="n">
        <f aca="false">SUM(R2+T2+V2+X2+Z2+AB2+AD2+AF2+AH2+AJ2+AL2+AN2+AP2+AR2)</f>
        <v>0</v>
      </c>
      <c r="AY2" s="230" t="n">
        <f aca="false">SUM(AX2*1000)/48</f>
        <v>0</v>
      </c>
      <c r="AZ2" s="231" t="n">
        <f aca="false">IFERROR(VLOOKUP(A2,'Site check'!$A$14:$O$47,15,0),0)</f>
        <v>0</v>
      </c>
      <c r="BA2" s="232" t="n">
        <f aca="false">SUM(AZ2*1000)/48</f>
        <v>0</v>
      </c>
      <c r="BB2" s="90" t="n">
        <f aca="false">SUM(P2/2)+E2</f>
        <v>0</v>
      </c>
      <c r="BC2" s="90" t="n">
        <f aca="false">SUM(P2/2)+F2</f>
        <v>0</v>
      </c>
    </row>
    <row r="3" customFormat="false" ht="13.15" hidden="false" customHeight="false" outlineLevel="0" collapsed="false">
      <c r="A3" s="0" t="str">
        <f aca="false">[2]Sheet1!A3</f>
        <v>CAMN02_SEC_WALL_CBDB_02</v>
      </c>
      <c r="B3" s="0" t="str">
        <f aca="false">[2]Sheet1!B3</f>
        <v>CAMN02;DC SYS01</v>
      </c>
      <c r="C3" s="44" t="str">
        <f aca="false">[2]Sheet1!C3</f>
        <v>CAMN02</v>
      </c>
      <c r="D3" s="44" t="s">
        <v>482</v>
      </c>
      <c r="E3" s="0" t="n">
        <f aca="false">[2]Sheet1!D3</f>
        <v>0</v>
      </c>
      <c r="F3" s="0" t="n">
        <f aca="false">[2]Sheet1!E3</f>
        <v>0</v>
      </c>
      <c r="G3" s="45" t="n">
        <f aca="false">[2]Sheet1!F3</f>
        <v>0</v>
      </c>
      <c r="H3" s="0" t="n">
        <f aca="false">[2]Sheet1!G3</f>
        <v>300</v>
      </c>
      <c r="I3" s="0" t="n">
        <f aca="false">[2]Sheet1!H3</f>
        <v>300</v>
      </c>
      <c r="J3" s="0" t="n">
        <f aca="false">[2]Sheet1!I3</f>
        <v>0</v>
      </c>
      <c r="K3" s="0" t="n">
        <f aca="false">[2]Sheet1!J3</f>
        <v>0</v>
      </c>
      <c r="L3" s="0" t="n">
        <f aca="false">[2]Sheet1!K3</f>
        <v>0</v>
      </c>
      <c r="M3" s="0" t="n">
        <f aca="false">[2]Sheet1!L3</f>
        <v>2</v>
      </c>
      <c r="N3" s="0" t="n">
        <f aca="false">[2]Sheet1!M3</f>
        <v>0</v>
      </c>
      <c r="O3" s="0" t="n">
        <f aca="false">[2]Sheet1!N3</f>
        <v>2</v>
      </c>
      <c r="P3" s="226" t="n">
        <f aca="false">SUM(AY3+BA3)</f>
        <v>20.8333333333333</v>
      </c>
      <c r="Q3" s="204" t="s">
        <v>1108</v>
      </c>
      <c r="R3" s="221" t="n">
        <v>1</v>
      </c>
      <c r="S3" s="227"/>
      <c r="T3" s="71"/>
      <c r="U3" s="201"/>
      <c r="V3" s="71"/>
      <c r="W3" s="227"/>
      <c r="X3" s="71"/>
      <c r="Y3" s="201"/>
      <c r="Z3" s="71"/>
      <c r="AA3" s="227"/>
      <c r="AB3" s="71"/>
      <c r="AC3" s="201"/>
      <c r="AD3" s="71"/>
      <c r="AE3" s="227"/>
      <c r="AF3" s="71"/>
      <c r="AG3" s="201"/>
      <c r="AH3" s="71"/>
      <c r="AI3" s="227"/>
      <c r="AJ3" s="71"/>
      <c r="AK3" s="201"/>
      <c r="AL3" s="71"/>
      <c r="AM3" s="227"/>
      <c r="AN3" s="71"/>
      <c r="AO3" s="201"/>
      <c r="AP3" s="71"/>
      <c r="AQ3" s="227"/>
      <c r="AR3" s="71"/>
      <c r="AS3" s="227"/>
      <c r="AT3" s="228"/>
      <c r="AU3" s="227"/>
      <c r="AV3" s="228"/>
      <c r="AW3" s="227"/>
      <c r="AX3" s="229" t="n">
        <f aca="false">SUM(R3+T3+V3+X3+Z3+AB3+AD3+AF3+AH3+AJ3+AL3+AN3+AP3+AR3)</f>
        <v>1</v>
      </c>
      <c r="AY3" s="230" t="n">
        <f aca="false">SUM(AX3*1000)/48</f>
        <v>20.8333333333333</v>
      </c>
      <c r="AZ3" s="231" t="n">
        <f aca="false">IFERROR(VLOOKUP(A3,'Site check'!$A$14:$O$47,15,0),0)</f>
        <v>0</v>
      </c>
      <c r="BA3" s="232" t="n">
        <f aca="false">SUM(AZ3*1000)/48</f>
        <v>0</v>
      </c>
      <c r="BB3" s="90" t="n">
        <f aca="false">SUM(P3/2)+E3</f>
        <v>10.4166666666667</v>
      </c>
      <c r="BC3" s="90" t="n">
        <f aca="false">SUM(P3/2)+F3</f>
        <v>10.4166666666667</v>
      </c>
    </row>
    <row r="4" customFormat="false" ht="13.15" hidden="false" customHeight="false" outlineLevel="0" collapsed="false">
      <c r="A4" s="0" t="str">
        <f aca="false">[2]Sheet1!A4</f>
        <v>CAMN02_SYS01_PER_01</v>
      </c>
      <c r="B4" s="0" t="str">
        <f aca="false">[2]Sheet1!B4</f>
        <v>CAMN02;DC SYS01</v>
      </c>
      <c r="C4" s="44" t="str">
        <f aca="false">[2]Sheet1!C4</f>
        <v>CAMN02</v>
      </c>
      <c r="D4" s="44" t="s">
        <v>482</v>
      </c>
      <c r="E4" s="0" t="n">
        <f aca="false">[2]Sheet1!D4</f>
        <v>0</v>
      </c>
      <c r="F4" s="0" t="n">
        <f aca="false">[2]Sheet1!E4</f>
        <v>0</v>
      </c>
      <c r="G4" s="45" t="n">
        <f aca="false">[2]Sheet1!F4</f>
        <v>0</v>
      </c>
      <c r="H4" s="0" t="n">
        <f aca="false">[2]Sheet1!G4</f>
        <v>300</v>
      </c>
      <c r="I4" s="0" t="n">
        <f aca="false">[2]Sheet1!H4</f>
        <v>300</v>
      </c>
      <c r="J4" s="0" t="n">
        <f aca="false">[2]Sheet1!I4</f>
        <v>0</v>
      </c>
      <c r="K4" s="0" t="n">
        <f aca="false">[2]Sheet1!J4</f>
        <v>8</v>
      </c>
      <c r="L4" s="0" t="n">
        <f aca="false">[2]Sheet1!K4</f>
        <v>0</v>
      </c>
      <c r="M4" s="0" t="n">
        <f aca="false">[2]Sheet1!L4</f>
        <v>0</v>
      </c>
      <c r="N4" s="0" t="n">
        <f aca="false">[2]Sheet1!M4</f>
        <v>0</v>
      </c>
      <c r="O4" s="0" t="n">
        <f aca="false">[2]Sheet1!N4</f>
        <v>0</v>
      </c>
      <c r="P4" s="226" t="n">
        <f aca="false">SUM(AY4+BA4)</f>
        <v>0</v>
      </c>
      <c r="Q4" s="201"/>
      <c r="R4" s="71"/>
      <c r="S4" s="227"/>
      <c r="T4" s="71"/>
      <c r="U4" s="201"/>
      <c r="V4" s="71"/>
      <c r="W4" s="227"/>
      <c r="X4" s="71"/>
      <c r="Y4" s="201"/>
      <c r="Z4" s="71"/>
      <c r="AA4" s="227"/>
      <c r="AB4" s="71"/>
      <c r="AC4" s="201"/>
      <c r="AD4" s="71"/>
      <c r="AE4" s="227"/>
      <c r="AF4" s="71"/>
      <c r="AG4" s="201"/>
      <c r="AH4" s="71"/>
      <c r="AI4" s="227"/>
      <c r="AJ4" s="71"/>
      <c r="AK4" s="201"/>
      <c r="AL4" s="71"/>
      <c r="AM4" s="227"/>
      <c r="AN4" s="71"/>
      <c r="AO4" s="201"/>
      <c r="AP4" s="71"/>
      <c r="AQ4" s="227"/>
      <c r="AR4" s="71"/>
      <c r="AS4" s="227"/>
      <c r="AT4" s="228"/>
      <c r="AU4" s="227"/>
      <c r="AV4" s="228"/>
      <c r="AW4" s="227"/>
      <c r="AX4" s="229" t="n">
        <f aca="false">SUM(R4+T4+V4+X4+Z4+AB4+AD4+AF4+AH4+AJ4+AL4+AN4+AP4+AR4)</f>
        <v>0</v>
      </c>
      <c r="AY4" s="230" t="n">
        <f aca="false">SUM(AX4*1000)/48</f>
        <v>0</v>
      </c>
      <c r="AZ4" s="231" t="n">
        <f aca="false">IFERROR(VLOOKUP(A4,'Site check'!$A$14:$O$47,15,0),0)</f>
        <v>0</v>
      </c>
      <c r="BA4" s="232" t="n">
        <f aca="false">SUM(AZ4*1000)/48</f>
        <v>0</v>
      </c>
      <c r="BB4" s="90" t="n">
        <f aca="false">SUM(P4/2)+E4</f>
        <v>0</v>
      </c>
      <c r="BC4" s="90" t="n">
        <f aca="false">SUM(P4/2)+F4</f>
        <v>0</v>
      </c>
    </row>
    <row r="5" customFormat="false" ht="13.15" hidden="false" customHeight="false" outlineLevel="0" collapsed="false">
      <c r="A5" s="0" t="str">
        <f aca="false">[2]Sheet1!A5</f>
        <v>CAMN41_SEC_CBDB_BC01</v>
      </c>
      <c r="B5" s="0" t="str">
        <f aca="false">[2]Sheet1!B5</f>
        <v>CAMN41;DC SYS01</v>
      </c>
      <c r="C5" s="44" t="str">
        <f aca="false">[2]Sheet1!C5</f>
        <v>CAMN41</v>
      </c>
      <c r="D5" s="44" t="s">
        <v>483</v>
      </c>
      <c r="E5" s="0" t="n">
        <f aca="false">[2]Sheet1!D5</f>
        <v>40</v>
      </c>
      <c r="F5" s="0" t="n">
        <f aca="false">[2]Sheet1!E5</f>
        <v>40</v>
      </c>
      <c r="G5" s="45" t="n">
        <f aca="false">[2]Sheet1!F5</f>
        <v>44243</v>
      </c>
      <c r="H5" s="0" t="n">
        <f aca="false">[2]Sheet1!G5</f>
        <v>300</v>
      </c>
      <c r="I5" s="0" t="n">
        <f aca="false">[2]Sheet1!H5</f>
        <v>300</v>
      </c>
      <c r="J5" s="0" t="n">
        <f aca="false">[2]Sheet1!I5</f>
        <v>8</v>
      </c>
      <c r="K5" s="0" t="n">
        <f aca="false">[2]Sheet1!J5</f>
        <v>10</v>
      </c>
      <c r="L5" s="0" t="n">
        <f aca="false">[2]Sheet1!K5</f>
        <v>1</v>
      </c>
      <c r="M5" s="0" t="n">
        <f aca="false">[2]Sheet1!L5</f>
        <v>0</v>
      </c>
      <c r="N5" s="0" t="n">
        <f aca="false">[2]Sheet1!M5</f>
        <v>0</v>
      </c>
      <c r="O5" s="0" t="n">
        <f aca="false">[2]Sheet1!N5</f>
        <v>17</v>
      </c>
      <c r="P5" s="226" t="n">
        <f aca="false">SUM(AY5+BA5)</f>
        <v>0</v>
      </c>
      <c r="Q5" s="179"/>
      <c r="R5" s="233"/>
      <c r="S5" s="227"/>
      <c r="T5" s="71"/>
      <c r="U5" s="201"/>
      <c r="V5" s="71"/>
      <c r="W5" s="227"/>
      <c r="X5" s="71"/>
      <c r="Y5" s="201"/>
      <c r="Z5" s="71"/>
      <c r="AA5" s="227"/>
      <c r="AB5" s="71"/>
      <c r="AC5" s="201"/>
      <c r="AD5" s="71"/>
      <c r="AE5" s="227"/>
      <c r="AF5" s="71"/>
      <c r="AG5" s="201"/>
      <c r="AH5" s="71"/>
      <c r="AI5" s="227"/>
      <c r="AJ5" s="71"/>
      <c r="AK5" s="201"/>
      <c r="AL5" s="71"/>
      <c r="AM5" s="227"/>
      <c r="AN5" s="71"/>
      <c r="AO5" s="201"/>
      <c r="AP5" s="71"/>
      <c r="AQ5" s="227"/>
      <c r="AR5" s="71"/>
      <c r="AS5" s="227"/>
      <c r="AT5" s="228"/>
      <c r="AU5" s="227"/>
      <c r="AV5" s="228"/>
      <c r="AW5" s="227"/>
      <c r="AX5" s="229" t="n">
        <f aca="false">SUM(R5+T5+V5+X5+Z5+AB5+AD5+AF5+AH5+AJ5+AL5+AN5+AP5+AR5)</f>
        <v>0</v>
      </c>
      <c r="AY5" s="230" t="n">
        <f aca="false">SUM(AX5*1000)/48</f>
        <v>0</v>
      </c>
      <c r="AZ5" s="231" t="n">
        <f aca="false">IFERROR(VLOOKUP(A5,'Site check'!$A$14:$O$47,15,0),0)</f>
        <v>0</v>
      </c>
      <c r="BA5" s="232" t="n">
        <f aca="false">SUM(AZ5*1000)/48</f>
        <v>0</v>
      </c>
      <c r="BB5" s="90" t="n">
        <f aca="false">SUM(P5/2)+E5</f>
        <v>40</v>
      </c>
      <c r="BC5" s="90" t="n">
        <f aca="false">SUM(P5/2)+F5</f>
        <v>40</v>
      </c>
    </row>
    <row r="6" customFormat="false" ht="13.15" hidden="false" customHeight="false" outlineLevel="0" collapsed="false">
      <c r="A6" s="0" t="str">
        <f aca="false">[2]Sheet1!A6</f>
        <v>CFDTN1_SEC_WALL_CBDB_1</v>
      </c>
      <c r="B6" s="0" t="str">
        <f aca="false">[2]Sheet1!B6</f>
        <v>CFDTN1;DC SYS01</v>
      </c>
      <c r="C6" s="44" t="str">
        <f aca="false">[2]Sheet1!C6</f>
        <v>CFDTN1</v>
      </c>
      <c r="D6" s="44" t="s">
        <v>494</v>
      </c>
      <c r="E6" s="0" t="n">
        <f aca="false">[2]Sheet1!D6</f>
        <v>0</v>
      </c>
      <c r="F6" s="0" t="n">
        <f aca="false">[2]Sheet1!E6</f>
        <v>0</v>
      </c>
      <c r="G6" s="45" t="n">
        <f aca="false">[2]Sheet1!F6</f>
        <v>45055</v>
      </c>
      <c r="H6" s="0" t="n">
        <f aca="false">[2]Sheet1!G6</f>
        <v>50</v>
      </c>
      <c r="I6" s="0" t="n">
        <f aca="false">[2]Sheet1!H6</f>
        <v>50</v>
      </c>
      <c r="J6" s="0" t="n">
        <f aca="false">[2]Sheet1!I6</f>
        <v>0</v>
      </c>
      <c r="K6" s="0" t="n">
        <f aca="false">[2]Sheet1!J6</f>
        <v>3</v>
      </c>
      <c r="L6" s="0" t="n">
        <f aca="false">[2]Sheet1!K6</f>
        <v>0</v>
      </c>
      <c r="M6" s="0" t="n">
        <f aca="false">[2]Sheet1!L6</f>
        <v>0</v>
      </c>
      <c r="N6" s="0" t="n">
        <f aca="false">[2]Sheet1!M6</f>
        <v>0</v>
      </c>
      <c r="O6" s="0" t="n">
        <f aca="false">[2]Sheet1!N6</f>
        <v>0</v>
      </c>
      <c r="P6" s="226" t="n">
        <f aca="false">SUM(AY6+BA6)</f>
        <v>0</v>
      </c>
      <c r="Q6" s="201"/>
      <c r="R6" s="71"/>
      <c r="S6" s="227"/>
      <c r="T6" s="71"/>
      <c r="U6" s="201"/>
      <c r="V6" s="71"/>
      <c r="W6" s="227"/>
      <c r="X6" s="71"/>
      <c r="Y6" s="201"/>
      <c r="Z6" s="71"/>
      <c r="AA6" s="227"/>
      <c r="AB6" s="71"/>
      <c r="AC6" s="201"/>
      <c r="AD6" s="71"/>
      <c r="AE6" s="227"/>
      <c r="AF6" s="71"/>
      <c r="AG6" s="201"/>
      <c r="AH6" s="71"/>
      <c r="AI6" s="227"/>
      <c r="AJ6" s="71"/>
      <c r="AK6" s="201"/>
      <c r="AL6" s="71"/>
      <c r="AM6" s="227"/>
      <c r="AN6" s="71"/>
      <c r="AO6" s="201"/>
      <c r="AP6" s="71"/>
      <c r="AQ6" s="227"/>
      <c r="AR6" s="71"/>
      <c r="AS6" s="227"/>
      <c r="AT6" s="228"/>
      <c r="AU6" s="227"/>
      <c r="AV6" s="228"/>
      <c r="AW6" s="227"/>
      <c r="AX6" s="229" t="n">
        <f aca="false">SUM(R6+T6+V6+X6+Z6+AB6+AD6+AF6+AH6+AJ6+AL6+AN6+AP6+AR6)</f>
        <v>0</v>
      </c>
      <c r="AY6" s="230" t="n">
        <f aca="false">SUM(AX6*1000)/48</f>
        <v>0</v>
      </c>
      <c r="AZ6" s="231" t="n">
        <f aca="false">IFERROR(VLOOKUP(A6,'Site check'!$A$14:$O$47,15,0),0)</f>
        <v>0</v>
      </c>
      <c r="BA6" s="232" t="n">
        <f aca="false">SUM(AZ6*1000)/48</f>
        <v>0</v>
      </c>
      <c r="BB6" s="90" t="n">
        <f aca="false">SUM(P6/2)+E6</f>
        <v>0</v>
      </c>
      <c r="BC6" s="90" t="n">
        <f aca="false">SUM(P6/2)+F6</f>
        <v>0</v>
      </c>
    </row>
    <row r="7" customFormat="false" ht="13.15" hidden="false" customHeight="false" outlineLevel="0" collapsed="false">
      <c r="A7" s="0" t="str">
        <f aca="false">[2]Sheet1!A7</f>
        <v>CFDTN1_SEC_WALL_CBDB_2</v>
      </c>
      <c r="B7" s="0" t="str">
        <f aca="false">[2]Sheet1!B7</f>
        <v>CFDTN1;DC SYS01</v>
      </c>
      <c r="C7" s="44" t="str">
        <f aca="false">[2]Sheet1!C7</f>
        <v>CFDTN1</v>
      </c>
      <c r="D7" s="44" t="s">
        <v>494</v>
      </c>
      <c r="E7" s="0" t="n">
        <f aca="false">[2]Sheet1!D7</f>
        <v>0</v>
      </c>
      <c r="F7" s="0" t="n">
        <f aca="false">[2]Sheet1!E7</f>
        <v>0</v>
      </c>
      <c r="G7" s="45" t="n">
        <f aca="false">[2]Sheet1!F7</f>
        <v>45055</v>
      </c>
      <c r="H7" s="0" t="n">
        <f aca="false">[2]Sheet1!G7</f>
        <v>100</v>
      </c>
      <c r="I7" s="0" t="n">
        <f aca="false">[2]Sheet1!H7</f>
        <v>0</v>
      </c>
      <c r="J7" s="0" t="n">
        <f aca="false">[2]Sheet1!I7</f>
        <v>0</v>
      </c>
      <c r="K7" s="0" t="n">
        <f aca="false">[2]Sheet1!J7</f>
        <v>0</v>
      </c>
      <c r="L7" s="0" t="n">
        <f aca="false">[2]Sheet1!K7</f>
        <v>0</v>
      </c>
      <c r="M7" s="0" t="n">
        <f aca="false">[2]Sheet1!L7</f>
        <v>0</v>
      </c>
      <c r="N7" s="0" t="n">
        <f aca="false">[2]Sheet1!M7</f>
        <v>0</v>
      </c>
      <c r="O7" s="0" t="n">
        <f aca="false">[2]Sheet1!N7</f>
        <v>0</v>
      </c>
      <c r="P7" s="226" t="n">
        <f aca="false">SUM(AY7+BA7)</f>
        <v>0</v>
      </c>
      <c r="Q7" s="201"/>
      <c r="R7" s="71"/>
      <c r="S7" s="227"/>
      <c r="T7" s="71"/>
      <c r="U7" s="201"/>
      <c r="V7" s="71"/>
      <c r="W7" s="227"/>
      <c r="X7" s="71"/>
      <c r="Y7" s="201"/>
      <c r="Z7" s="71"/>
      <c r="AA7" s="227"/>
      <c r="AB7" s="71"/>
      <c r="AC7" s="201"/>
      <c r="AD7" s="71"/>
      <c r="AE7" s="227"/>
      <c r="AF7" s="71"/>
      <c r="AG7" s="201"/>
      <c r="AH7" s="71"/>
      <c r="AI7" s="227"/>
      <c r="AJ7" s="71"/>
      <c r="AK7" s="201"/>
      <c r="AL7" s="71"/>
      <c r="AM7" s="227"/>
      <c r="AN7" s="71"/>
      <c r="AO7" s="201"/>
      <c r="AP7" s="71"/>
      <c r="AQ7" s="227"/>
      <c r="AR7" s="71"/>
      <c r="AS7" s="227"/>
      <c r="AT7" s="228"/>
      <c r="AU7" s="227"/>
      <c r="AV7" s="228"/>
      <c r="AW7" s="227"/>
      <c r="AX7" s="229" t="n">
        <f aca="false">SUM(R7+T7+V7+X7+Z7+AB7+AD7+AF7+AH7+AJ7+AL7+AN7+AP7+AR7)</f>
        <v>0</v>
      </c>
      <c r="AY7" s="230" t="n">
        <f aca="false">SUM(AX7*1000)/48</f>
        <v>0</v>
      </c>
      <c r="AZ7" s="231" t="n">
        <f aca="false">IFERROR(VLOOKUP(A7,'Site check'!$A$14:$O$47,15,0),0)</f>
        <v>0</v>
      </c>
      <c r="BA7" s="232" t="n">
        <f aca="false">SUM(AZ7*1000)/48</f>
        <v>0</v>
      </c>
      <c r="BB7" s="90" t="n">
        <f aca="false">SUM(P7/2)+E7</f>
        <v>0</v>
      </c>
      <c r="BC7" s="90" t="n">
        <f aca="false">SUM(P7/2)+F7</f>
        <v>0</v>
      </c>
    </row>
    <row r="8" customFormat="false" ht="13.15" hidden="false" customHeight="false" outlineLevel="0" collapsed="false">
      <c r="A8" s="0" t="str">
        <f aca="false">[2]Sheet1!A8</f>
        <v>CFDTN1_SEC_WALL_CBDB_3</v>
      </c>
      <c r="B8" s="0" t="str">
        <f aca="false">[2]Sheet1!B8</f>
        <v>CFDTN1;DC SYS01</v>
      </c>
      <c r="C8" s="44" t="str">
        <f aca="false">[2]Sheet1!C8</f>
        <v>CFDTN1</v>
      </c>
      <c r="D8" s="44" t="s">
        <v>494</v>
      </c>
      <c r="E8" s="0" t="n">
        <f aca="false">[2]Sheet1!D8</f>
        <v>0</v>
      </c>
      <c r="F8" s="0" t="n">
        <f aca="false">[2]Sheet1!E8</f>
        <v>0</v>
      </c>
      <c r="G8" s="45" t="n">
        <f aca="false">[2]Sheet1!F8</f>
        <v>45055</v>
      </c>
      <c r="H8" s="0" t="n">
        <f aca="false">[2]Sheet1!G8</f>
        <v>0</v>
      </c>
      <c r="I8" s="0" t="n">
        <f aca="false">[2]Sheet1!H8</f>
        <v>0</v>
      </c>
      <c r="J8" s="0" t="n">
        <f aca="false">[2]Sheet1!I8</f>
        <v>0</v>
      </c>
      <c r="K8" s="0" t="n">
        <f aca="false">[2]Sheet1!J8</f>
        <v>0</v>
      </c>
      <c r="L8" s="0" t="n">
        <f aca="false">[2]Sheet1!K8</f>
        <v>0</v>
      </c>
      <c r="M8" s="0" t="n">
        <f aca="false">[2]Sheet1!L8</f>
        <v>2</v>
      </c>
      <c r="N8" s="0" t="n">
        <f aca="false">[2]Sheet1!M8</f>
        <v>0</v>
      </c>
      <c r="O8" s="0" t="n">
        <f aca="false">[2]Sheet1!N8</f>
        <v>0</v>
      </c>
      <c r="P8" s="226" t="n">
        <f aca="false">SUM(AY8+BA8)</f>
        <v>0</v>
      </c>
      <c r="Q8" s="201"/>
      <c r="R8" s="71"/>
      <c r="S8" s="227"/>
      <c r="T8" s="71"/>
      <c r="U8" s="201"/>
      <c r="V8" s="71"/>
      <c r="W8" s="227"/>
      <c r="X8" s="71"/>
      <c r="Y8" s="201"/>
      <c r="Z8" s="71"/>
      <c r="AA8" s="227"/>
      <c r="AB8" s="71"/>
      <c r="AC8" s="201"/>
      <c r="AD8" s="71"/>
      <c r="AE8" s="227"/>
      <c r="AF8" s="71"/>
      <c r="AG8" s="201"/>
      <c r="AH8" s="71"/>
      <c r="AI8" s="227"/>
      <c r="AJ8" s="71"/>
      <c r="AK8" s="201"/>
      <c r="AL8" s="71"/>
      <c r="AM8" s="227"/>
      <c r="AN8" s="71"/>
      <c r="AO8" s="201"/>
      <c r="AP8" s="71"/>
      <c r="AQ8" s="227"/>
      <c r="AR8" s="71"/>
      <c r="AS8" s="227"/>
      <c r="AT8" s="228"/>
      <c r="AU8" s="227"/>
      <c r="AV8" s="228"/>
      <c r="AW8" s="227"/>
      <c r="AX8" s="229" t="n">
        <f aca="false">SUM(R8+T8+V8+X8+Z8+AB8+AD8+AF8+AH8+AJ8+AL8+AN8+AP8+AR8)</f>
        <v>0</v>
      </c>
      <c r="AY8" s="230" t="n">
        <f aca="false">SUM(AX8*1000)/48</f>
        <v>0</v>
      </c>
      <c r="AZ8" s="231" t="n">
        <f aca="false">IFERROR(VLOOKUP(A8,'Site check'!$A$14:$O$47,15,0),0)</f>
        <v>0</v>
      </c>
      <c r="BA8" s="232" t="n">
        <f aca="false">SUM(AZ8*1000)/48</f>
        <v>0</v>
      </c>
      <c r="BB8" s="90" t="n">
        <f aca="false">SUM(P8/2)+E8</f>
        <v>0</v>
      </c>
      <c r="BC8" s="90" t="n">
        <f aca="false">SUM(P8/2)+F8</f>
        <v>0</v>
      </c>
    </row>
    <row r="9" customFormat="false" ht="13.15" hidden="false" customHeight="false" outlineLevel="0" collapsed="false">
      <c r="A9" s="0" t="str">
        <f aca="false">[2]Sheet1!A9</f>
        <v>CFDTN1_SEC_WALL_CBDB_4</v>
      </c>
      <c r="B9" s="0" t="str">
        <f aca="false">[2]Sheet1!B9</f>
        <v>CFDTN1;DC SYS01</v>
      </c>
      <c r="C9" s="44" t="str">
        <f aca="false">[2]Sheet1!C9</f>
        <v>CFDTN1</v>
      </c>
      <c r="D9" s="44" t="s">
        <v>494</v>
      </c>
      <c r="E9" s="0" t="n">
        <f aca="false">[2]Sheet1!D9</f>
        <v>0</v>
      </c>
      <c r="F9" s="0" t="n">
        <f aca="false">[2]Sheet1!E9</f>
        <v>0</v>
      </c>
      <c r="G9" s="45" t="n">
        <f aca="false">[2]Sheet1!F9</f>
        <v>45055</v>
      </c>
      <c r="H9" s="0" t="n">
        <f aca="false">[2]Sheet1!G9</f>
        <v>375</v>
      </c>
      <c r="I9" s="0" t="n">
        <f aca="false">[2]Sheet1!H9</f>
        <v>0</v>
      </c>
      <c r="J9" s="0" t="n">
        <f aca="false">[2]Sheet1!I9</f>
        <v>0</v>
      </c>
      <c r="K9" s="0" t="n">
        <f aca="false">[2]Sheet1!J9</f>
        <v>1</v>
      </c>
      <c r="L9" s="0" t="n">
        <f aca="false">[2]Sheet1!K9</f>
        <v>0</v>
      </c>
      <c r="M9" s="0" t="n">
        <f aca="false">[2]Sheet1!L9</f>
        <v>0</v>
      </c>
      <c r="N9" s="0" t="n">
        <f aca="false">[2]Sheet1!M9</f>
        <v>0</v>
      </c>
      <c r="O9" s="0" t="n">
        <f aca="false">[2]Sheet1!N9</f>
        <v>2</v>
      </c>
      <c r="P9" s="226" t="n">
        <f aca="false">SUM(AY9+BA9)</f>
        <v>0</v>
      </c>
      <c r="Q9" s="201"/>
      <c r="R9" s="71"/>
      <c r="S9" s="227"/>
      <c r="T9" s="71"/>
      <c r="U9" s="201"/>
      <c r="V9" s="71"/>
      <c r="W9" s="227"/>
      <c r="X9" s="71"/>
      <c r="Y9" s="201"/>
      <c r="Z9" s="71"/>
      <c r="AA9" s="227"/>
      <c r="AB9" s="71"/>
      <c r="AC9" s="201"/>
      <c r="AD9" s="71"/>
      <c r="AE9" s="227"/>
      <c r="AF9" s="71"/>
      <c r="AG9" s="201"/>
      <c r="AH9" s="71"/>
      <c r="AI9" s="227"/>
      <c r="AJ9" s="71"/>
      <c r="AK9" s="201"/>
      <c r="AL9" s="71"/>
      <c r="AM9" s="227"/>
      <c r="AN9" s="71"/>
      <c r="AO9" s="201"/>
      <c r="AP9" s="71"/>
      <c r="AQ9" s="227"/>
      <c r="AR9" s="71"/>
      <c r="AS9" s="227"/>
      <c r="AT9" s="228"/>
      <c r="AU9" s="227"/>
      <c r="AV9" s="228"/>
      <c r="AW9" s="227"/>
      <c r="AX9" s="229" t="n">
        <f aca="false">SUM(R9+T9+V9+X9+Z9+AB9+AD9+AF9+AH9+AJ9+AL9+AN9+AP9+AR9)</f>
        <v>0</v>
      </c>
      <c r="AY9" s="230" t="n">
        <f aca="false">SUM(AX9*1000)/48</f>
        <v>0</v>
      </c>
      <c r="AZ9" s="231" t="n">
        <f aca="false">IFERROR(VLOOKUP(A9,'Site check'!$A$14:$O$47,15,0),0)</f>
        <v>0</v>
      </c>
      <c r="BA9" s="232" t="n">
        <f aca="false">SUM(AZ9*1000)/48</f>
        <v>0</v>
      </c>
      <c r="BB9" s="90" t="n">
        <f aca="false">SUM(P9/2)+E9</f>
        <v>0</v>
      </c>
      <c r="BC9" s="90" t="n">
        <f aca="false">SUM(P9/2)+F9</f>
        <v>0</v>
      </c>
    </row>
    <row r="10" customFormat="false" ht="13.15" hidden="false" customHeight="false" outlineLevel="0" collapsed="false">
      <c r="A10" s="0" t="str">
        <f aca="false">[2]Sheet1!A10</f>
        <v>CFDTN1_SYS01_PER_01</v>
      </c>
      <c r="B10" s="0" t="str">
        <f aca="false">[2]Sheet1!B10</f>
        <v>CFDTN1;DC SYS01</v>
      </c>
      <c r="C10" s="44" t="str">
        <f aca="false">[2]Sheet1!C10</f>
        <v>CFDTN1</v>
      </c>
      <c r="D10" s="44" t="s">
        <v>494</v>
      </c>
      <c r="E10" s="0" t="n">
        <f aca="false">[2]Sheet1!D10</f>
        <v>0</v>
      </c>
      <c r="F10" s="0" t="n">
        <f aca="false">[2]Sheet1!E10</f>
        <v>0</v>
      </c>
      <c r="G10" s="45" t="n">
        <f aca="false">[2]Sheet1!F10</f>
        <v>0</v>
      </c>
      <c r="H10" s="0" t="n">
        <f aca="false">[2]Sheet1!G10</f>
        <v>300</v>
      </c>
      <c r="I10" s="0" t="n">
        <f aca="false">[2]Sheet1!H10</f>
        <v>300</v>
      </c>
      <c r="J10" s="0" t="n">
        <f aca="false">[2]Sheet1!I10</f>
        <v>0</v>
      </c>
      <c r="K10" s="0" t="n">
        <f aca="false">[2]Sheet1!J10</f>
        <v>0</v>
      </c>
      <c r="L10" s="0" t="n">
        <f aca="false">[2]Sheet1!K10</f>
        <v>0</v>
      </c>
      <c r="M10" s="0" t="n">
        <f aca="false">[2]Sheet1!L10</f>
        <v>0</v>
      </c>
      <c r="N10" s="0" t="n">
        <f aca="false">[2]Sheet1!M10</f>
        <v>0</v>
      </c>
      <c r="O10" s="0" t="n">
        <f aca="false">[2]Sheet1!N10</f>
        <v>0</v>
      </c>
      <c r="P10" s="226" t="n">
        <f aca="false">SUM(AY10+BA10)</f>
        <v>0</v>
      </c>
      <c r="Q10" s="201"/>
      <c r="R10" s="71"/>
      <c r="S10" s="227"/>
      <c r="T10" s="71"/>
      <c r="U10" s="201"/>
      <c r="V10" s="71"/>
      <c r="W10" s="227"/>
      <c r="X10" s="71"/>
      <c r="Y10" s="201"/>
      <c r="Z10" s="71"/>
      <c r="AA10" s="227"/>
      <c r="AB10" s="71"/>
      <c r="AC10" s="201"/>
      <c r="AD10" s="71"/>
      <c r="AE10" s="227"/>
      <c r="AF10" s="71"/>
      <c r="AG10" s="201"/>
      <c r="AH10" s="71"/>
      <c r="AI10" s="227"/>
      <c r="AJ10" s="71"/>
      <c r="AK10" s="201"/>
      <c r="AL10" s="71"/>
      <c r="AM10" s="227"/>
      <c r="AN10" s="71"/>
      <c r="AO10" s="201"/>
      <c r="AP10" s="71"/>
      <c r="AQ10" s="227"/>
      <c r="AR10" s="71"/>
      <c r="AS10" s="227"/>
      <c r="AT10" s="228"/>
      <c r="AU10" s="227"/>
      <c r="AV10" s="228"/>
      <c r="AW10" s="227"/>
      <c r="AX10" s="229" t="n">
        <f aca="false">SUM(R10+T10+V10+X10+Z10+AB10+AD10+AF10+AH10+AJ10+AL10+AN10+AP10+AR10)</f>
        <v>0</v>
      </c>
      <c r="AY10" s="230" t="n">
        <f aca="false">SUM(AX10*1000)/48</f>
        <v>0</v>
      </c>
      <c r="AZ10" s="231" t="n">
        <f aca="false">IFERROR(VLOOKUP(A10,'Site check'!$A$14:$O$47,15,0),0)</f>
        <v>0</v>
      </c>
      <c r="BA10" s="232" t="n">
        <f aca="false">SUM(AZ10*1000)/48</f>
        <v>0</v>
      </c>
      <c r="BB10" s="90" t="n">
        <f aca="false">SUM(P10/2)+E10</f>
        <v>0</v>
      </c>
      <c r="BC10" s="90" t="n">
        <f aca="false">SUM(P10/2)+F10</f>
        <v>0</v>
      </c>
    </row>
    <row r="11" customFormat="false" ht="13.15" hidden="false" customHeight="false" outlineLevel="0" collapsed="false">
      <c r="A11" s="0" t="str">
        <f aca="false">[2]Sheet1!A11</f>
        <v>KLNN01 DCDB01</v>
      </c>
      <c r="B11" s="0" t="str">
        <f aca="false">[2]Sheet1!B11</f>
        <v>KLNN01;DC SYS01</v>
      </c>
      <c r="C11" s="44" t="str">
        <f aca="false">[2]Sheet1!C11</f>
        <v>KLNN01</v>
      </c>
      <c r="D11" s="44" t="s">
        <v>633</v>
      </c>
      <c r="E11" s="0" t="str">
        <f aca="false">[2]Sheet1!D11</f>
        <v>EOS ONLY</v>
      </c>
      <c r="F11" s="0" t="n">
        <f aca="false">[2]Sheet1!E11</f>
        <v>0</v>
      </c>
      <c r="G11" s="45" t="n">
        <f aca="false">[2]Sheet1!F11</f>
        <v>0</v>
      </c>
      <c r="H11" s="0" t="n">
        <f aca="false">[2]Sheet1!G11</f>
        <v>0</v>
      </c>
      <c r="I11" s="0" t="n">
        <f aca="false">[2]Sheet1!H11</f>
        <v>0</v>
      </c>
      <c r="J11" s="0" t="n">
        <f aca="false">[2]Sheet1!I11</f>
        <v>0</v>
      </c>
      <c r="K11" s="0" t="n">
        <f aca="false">[2]Sheet1!J11</f>
        <v>0</v>
      </c>
      <c r="L11" s="0" t="n">
        <f aca="false">[2]Sheet1!K11</f>
        <v>0</v>
      </c>
      <c r="M11" s="0" t="n">
        <f aca="false">[2]Sheet1!L11</f>
        <v>0</v>
      </c>
      <c r="N11" s="0" t="n">
        <f aca="false">[2]Sheet1!M11</f>
        <v>0</v>
      </c>
      <c r="O11" s="0" t="n">
        <f aca="false">[2]Sheet1!N11</f>
        <v>0</v>
      </c>
      <c r="P11" s="226" t="n">
        <f aca="false">SUM(AY11+BA11)</f>
        <v>0</v>
      </c>
      <c r="Q11" s="201"/>
      <c r="R11" s="71"/>
      <c r="S11" s="227"/>
      <c r="T11" s="71"/>
      <c r="U11" s="201"/>
      <c r="V11" s="71"/>
      <c r="W11" s="227"/>
      <c r="X11" s="71"/>
      <c r="Y11" s="201"/>
      <c r="Z11" s="71"/>
      <c r="AA11" s="227"/>
      <c r="AB11" s="71"/>
      <c r="AC11" s="201"/>
      <c r="AD11" s="71"/>
      <c r="AE11" s="227"/>
      <c r="AF11" s="71"/>
      <c r="AG11" s="201"/>
      <c r="AH11" s="71"/>
      <c r="AI11" s="227"/>
      <c r="AJ11" s="71"/>
      <c r="AK11" s="201"/>
      <c r="AL11" s="71"/>
      <c r="AM11" s="227"/>
      <c r="AN11" s="71"/>
      <c r="AO11" s="201"/>
      <c r="AP11" s="71"/>
      <c r="AQ11" s="227"/>
      <c r="AR11" s="71"/>
      <c r="AS11" s="227"/>
      <c r="AT11" s="228"/>
      <c r="AU11" s="227"/>
      <c r="AV11" s="228"/>
      <c r="AW11" s="227"/>
      <c r="AX11" s="229" t="n">
        <f aca="false">SUM(R11+T11+V11+X11+Z11+AB11+AD11+AF11+AH11+AJ11+AL11+AN11+AP11+AR11)</f>
        <v>0</v>
      </c>
      <c r="AY11" s="230" t="n">
        <f aca="false">SUM(AX11*1000)/48</f>
        <v>0</v>
      </c>
      <c r="AZ11" s="231" t="n">
        <f aca="false">IFERROR(VLOOKUP(A11,'Site check'!$A$14:$O$47,15,0),0)</f>
        <v>0</v>
      </c>
      <c r="BA11" s="232" t="n">
        <f aca="false">SUM(AZ11*1000)/48</f>
        <v>0</v>
      </c>
      <c r="BB11" s="90" t="e">
        <f aca="false">SUM(P11/2)+E11</f>
        <v>#VALUE!</v>
      </c>
      <c r="BC11" s="90" t="n">
        <f aca="false">SUM(P11/2)+F11</f>
        <v>0</v>
      </c>
    </row>
    <row r="12" customFormat="false" ht="13.15" hidden="false" customHeight="false" outlineLevel="0" collapsed="false">
      <c r="A12" s="0" t="str">
        <f aca="false">[2]Sheet1!A12</f>
        <v>NRWN51_SEC_CBDB_BC01</v>
      </c>
      <c r="B12" s="0" t="str">
        <f aca="false">[2]Sheet1!B12</f>
        <v>NRWN51;DC SYS01</v>
      </c>
      <c r="C12" s="44" t="str">
        <f aca="false">[2]Sheet1!C12</f>
        <v>NRWN51</v>
      </c>
      <c r="D12" s="44" t="s">
        <v>693</v>
      </c>
      <c r="E12" s="0" t="n">
        <f aca="false">[2]Sheet1!D12</f>
        <v>20</v>
      </c>
      <c r="F12" s="0" t="n">
        <f aca="false">[2]Sheet1!E12</f>
        <v>20</v>
      </c>
      <c r="G12" s="45" t="n">
        <f aca="false">[2]Sheet1!F12</f>
        <v>44118</v>
      </c>
      <c r="H12" s="0" t="n">
        <f aca="false">[2]Sheet1!G12</f>
        <v>300</v>
      </c>
      <c r="I12" s="0" t="n">
        <f aca="false">[2]Sheet1!H12</f>
        <v>300</v>
      </c>
      <c r="J12" s="0" t="n">
        <f aca="false">[2]Sheet1!I12</f>
        <v>10</v>
      </c>
      <c r="K12" s="0" t="n">
        <f aca="false">[2]Sheet1!J12</f>
        <v>6</v>
      </c>
      <c r="L12" s="0" t="n">
        <f aca="false">[2]Sheet1!K12</f>
        <v>4</v>
      </c>
      <c r="M12" s="0" t="n">
        <f aca="false">[2]Sheet1!L12</f>
        <v>0</v>
      </c>
      <c r="N12" s="0" t="n">
        <f aca="false">[2]Sheet1!M12</f>
        <v>0</v>
      </c>
      <c r="O12" s="0" t="n">
        <f aca="false">[2]Sheet1!N12</f>
        <v>20</v>
      </c>
      <c r="P12" s="226" t="n">
        <f aca="false">SUM(AY12+BA12)</f>
        <v>104.166666666667</v>
      </c>
      <c r="Q12" s="170" t="s">
        <v>1317</v>
      </c>
      <c r="R12" s="234" t="n">
        <v>5</v>
      </c>
      <c r="S12" s="227"/>
      <c r="T12" s="71"/>
      <c r="U12" s="201"/>
      <c r="V12" s="71"/>
      <c r="W12" s="227"/>
      <c r="X12" s="71"/>
      <c r="Y12" s="201"/>
      <c r="Z12" s="71"/>
      <c r="AA12" s="227"/>
      <c r="AB12" s="71"/>
      <c r="AC12" s="201"/>
      <c r="AD12" s="71"/>
      <c r="AE12" s="227"/>
      <c r="AF12" s="71"/>
      <c r="AG12" s="201"/>
      <c r="AH12" s="71"/>
      <c r="AI12" s="227"/>
      <c r="AJ12" s="71"/>
      <c r="AK12" s="201"/>
      <c r="AL12" s="71"/>
      <c r="AM12" s="227"/>
      <c r="AN12" s="71"/>
      <c r="AO12" s="201"/>
      <c r="AP12" s="71"/>
      <c r="AQ12" s="227"/>
      <c r="AR12" s="71"/>
      <c r="AS12" s="227"/>
      <c r="AT12" s="228"/>
      <c r="AU12" s="227"/>
      <c r="AV12" s="228"/>
      <c r="AW12" s="227"/>
      <c r="AX12" s="229" t="n">
        <f aca="false">SUM(R12+T12+V12+X12+Z12+AB12+AD12+AF12+AH12+AJ12+AL12+AN12+AP12+AR12)</f>
        <v>5</v>
      </c>
      <c r="AY12" s="230" t="n">
        <f aca="false">SUM(AX12*1000)/48</f>
        <v>104.166666666667</v>
      </c>
      <c r="AZ12" s="231" t="n">
        <f aca="false">IFERROR(VLOOKUP(A12,'Site check'!$A$14:$O$47,15,0),0)</f>
        <v>0</v>
      </c>
      <c r="BA12" s="232" t="n">
        <f aca="false">SUM(AZ12*1000)/48</f>
        <v>0</v>
      </c>
      <c r="BB12" s="90" t="n">
        <f aca="false">SUM(P12/2)+E12</f>
        <v>72.0833333333333</v>
      </c>
      <c r="BC12" s="90" t="n">
        <f aca="false">SUM(P12/2)+F12</f>
        <v>72.0833333333333</v>
      </c>
    </row>
    <row r="13" customFormat="false" ht="13.15" hidden="false" customHeight="false" outlineLevel="0" collapsed="false">
      <c r="A13" s="0" t="str">
        <f aca="false">[2]Sheet1!A13</f>
        <v>NRW TN1_SEC_CBDB_P01</v>
      </c>
      <c r="B13" s="0" t="str">
        <f aca="false">[2]Sheet1!B13</f>
        <v>NRWTN1;DC SYS01</v>
      </c>
      <c r="C13" s="44" t="str">
        <f aca="false">[2]Sheet1!C13</f>
        <v>NRWTN1</v>
      </c>
      <c r="D13" s="44" t="s">
        <v>694</v>
      </c>
      <c r="E13" s="0" t="n">
        <f aca="false">[2]Sheet1!D13</f>
        <v>0</v>
      </c>
      <c r="F13" s="0" t="n">
        <f aca="false">[2]Sheet1!E13</f>
        <v>0</v>
      </c>
      <c r="G13" s="45" t="n">
        <f aca="false">[2]Sheet1!F13</f>
        <v>0</v>
      </c>
      <c r="H13" s="0" t="n">
        <f aca="false">[2]Sheet1!G13</f>
        <v>300</v>
      </c>
      <c r="I13" s="0" t="n">
        <f aca="false">[2]Sheet1!H13</f>
        <v>300</v>
      </c>
      <c r="J13" s="0" t="n">
        <f aca="false">[2]Sheet1!I13</f>
        <v>0</v>
      </c>
      <c r="K13" s="0" t="n">
        <f aca="false">[2]Sheet1!J13</f>
        <v>4</v>
      </c>
      <c r="L13" s="0" t="n">
        <f aca="false">[2]Sheet1!K13</f>
        <v>0</v>
      </c>
      <c r="M13" s="0" t="n">
        <f aca="false">[2]Sheet1!L13</f>
        <v>0</v>
      </c>
      <c r="N13" s="0" t="n">
        <f aca="false">[2]Sheet1!M13</f>
        <v>0</v>
      </c>
      <c r="O13" s="0" t="n">
        <f aca="false">[2]Sheet1!N13</f>
        <v>0</v>
      </c>
      <c r="P13" s="226" t="n">
        <f aca="false">SUM(AY13+BA13)</f>
        <v>0</v>
      </c>
      <c r="Q13" s="201"/>
      <c r="R13" s="71"/>
      <c r="S13" s="227"/>
      <c r="T13" s="71"/>
      <c r="U13" s="201"/>
      <c r="V13" s="71"/>
      <c r="W13" s="227"/>
      <c r="X13" s="71"/>
      <c r="Y13" s="201"/>
      <c r="Z13" s="71"/>
      <c r="AA13" s="227"/>
      <c r="AB13" s="71"/>
      <c r="AC13" s="201"/>
      <c r="AD13" s="71"/>
      <c r="AE13" s="227"/>
      <c r="AF13" s="71"/>
      <c r="AG13" s="201"/>
      <c r="AH13" s="71"/>
      <c r="AI13" s="227"/>
      <c r="AJ13" s="71"/>
      <c r="AK13" s="201"/>
      <c r="AL13" s="71"/>
      <c r="AM13" s="227"/>
      <c r="AN13" s="71"/>
      <c r="AO13" s="201"/>
      <c r="AP13" s="71"/>
      <c r="AQ13" s="227"/>
      <c r="AR13" s="71"/>
      <c r="AS13" s="227"/>
      <c r="AT13" s="228"/>
      <c r="AU13" s="227"/>
      <c r="AV13" s="228"/>
      <c r="AW13" s="227"/>
      <c r="AX13" s="229" t="n">
        <f aca="false">SUM(R13+T13+V13+X13+Z13+AB13+AD13+AF13+AH13+AJ13+AL13+AN13+AP13+AR13)</f>
        <v>0</v>
      </c>
      <c r="AY13" s="230" t="n">
        <f aca="false">SUM(AX13*1000)/48</f>
        <v>0</v>
      </c>
      <c r="AZ13" s="231" t="n">
        <f aca="false">IFERROR(VLOOKUP(A13,'Site check'!$A$14:$O$47,15,0),0)</f>
        <v>0</v>
      </c>
      <c r="BA13" s="232" t="n">
        <f aca="false">SUM(AZ13*1000)/48</f>
        <v>0</v>
      </c>
      <c r="BB13" s="90" t="n">
        <f aca="false">SUM(P13/2)+E13</f>
        <v>0</v>
      </c>
      <c r="BC13" s="90" t="n">
        <f aca="false">SUM(P13/2)+F13</f>
        <v>0</v>
      </c>
    </row>
    <row r="14" customFormat="false" ht="13.15" hidden="false" customHeight="false" outlineLevel="0" collapsed="false">
      <c r="A14" s="0" t="str">
        <f aca="false">[2]Sheet1!A14</f>
        <v>NRW TN1_SEC_WALL_CBDB1</v>
      </c>
      <c r="B14" s="0" t="str">
        <f aca="false">[2]Sheet1!B14</f>
        <v>NRWTN1;DC SYS01</v>
      </c>
      <c r="C14" s="44" t="str">
        <f aca="false">[2]Sheet1!C14</f>
        <v>NRWTN1</v>
      </c>
      <c r="D14" s="44" t="s">
        <v>694</v>
      </c>
      <c r="E14" s="0" t="n">
        <f aca="false">[2]Sheet1!D14</f>
        <v>0</v>
      </c>
      <c r="F14" s="0" t="n">
        <f aca="false">[2]Sheet1!E14</f>
        <v>0</v>
      </c>
      <c r="G14" s="45" t="n">
        <f aca="false">[2]Sheet1!F14</f>
        <v>0</v>
      </c>
      <c r="H14" s="0" t="n">
        <f aca="false">[2]Sheet1!G14</f>
        <v>80</v>
      </c>
      <c r="I14" s="0" t="n">
        <f aca="false">[2]Sheet1!H14</f>
        <v>0</v>
      </c>
      <c r="J14" s="0" t="n">
        <f aca="false">[2]Sheet1!I14</f>
        <v>0</v>
      </c>
      <c r="K14" s="0" t="n">
        <f aca="false">[2]Sheet1!J14</f>
        <v>0</v>
      </c>
      <c r="L14" s="0" t="n">
        <f aca="false">[2]Sheet1!K14</f>
        <v>0</v>
      </c>
      <c r="M14" s="0" t="n">
        <f aca="false">[2]Sheet1!L14</f>
        <v>0</v>
      </c>
      <c r="N14" s="0" t="n">
        <f aca="false">[2]Sheet1!M14</f>
        <v>0</v>
      </c>
      <c r="O14" s="0" t="n">
        <f aca="false">[2]Sheet1!N14</f>
        <v>0</v>
      </c>
      <c r="P14" s="226" t="n">
        <f aca="false">SUM(AY14+BA14)</f>
        <v>0</v>
      </c>
      <c r="Q14" s="201"/>
      <c r="R14" s="71"/>
      <c r="S14" s="227"/>
      <c r="T14" s="71"/>
      <c r="U14" s="201"/>
      <c r="V14" s="71"/>
      <c r="W14" s="227"/>
      <c r="X14" s="71"/>
      <c r="Y14" s="201"/>
      <c r="Z14" s="71"/>
      <c r="AA14" s="227"/>
      <c r="AB14" s="71"/>
      <c r="AC14" s="201"/>
      <c r="AD14" s="71"/>
      <c r="AE14" s="227"/>
      <c r="AF14" s="71"/>
      <c r="AG14" s="201"/>
      <c r="AH14" s="71"/>
      <c r="AI14" s="227"/>
      <c r="AJ14" s="71"/>
      <c r="AK14" s="201"/>
      <c r="AL14" s="71"/>
      <c r="AM14" s="227"/>
      <c r="AN14" s="71"/>
      <c r="AO14" s="201"/>
      <c r="AP14" s="71"/>
      <c r="AQ14" s="227"/>
      <c r="AR14" s="71"/>
      <c r="AS14" s="227"/>
      <c r="AT14" s="228"/>
      <c r="AU14" s="227"/>
      <c r="AV14" s="228"/>
      <c r="AW14" s="227"/>
      <c r="AX14" s="229" t="n">
        <f aca="false">SUM(R14+T14+V14+X14+Z14+AB14+AD14+AF14+AH14+AJ14+AL14+AN14+AP14+AR14)</f>
        <v>0</v>
      </c>
      <c r="AY14" s="230" t="n">
        <f aca="false">SUM(AX14*1000)/48</f>
        <v>0</v>
      </c>
      <c r="AZ14" s="231" t="n">
        <f aca="false">IFERROR(VLOOKUP(A14,'Site check'!$A$14:$O$47,15,0),0)</f>
        <v>0</v>
      </c>
      <c r="BA14" s="232" t="n">
        <f aca="false">SUM(AZ14*1000)/48</f>
        <v>0</v>
      </c>
      <c r="BB14" s="90" t="n">
        <f aca="false">SUM(P14/2)+E14</f>
        <v>0</v>
      </c>
      <c r="BC14" s="90" t="n">
        <f aca="false">SUM(P14/2)+F14</f>
        <v>0</v>
      </c>
    </row>
    <row r="15" customFormat="false" ht="13.15" hidden="false" customHeight="false" outlineLevel="0" collapsed="false">
      <c r="A15" s="0" t="str">
        <f aca="false">[2]Sheet1!A15</f>
        <v>NRW TN1_SEC_WALL_CBDB2</v>
      </c>
      <c r="B15" s="0" t="str">
        <f aca="false">[2]Sheet1!B15</f>
        <v>NRWTN1;DC SYS01</v>
      </c>
      <c r="C15" s="44" t="str">
        <f aca="false">[2]Sheet1!C15</f>
        <v>NRWTN1</v>
      </c>
      <c r="D15" s="44" t="s">
        <v>694</v>
      </c>
      <c r="E15" s="0" t="n">
        <f aca="false">[2]Sheet1!D15</f>
        <v>0</v>
      </c>
      <c r="F15" s="0" t="n">
        <f aca="false">[2]Sheet1!E15</f>
        <v>0</v>
      </c>
      <c r="G15" s="45" t="n">
        <f aca="false">[2]Sheet1!F15</f>
        <v>0</v>
      </c>
      <c r="H15" s="0" t="n">
        <f aca="false">[2]Sheet1!G15</f>
        <v>300</v>
      </c>
      <c r="I15" s="0" t="n">
        <f aca="false">[2]Sheet1!H15</f>
        <v>300</v>
      </c>
      <c r="J15" s="0" t="n">
        <f aca="false">[2]Sheet1!I15</f>
        <v>0</v>
      </c>
      <c r="K15" s="0" t="n">
        <f aca="false">[2]Sheet1!J15</f>
        <v>0</v>
      </c>
      <c r="L15" s="0" t="n">
        <f aca="false">[2]Sheet1!K15</f>
        <v>0</v>
      </c>
      <c r="M15" s="0" t="n">
        <f aca="false">[2]Sheet1!L15</f>
        <v>0</v>
      </c>
      <c r="N15" s="0" t="n">
        <f aca="false">[2]Sheet1!M15</f>
        <v>0</v>
      </c>
      <c r="O15" s="0" t="n">
        <f aca="false">[2]Sheet1!N15</f>
        <v>0</v>
      </c>
      <c r="P15" s="226" t="n">
        <f aca="false">SUM(AY15+BA15)</f>
        <v>0</v>
      </c>
      <c r="Q15" s="201"/>
      <c r="R15" s="71"/>
      <c r="S15" s="227"/>
      <c r="T15" s="71"/>
      <c r="U15" s="201"/>
      <c r="V15" s="71"/>
      <c r="W15" s="227"/>
      <c r="X15" s="71"/>
      <c r="Y15" s="201"/>
      <c r="Z15" s="71"/>
      <c r="AA15" s="227"/>
      <c r="AB15" s="71"/>
      <c r="AC15" s="201"/>
      <c r="AD15" s="71"/>
      <c r="AE15" s="227"/>
      <c r="AF15" s="71"/>
      <c r="AG15" s="201"/>
      <c r="AH15" s="71"/>
      <c r="AI15" s="227"/>
      <c r="AJ15" s="71"/>
      <c r="AK15" s="201"/>
      <c r="AL15" s="71"/>
      <c r="AM15" s="227"/>
      <c r="AN15" s="71"/>
      <c r="AO15" s="201"/>
      <c r="AP15" s="71"/>
      <c r="AQ15" s="227"/>
      <c r="AR15" s="71"/>
      <c r="AS15" s="227"/>
      <c r="AT15" s="228"/>
      <c r="AU15" s="227"/>
      <c r="AV15" s="228"/>
      <c r="AW15" s="227"/>
      <c r="AX15" s="229" t="n">
        <f aca="false">SUM(R15+T15+V15+X15+Z15+AB15+AD15+AF15+AH15+AJ15+AL15+AN15+AP15+AR15)</f>
        <v>0</v>
      </c>
      <c r="AY15" s="230" t="n">
        <f aca="false">SUM(AX15*1000)/48</f>
        <v>0</v>
      </c>
      <c r="AZ15" s="231" t="n">
        <f aca="false">IFERROR(VLOOKUP(A15,'Site check'!$A$14:$O$47,15,0),0)</f>
        <v>0</v>
      </c>
      <c r="BA15" s="232" t="n">
        <f aca="false">SUM(AZ15*1000)/48</f>
        <v>0</v>
      </c>
      <c r="BB15" s="90" t="n">
        <f aca="false">SUM(P15/2)+E15</f>
        <v>0</v>
      </c>
      <c r="BC15" s="90" t="n">
        <f aca="false">SUM(P15/2)+F15</f>
        <v>0</v>
      </c>
    </row>
    <row r="16" customFormat="false" ht="13.15" hidden="false" customHeight="false" outlineLevel="0" collapsed="false">
      <c r="A16" s="0" t="str">
        <f aca="false">[2]Sheet1!A16</f>
        <v>NRWTN1_SYS01_PER01</v>
      </c>
      <c r="B16" s="0" t="str">
        <f aca="false">[2]Sheet1!B16</f>
        <v>NRWTN1;DC SYS01</v>
      </c>
      <c r="C16" s="44" t="str">
        <f aca="false">[2]Sheet1!C16</f>
        <v>NRWTN1</v>
      </c>
      <c r="D16" s="44" t="s">
        <v>694</v>
      </c>
      <c r="E16" s="0" t="n">
        <f aca="false">[2]Sheet1!D16</f>
        <v>0</v>
      </c>
      <c r="F16" s="0" t="n">
        <f aca="false">[2]Sheet1!E16</f>
        <v>0</v>
      </c>
      <c r="G16" s="45" t="n">
        <f aca="false">[2]Sheet1!F16</f>
        <v>0</v>
      </c>
      <c r="H16" s="0" t="n">
        <f aca="false">[2]Sheet1!G16</f>
        <v>300</v>
      </c>
      <c r="I16" s="0" t="n">
        <f aca="false">[2]Sheet1!H16</f>
        <v>300</v>
      </c>
      <c r="J16" s="0" t="n">
        <f aca="false">[2]Sheet1!I16</f>
        <v>0</v>
      </c>
      <c r="K16" s="0" t="n">
        <f aca="false">[2]Sheet1!J16</f>
        <v>2</v>
      </c>
      <c r="L16" s="0" t="n">
        <f aca="false">[2]Sheet1!K16</f>
        <v>0</v>
      </c>
      <c r="M16" s="0" t="n">
        <f aca="false">[2]Sheet1!L16</f>
        <v>0</v>
      </c>
      <c r="N16" s="0" t="n">
        <f aca="false">[2]Sheet1!M16</f>
        <v>0</v>
      </c>
      <c r="O16" s="0" t="n">
        <f aca="false">[2]Sheet1!N16</f>
        <v>0</v>
      </c>
      <c r="P16" s="226" t="n">
        <f aca="false">SUM(AY16+BA16)</f>
        <v>0</v>
      </c>
      <c r="Q16" s="201"/>
      <c r="R16" s="71"/>
      <c r="S16" s="227"/>
      <c r="T16" s="71"/>
      <c r="U16" s="201"/>
      <c r="V16" s="71"/>
      <c r="W16" s="227"/>
      <c r="X16" s="71"/>
      <c r="Y16" s="201"/>
      <c r="Z16" s="71"/>
      <c r="AA16" s="227"/>
      <c r="AB16" s="71"/>
      <c r="AC16" s="201"/>
      <c r="AD16" s="71"/>
      <c r="AE16" s="227"/>
      <c r="AF16" s="71"/>
      <c r="AG16" s="201"/>
      <c r="AH16" s="71"/>
      <c r="AI16" s="227"/>
      <c r="AJ16" s="71"/>
      <c r="AK16" s="201"/>
      <c r="AL16" s="71"/>
      <c r="AM16" s="227"/>
      <c r="AN16" s="71"/>
      <c r="AO16" s="201"/>
      <c r="AP16" s="71"/>
      <c r="AQ16" s="227"/>
      <c r="AR16" s="71"/>
      <c r="AS16" s="227"/>
      <c r="AT16" s="228"/>
      <c r="AU16" s="227"/>
      <c r="AV16" s="228"/>
      <c r="AW16" s="227"/>
      <c r="AX16" s="229" t="n">
        <f aca="false">SUM(R16+T16+V16+X16+Z16+AB16+AD16+AF16+AH16+AJ16+AL16+AN16+AP16+AR16)</f>
        <v>0</v>
      </c>
      <c r="AY16" s="230" t="n">
        <f aca="false">SUM(AX16*1000)/48</f>
        <v>0</v>
      </c>
      <c r="AZ16" s="231" t="n">
        <f aca="false">IFERROR(VLOOKUP(A16,'Site check'!$A$14:$O$47,15,0),0)</f>
        <v>0</v>
      </c>
      <c r="BA16" s="232" t="n">
        <f aca="false">SUM(AZ16*1000)/48</f>
        <v>0</v>
      </c>
      <c r="BB16" s="90" t="n">
        <f aca="false">SUM(P16/2)+E16</f>
        <v>0</v>
      </c>
      <c r="BC16" s="90" t="n">
        <f aca="false">SUM(P16/2)+F16</f>
        <v>0</v>
      </c>
    </row>
    <row r="17" customFormat="false" ht="13.15" hidden="false" customHeight="false" outlineLevel="0" collapsed="false">
      <c r="A17" s="0" t="str">
        <f aca="false">[2]Sheet1!A17</f>
        <v>PTBTN1_SEC_DD770_DE16</v>
      </c>
      <c r="B17" s="0" t="str">
        <f aca="false">[2]Sheet1!B17</f>
        <v>PTBTN1;DC SYS01</v>
      </c>
      <c r="C17" s="44" t="str">
        <f aca="false">[2]Sheet1!C17</f>
        <v>PTBTN1</v>
      </c>
      <c r="D17" s="44" t="s">
        <v>726</v>
      </c>
      <c r="E17" s="0" t="n">
        <f aca="false">[2]Sheet1!D17</f>
        <v>85</v>
      </c>
      <c r="F17" s="0" t="n">
        <f aca="false">[2]Sheet1!E17</f>
        <v>85</v>
      </c>
      <c r="G17" s="45" t="n">
        <f aca="false">[2]Sheet1!F17</f>
        <v>45096</v>
      </c>
      <c r="H17" s="0" t="n">
        <f aca="false">[2]Sheet1!G17</f>
        <v>300</v>
      </c>
      <c r="I17" s="0" t="n">
        <f aca="false">[2]Sheet1!H17</f>
        <v>300</v>
      </c>
      <c r="J17" s="0" t="n">
        <f aca="false">[2]Sheet1!I17</f>
        <v>0</v>
      </c>
      <c r="K17" s="0" t="n">
        <f aca="false">[2]Sheet1!J17</f>
        <v>2</v>
      </c>
      <c r="L17" s="0" t="n">
        <f aca="false">[2]Sheet1!K17</f>
        <v>0</v>
      </c>
      <c r="M17" s="0" t="n">
        <f aca="false">[2]Sheet1!L17</f>
        <v>10</v>
      </c>
      <c r="N17" s="0" t="n">
        <f aca="false">[2]Sheet1!M17</f>
        <v>9</v>
      </c>
      <c r="O17" s="0" t="n">
        <f aca="false">[2]Sheet1!N17</f>
        <v>0</v>
      </c>
      <c r="P17" s="226" t="n">
        <f aca="false">SUM(AY17+BA17)</f>
        <v>62.5</v>
      </c>
      <c r="Q17" s="177" t="s">
        <v>1344</v>
      </c>
      <c r="R17" s="235" t="n">
        <v>2</v>
      </c>
      <c r="S17" s="202" t="s">
        <v>1345</v>
      </c>
      <c r="T17" s="235" t="n">
        <v>1</v>
      </c>
      <c r="U17" s="201"/>
      <c r="V17" s="71"/>
      <c r="W17" s="227"/>
      <c r="X17" s="71"/>
      <c r="Y17" s="201"/>
      <c r="Z17" s="71"/>
      <c r="AA17" s="227"/>
      <c r="AB17" s="71"/>
      <c r="AC17" s="201"/>
      <c r="AD17" s="71"/>
      <c r="AE17" s="227"/>
      <c r="AF17" s="71"/>
      <c r="AG17" s="201"/>
      <c r="AH17" s="71"/>
      <c r="AI17" s="227"/>
      <c r="AJ17" s="71"/>
      <c r="AK17" s="201"/>
      <c r="AL17" s="71"/>
      <c r="AM17" s="227"/>
      <c r="AN17" s="71"/>
      <c r="AO17" s="201"/>
      <c r="AP17" s="71"/>
      <c r="AQ17" s="227"/>
      <c r="AR17" s="71"/>
      <c r="AS17" s="227"/>
      <c r="AT17" s="228"/>
      <c r="AU17" s="227"/>
      <c r="AV17" s="228"/>
      <c r="AW17" s="227"/>
      <c r="AX17" s="229" t="n">
        <f aca="false">SUM(R17+T17+V17+X17+Z17+AB17+AD17+AF17+AH17+AJ17+AL17+AN17+AP17+AR17)</f>
        <v>3</v>
      </c>
      <c r="AY17" s="230" t="n">
        <f aca="false">SUM(AX17*1000)/48</f>
        <v>62.5</v>
      </c>
      <c r="AZ17" s="231" t="n">
        <f aca="false">IFERROR(VLOOKUP(A17,'Site check'!$A$14:$O$47,15,0),0)</f>
        <v>0</v>
      </c>
      <c r="BA17" s="232" t="n">
        <f aca="false">SUM(AZ17*1000)/48</f>
        <v>0</v>
      </c>
      <c r="BB17" s="90" t="n">
        <f aca="false">SUM(P17/2)+E17</f>
        <v>116.25</v>
      </c>
      <c r="BC17" s="90" t="n">
        <f aca="false">SUM(P17/2)+F17</f>
        <v>116.25</v>
      </c>
    </row>
    <row r="18" customFormat="false" ht="13.15" hidden="false" customHeight="false" outlineLevel="0" collapsed="false">
      <c r="A18" s="0" t="str">
        <f aca="false">[2]Sheet1!A18</f>
        <v>PTBTN1_SEC_DD770_JH16</v>
      </c>
      <c r="B18" s="0" t="str">
        <f aca="false">[2]Sheet1!B18</f>
        <v>PTBTN1;DC SYS01</v>
      </c>
      <c r="C18" s="44" t="str">
        <f aca="false">[2]Sheet1!C18</f>
        <v>PTBTN1</v>
      </c>
      <c r="D18" s="44" t="s">
        <v>726</v>
      </c>
      <c r="E18" s="0" t="n">
        <f aca="false">[2]Sheet1!D18</f>
        <v>100</v>
      </c>
      <c r="F18" s="0" t="n">
        <f aca="false">[2]Sheet1!E18</f>
        <v>105</v>
      </c>
      <c r="G18" s="45" t="n">
        <f aca="false">[2]Sheet1!F18</f>
        <v>45096</v>
      </c>
      <c r="H18" s="0" t="n">
        <f aca="false">[2]Sheet1!G18</f>
        <v>300</v>
      </c>
      <c r="I18" s="0" t="n">
        <f aca="false">[2]Sheet1!H18</f>
        <v>300</v>
      </c>
      <c r="J18" s="0" t="n">
        <f aca="false">[2]Sheet1!I18</f>
        <v>5</v>
      </c>
      <c r="K18" s="0" t="n">
        <f aca="false">[2]Sheet1!J18</f>
        <v>1</v>
      </c>
      <c r="L18" s="0" t="n">
        <f aca="false">[2]Sheet1!K18</f>
        <v>1</v>
      </c>
      <c r="M18" s="0" t="n">
        <f aca="false">[2]Sheet1!L18</f>
        <v>10</v>
      </c>
      <c r="N18" s="0" t="n">
        <f aca="false">[2]Sheet1!M18</f>
        <v>3</v>
      </c>
      <c r="O18" s="0" t="n">
        <f aca="false">[2]Sheet1!N18</f>
        <v>0</v>
      </c>
      <c r="P18" s="226" t="n">
        <f aca="false">SUM(AY18+BA18)</f>
        <v>0</v>
      </c>
      <c r="Q18" s="179"/>
      <c r="R18" s="180"/>
      <c r="S18" s="227"/>
      <c r="T18" s="71"/>
      <c r="U18" s="201"/>
      <c r="V18" s="71"/>
      <c r="W18" s="227"/>
      <c r="X18" s="71"/>
      <c r="Y18" s="201"/>
      <c r="Z18" s="71"/>
      <c r="AA18" s="227"/>
      <c r="AB18" s="71"/>
      <c r="AC18" s="201"/>
      <c r="AD18" s="71"/>
      <c r="AE18" s="227"/>
      <c r="AF18" s="71"/>
      <c r="AG18" s="201"/>
      <c r="AH18" s="71"/>
      <c r="AI18" s="227"/>
      <c r="AJ18" s="71"/>
      <c r="AK18" s="201"/>
      <c r="AL18" s="71"/>
      <c r="AM18" s="227"/>
      <c r="AN18" s="71"/>
      <c r="AO18" s="201"/>
      <c r="AP18" s="71"/>
      <c r="AQ18" s="227"/>
      <c r="AR18" s="71"/>
      <c r="AS18" s="227"/>
      <c r="AT18" s="228"/>
      <c r="AU18" s="227"/>
      <c r="AV18" s="228"/>
      <c r="AW18" s="227"/>
      <c r="AX18" s="229" t="n">
        <f aca="false">SUM(R18+T18+V18+X18+Z18+AB18+AD18+AF18+AH18+AJ18+AL18+AN18+AP18+AR18)</f>
        <v>0</v>
      </c>
      <c r="AY18" s="230" t="n">
        <f aca="false">SUM(AX18*1000)/48</f>
        <v>0</v>
      </c>
      <c r="AZ18" s="231" t="n">
        <f aca="false">IFERROR(VLOOKUP(A18,'Site check'!$A$14:$O$47,15,0),0)</f>
        <v>0</v>
      </c>
      <c r="BA18" s="232" t="n">
        <f aca="false">SUM(AZ18*1000)/48</f>
        <v>0</v>
      </c>
      <c r="BB18" s="90" t="n">
        <f aca="false">SUM(P18/2)+E18</f>
        <v>100</v>
      </c>
      <c r="BC18" s="90" t="n">
        <f aca="false">SUM(P18/2)+F18</f>
        <v>105</v>
      </c>
    </row>
    <row r="19" customFormat="false" ht="13.15" hidden="false" customHeight="false" outlineLevel="0" collapsed="false">
      <c r="A19" s="0" t="str">
        <f aca="false">[2]Sheet1!A19</f>
        <v>WTT_SEC_CBDB_01 - ignore</v>
      </c>
      <c r="B19" s="0" t="str">
        <f aca="false">[2]Sheet1!B19</f>
        <v>WTT;DC SYS01</v>
      </c>
      <c r="C19" s="44" t="str">
        <f aca="false">[2]Sheet1!C19</f>
        <v>WTT</v>
      </c>
      <c r="D19" s="44" t="s">
        <v>829</v>
      </c>
      <c r="E19" s="0" t="n">
        <f aca="false">[2]Sheet1!D19</f>
        <v>0</v>
      </c>
      <c r="F19" s="0" t="n">
        <f aca="false">[2]Sheet1!E19</f>
        <v>0</v>
      </c>
      <c r="G19" s="45" t="n">
        <f aca="false">[2]Sheet1!F19</f>
        <v>0</v>
      </c>
      <c r="H19" s="0" t="n">
        <f aca="false">[2]Sheet1!G19</f>
        <v>300</v>
      </c>
      <c r="I19" s="0" t="n">
        <f aca="false">[2]Sheet1!H19</f>
        <v>300</v>
      </c>
      <c r="J19" s="0" t="n">
        <f aca="false">[2]Sheet1!I19</f>
        <v>0</v>
      </c>
      <c r="K19" s="0" t="n">
        <f aca="false">[2]Sheet1!J19</f>
        <v>0</v>
      </c>
      <c r="L19" s="0" t="n">
        <f aca="false">[2]Sheet1!K19</f>
        <v>0</v>
      </c>
      <c r="M19" s="0" t="n">
        <f aca="false">[2]Sheet1!L19</f>
        <v>0</v>
      </c>
      <c r="N19" s="0" t="n">
        <f aca="false">[2]Sheet1!M19</f>
        <v>0</v>
      </c>
      <c r="O19" s="0" t="n">
        <f aca="false">[2]Sheet1!N19</f>
        <v>0</v>
      </c>
      <c r="P19" s="226" t="n">
        <f aca="false">SUM(AY19+BA19)</f>
        <v>0</v>
      </c>
      <c r="Q19" s="201"/>
      <c r="R19" s="71"/>
      <c r="S19" s="227"/>
      <c r="T19" s="71"/>
      <c r="U19" s="201"/>
      <c r="V19" s="71"/>
      <c r="W19" s="227"/>
      <c r="X19" s="71"/>
      <c r="Y19" s="201"/>
      <c r="Z19" s="71"/>
      <c r="AA19" s="227"/>
      <c r="AB19" s="71"/>
      <c r="AC19" s="201"/>
      <c r="AD19" s="71"/>
      <c r="AE19" s="227"/>
      <c r="AF19" s="71"/>
      <c r="AG19" s="201"/>
      <c r="AH19" s="71"/>
      <c r="AI19" s="227"/>
      <c r="AJ19" s="71"/>
      <c r="AK19" s="201"/>
      <c r="AL19" s="71"/>
      <c r="AM19" s="227"/>
      <c r="AN19" s="71"/>
      <c r="AO19" s="201"/>
      <c r="AP19" s="71"/>
      <c r="AQ19" s="227"/>
      <c r="AR19" s="71"/>
      <c r="AS19" s="227"/>
      <c r="AT19" s="228"/>
      <c r="AU19" s="227"/>
      <c r="AV19" s="228"/>
      <c r="AW19" s="227"/>
      <c r="AX19" s="229" t="n">
        <f aca="false">SUM(R19+T19+V19+X19+Z19+AB19+AD19+AF19+AH19+AJ19+AL19+AN19+AP19+AR19)</f>
        <v>0</v>
      </c>
      <c r="AY19" s="230" t="n">
        <f aca="false">SUM(AX19*1000)/48</f>
        <v>0</v>
      </c>
      <c r="AZ19" s="231" t="n">
        <f aca="false">IFERROR(VLOOKUP(A19,'Site check'!$A$14:$O$47,15,0),0)</f>
        <v>0</v>
      </c>
      <c r="BA19" s="232" t="n">
        <f aca="false">SUM(AZ19*1000)/48</f>
        <v>0</v>
      </c>
      <c r="BB19" s="90" t="n">
        <f aca="false">SUM(P19/2)+E19</f>
        <v>0</v>
      </c>
      <c r="BC19" s="90" t="n">
        <f aca="false">SUM(P19/2)+F19</f>
        <v>0</v>
      </c>
    </row>
    <row r="20" customFormat="false" ht="13.15" hidden="false" customHeight="false" outlineLevel="0" collapsed="false">
      <c r="A20" s="0" t="str">
        <f aca="false">[2]Sheet1!A20</f>
        <v>WTT_SEC_CBDB_02 - ignore</v>
      </c>
      <c r="B20" s="0" t="str">
        <f aca="false">[2]Sheet1!B20</f>
        <v>WTT;DC SYS01</v>
      </c>
      <c r="C20" s="44" t="str">
        <f aca="false">[2]Sheet1!C20</f>
        <v>WTT</v>
      </c>
      <c r="D20" s="44" t="s">
        <v>829</v>
      </c>
      <c r="E20" s="0" t="n">
        <f aca="false">[2]Sheet1!D20</f>
        <v>0</v>
      </c>
      <c r="F20" s="0" t="n">
        <f aca="false">[2]Sheet1!E20</f>
        <v>0</v>
      </c>
      <c r="G20" s="45" t="n">
        <f aca="false">[2]Sheet1!F20</f>
        <v>0</v>
      </c>
      <c r="H20" s="0" t="n">
        <f aca="false">[2]Sheet1!G20</f>
        <v>300</v>
      </c>
      <c r="I20" s="0" t="n">
        <f aca="false">[2]Sheet1!H20</f>
        <v>300</v>
      </c>
      <c r="J20" s="0" t="n">
        <f aca="false">[2]Sheet1!I20</f>
        <v>0</v>
      </c>
      <c r="K20" s="0" t="n">
        <f aca="false">[2]Sheet1!J20</f>
        <v>0</v>
      </c>
      <c r="L20" s="0" t="n">
        <f aca="false">[2]Sheet1!K20</f>
        <v>0</v>
      </c>
      <c r="M20" s="0" t="n">
        <f aca="false">[2]Sheet1!L20</f>
        <v>0</v>
      </c>
      <c r="N20" s="0" t="n">
        <f aca="false">[2]Sheet1!M20</f>
        <v>0</v>
      </c>
      <c r="O20" s="0" t="n">
        <f aca="false">[2]Sheet1!N20</f>
        <v>0</v>
      </c>
      <c r="P20" s="226" t="n">
        <f aca="false">SUM(AY20+BA20)</f>
        <v>20.8333333333333</v>
      </c>
      <c r="Q20" s="177" t="s">
        <v>1445</v>
      </c>
      <c r="R20" s="235" t="n">
        <v>1</v>
      </c>
      <c r="S20" s="227"/>
      <c r="T20" s="71"/>
      <c r="U20" s="201"/>
      <c r="V20" s="71"/>
      <c r="W20" s="227"/>
      <c r="X20" s="71"/>
      <c r="Y20" s="201"/>
      <c r="Z20" s="71"/>
      <c r="AA20" s="227"/>
      <c r="AB20" s="71"/>
      <c r="AC20" s="201"/>
      <c r="AD20" s="71"/>
      <c r="AE20" s="227"/>
      <c r="AF20" s="71"/>
      <c r="AG20" s="201"/>
      <c r="AH20" s="71"/>
      <c r="AI20" s="227"/>
      <c r="AJ20" s="71"/>
      <c r="AK20" s="201"/>
      <c r="AL20" s="71"/>
      <c r="AM20" s="227"/>
      <c r="AN20" s="71"/>
      <c r="AO20" s="201"/>
      <c r="AP20" s="71"/>
      <c r="AQ20" s="227"/>
      <c r="AR20" s="71"/>
      <c r="AS20" s="227"/>
      <c r="AT20" s="228"/>
      <c r="AU20" s="227"/>
      <c r="AV20" s="228"/>
      <c r="AW20" s="227"/>
      <c r="AX20" s="229" t="n">
        <f aca="false">SUM(R20+T20+V20+X20+Z20+AB20+AD20+AF20+AH20+AJ20+AL20+AN20+AP20+AR20)</f>
        <v>1</v>
      </c>
      <c r="AY20" s="230" t="n">
        <f aca="false">SUM(AX20*1000)/48</f>
        <v>20.8333333333333</v>
      </c>
      <c r="AZ20" s="231" t="n">
        <f aca="false">IFERROR(VLOOKUP(A20,'Site check'!$A$14:$O$47,15,0),0)</f>
        <v>0</v>
      </c>
      <c r="BA20" s="232" t="n">
        <f aca="false">SUM(AZ20*1000)/48</f>
        <v>0</v>
      </c>
      <c r="BB20" s="90" t="n">
        <f aca="false">SUM(P20/2)+E20</f>
        <v>10.4166666666667</v>
      </c>
      <c r="BC20" s="90" t="n">
        <f aca="false">SUM(P20/2)+F20</f>
        <v>10.4166666666667</v>
      </c>
    </row>
    <row r="21" customFormat="false" ht="13.15" hidden="false" customHeight="false" outlineLevel="0" collapsed="false">
      <c r="A21" s="0" t="str">
        <f aca="false">[2]Sheet1!A21</f>
        <v>WTT_SEC_DCDB_CD10</v>
      </c>
      <c r="B21" s="0" t="str">
        <f aca="false">[2]Sheet1!B21</f>
        <v>WTT;DC SYS01</v>
      </c>
      <c r="C21" s="44" t="str">
        <f aca="false">[2]Sheet1!C21</f>
        <v>WTT</v>
      </c>
      <c r="D21" s="44" t="s">
        <v>829</v>
      </c>
      <c r="E21" s="0" t="n">
        <f aca="false">[2]Sheet1!D21</f>
        <v>25</v>
      </c>
      <c r="F21" s="0" t="n">
        <f aca="false">[2]Sheet1!E21</f>
        <v>25</v>
      </c>
      <c r="G21" s="45" t="n">
        <f aca="false">[2]Sheet1!F21</f>
        <v>45056</v>
      </c>
      <c r="H21" s="0" t="n">
        <f aca="false">[2]Sheet1!G21</f>
        <v>300</v>
      </c>
      <c r="I21" s="0" t="n">
        <f aca="false">[2]Sheet1!H21</f>
        <v>300</v>
      </c>
      <c r="J21" s="0" t="n">
        <f aca="false">[2]Sheet1!I21</f>
        <v>0</v>
      </c>
      <c r="K21" s="0" t="n">
        <f aca="false">[2]Sheet1!J21</f>
        <v>1</v>
      </c>
      <c r="L21" s="0" t="n">
        <f aca="false">[2]Sheet1!K21</f>
        <v>5</v>
      </c>
      <c r="M21" s="0" t="n">
        <f aca="false">[2]Sheet1!L21</f>
        <v>2</v>
      </c>
      <c r="N21" s="0" t="n">
        <f aca="false">[2]Sheet1!M21</f>
        <v>0</v>
      </c>
      <c r="O21" s="0" t="n">
        <f aca="false">[2]Sheet1!N21</f>
        <v>0</v>
      </c>
      <c r="P21" s="226" t="n">
        <f aca="false">SUM(AY21+BA21)</f>
        <v>0</v>
      </c>
      <c r="Q21" s="201"/>
      <c r="R21" s="71"/>
      <c r="S21" s="227"/>
      <c r="T21" s="71"/>
      <c r="U21" s="201"/>
      <c r="V21" s="71"/>
      <c r="W21" s="227"/>
      <c r="X21" s="71"/>
      <c r="Y21" s="201"/>
      <c r="Z21" s="71"/>
      <c r="AA21" s="227"/>
      <c r="AB21" s="71"/>
      <c r="AC21" s="201"/>
      <c r="AD21" s="71"/>
      <c r="AE21" s="227"/>
      <c r="AF21" s="71"/>
      <c r="AG21" s="201"/>
      <c r="AH21" s="71"/>
      <c r="AI21" s="227"/>
      <c r="AJ21" s="71"/>
      <c r="AK21" s="201"/>
      <c r="AL21" s="71"/>
      <c r="AM21" s="227"/>
      <c r="AN21" s="71"/>
      <c r="AO21" s="201"/>
      <c r="AP21" s="71"/>
      <c r="AQ21" s="227"/>
      <c r="AR21" s="71"/>
      <c r="AS21" s="227"/>
      <c r="AT21" s="228"/>
      <c r="AU21" s="227"/>
      <c r="AV21" s="228"/>
      <c r="AW21" s="227"/>
      <c r="AX21" s="229" t="n">
        <f aca="false">SUM(R21+T21+V21+X21+Z21+AB21+AD21+AF21+AH21+AJ21+AL21+AN21+AP21+AR21)</f>
        <v>0</v>
      </c>
      <c r="AY21" s="230" t="n">
        <f aca="false">SUM(AX21*1000)/48</f>
        <v>0</v>
      </c>
      <c r="AZ21" s="231" t="n">
        <f aca="false">IFERROR(VLOOKUP(A21,'Site check'!$A$14:$O$47,15,0),0)</f>
        <v>0</v>
      </c>
      <c r="BA21" s="232" t="n">
        <f aca="false">SUM(AZ21*1000)/48</f>
        <v>0</v>
      </c>
      <c r="BB21" s="90" t="n">
        <f aca="false">SUM(P21/2)+E21</f>
        <v>25</v>
      </c>
      <c r="BC21" s="90" t="n">
        <f aca="false">SUM(P21/2)+F21</f>
        <v>25</v>
      </c>
    </row>
    <row r="22" customFormat="false" ht="13.15" hidden="false" customHeight="false" outlineLevel="0" collapsed="false">
      <c r="A22" s="0" t="str">
        <f aca="false">[2]Sheet1!A22</f>
        <v>BFTN03 - Ignore this line </v>
      </c>
      <c r="B22" s="0" t="str">
        <f aca="false">[2]Sheet1!B22</f>
        <v>BFTN03;DC SYS01</v>
      </c>
      <c r="C22" s="44" t="str">
        <f aca="false">[2]Sheet1!C22</f>
        <v>BFTN03</v>
      </c>
      <c r="D22" s="44" t="s">
        <v>405</v>
      </c>
      <c r="E22" s="0" t="str">
        <f aca="false">[2]Sheet1!D22</f>
        <v>No records</v>
      </c>
      <c r="F22" s="0" t="n">
        <f aca="false">[2]Sheet1!E22</f>
        <v>0</v>
      </c>
      <c r="G22" s="45" t="n">
        <f aca="false">[2]Sheet1!F22</f>
        <v>0</v>
      </c>
      <c r="H22" s="0" t="n">
        <f aca="false">[2]Sheet1!G22</f>
        <v>0</v>
      </c>
      <c r="I22" s="0" t="n">
        <f aca="false">[2]Sheet1!H22</f>
        <v>0</v>
      </c>
      <c r="J22" s="0" t="n">
        <f aca="false">[2]Sheet1!I22</f>
        <v>0</v>
      </c>
      <c r="K22" s="0" t="n">
        <f aca="false">[2]Sheet1!J22</f>
        <v>0</v>
      </c>
      <c r="L22" s="0" t="n">
        <f aca="false">[2]Sheet1!K22</f>
        <v>0</v>
      </c>
      <c r="M22" s="0" t="n">
        <f aca="false">[2]Sheet1!L22</f>
        <v>0</v>
      </c>
      <c r="N22" s="0" t="n">
        <f aca="false">[2]Sheet1!M22</f>
        <v>0</v>
      </c>
      <c r="O22" s="0" t="n">
        <f aca="false">[2]Sheet1!N22</f>
        <v>0</v>
      </c>
      <c r="P22" s="226" t="n">
        <f aca="false">SUM(AY22+BA22)</f>
        <v>83.3333333333333</v>
      </c>
      <c r="Q22" s="201" t="s">
        <v>1459</v>
      </c>
      <c r="R22" s="71" t="n">
        <v>4</v>
      </c>
      <c r="S22" s="179"/>
      <c r="T22" s="180"/>
      <c r="U22" s="201"/>
      <c r="V22" s="71"/>
      <c r="W22" s="227"/>
      <c r="X22" s="71"/>
      <c r="Y22" s="201"/>
      <c r="Z22" s="71"/>
      <c r="AA22" s="227"/>
      <c r="AB22" s="71"/>
      <c r="AC22" s="201"/>
      <c r="AD22" s="71"/>
      <c r="AE22" s="227"/>
      <c r="AF22" s="71"/>
      <c r="AG22" s="201"/>
      <c r="AH22" s="71"/>
      <c r="AI22" s="227"/>
      <c r="AJ22" s="71"/>
      <c r="AK22" s="201"/>
      <c r="AL22" s="71"/>
      <c r="AM22" s="227"/>
      <c r="AN22" s="71"/>
      <c r="AO22" s="201"/>
      <c r="AP22" s="71"/>
      <c r="AQ22" s="227"/>
      <c r="AR22" s="71"/>
      <c r="AS22" s="227"/>
      <c r="AT22" s="228"/>
      <c r="AU22" s="227"/>
      <c r="AV22" s="228"/>
      <c r="AW22" s="227"/>
      <c r="AX22" s="229" t="n">
        <f aca="false">SUM(R22+T22+V22+X22+Z22+AB22+AD22+AF22+AH22+AJ22+AL22+AN22+AP22+AR22)</f>
        <v>4</v>
      </c>
      <c r="AY22" s="230" t="n">
        <f aca="false">SUM(AX22*1000)/48</f>
        <v>83.3333333333333</v>
      </c>
      <c r="AZ22" s="231" t="n">
        <f aca="false">IFERROR(VLOOKUP(A22,'Site check'!$A$14:$O$47,15,0),0)</f>
        <v>0</v>
      </c>
      <c r="BA22" s="232" t="n">
        <f aca="false">SUM(AZ22*1000)/48</f>
        <v>0</v>
      </c>
      <c r="BB22" s="90" t="e">
        <f aca="false">SUM(P22/2)+E22</f>
        <v>#VALUE!</v>
      </c>
      <c r="BC22" s="90" t="n">
        <f aca="false">SUM(P22/2)+F22</f>
        <v>41.6666666666667</v>
      </c>
    </row>
    <row r="23" customFormat="false" ht="13.15" hidden="false" customHeight="false" outlineLevel="0" collapsed="false">
      <c r="A23" s="0" t="str">
        <f aca="false">[2]Sheet1!A23</f>
        <v>ACTN01_PDU1A_B</v>
      </c>
      <c r="B23" s="0" t="str">
        <f aca="false">[2]Sheet1!B23</f>
        <v>ACTN01;DC SYS01</v>
      </c>
      <c r="C23" s="44" t="str">
        <f aca="false">[2]Sheet1!C23</f>
        <v>ACTN01</v>
      </c>
      <c r="D23" s="44" t="s">
        <v>343</v>
      </c>
      <c r="E23" s="0" t="n">
        <f aca="false">[2]Sheet1!D23</f>
        <v>204.47</v>
      </c>
      <c r="F23" s="0" t="n">
        <f aca="false">[2]Sheet1!E23</f>
        <v>65.83</v>
      </c>
      <c r="G23" s="45" t="n">
        <f aca="false">[2]Sheet1!F23</f>
        <v>45665</v>
      </c>
      <c r="H23" s="0" t="n">
        <f aca="false">[2]Sheet1!G23</f>
        <v>360</v>
      </c>
      <c r="I23" s="0" t="n">
        <f aca="false">[2]Sheet1!H23</f>
        <v>360</v>
      </c>
      <c r="J23" s="0" t="n">
        <f aca="false">[2]Sheet1!I23</f>
        <v>0</v>
      </c>
      <c r="K23" s="0" t="n">
        <f aca="false">[2]Sheet1!J23</f>
        <v>0</v>
      </c>
      <c r="L23" s="0" t="n">
        <f aca="false">[2]Sheet1!K23</f>
        <v>0</v>
      </c>
      <c r="M23" s="0" t="n">
        <f aca="false">[2]Sheet1!L23</f>
        <v>0</v>
      </c>
      <c r="N23" s="0" t="n">
        <f aca="false">[2]Sheet1!M23</f>
        <v>0</v>
      </c>
      <c r="O23" s="0" t="n">
        <f aca="false">[2]Sheet1!N23</f>
        <v>0</v>
      </c>
      <c r="P23" s="226" t="n">
        <f aca="false">SUM(AY23+BA23)</f>
        <v>220.833333333333</v>
      </c>
      <c r="Q23" s="170" t="s">
        <v>959</v>
      </c>
      <c r="R23" s="234" t="n">
        <v>1.9</v>
      </c>
      <c r="S23" s="170" t="s">
        <v>960</v>
      </c>
      <c r="T23" s="234" t="n">
        <v>5.3</v>
      </c>
      <c r="U23" s="190" t="s">
        <v>961</v>
      </c>
      <c r="V23" s="174" t="n">
        <v>1.6</v>
      </c>
      <c r="W23" s="173" t="s">
        <v>962</v>
      </c>
      <c r="X23" s="236" t="n">
        <v>1.8</v>
      </c>
      <c r="Y23" s="201"/>
      <c r="Z23" s="71"/>
      <c r="AA23" s="227"/>
      <c r="AB23" s="71"/>
      <c r="AC23" s="201"/>
      <c r="AD23" s="71"/>
      <c r="AE23" s="227"/>
      <c r="AF23" s="71"/>
      <c r="AG23" s="201"/>
      <c r="AH23" s="71"/>
      <c r="AI23" s="227"/>
      <c r="AJ23" s="71"/>
      <c r="AK23" s="201"/>
      <c r="AL23" s="71"/>
      <c r="AM23" s="227"/>
      <c r="AN23" s="71"/>
      <c r="AO23" s="201"/>
      <c r="AP23" s="71"/>
      <c r="AQ23" s="227"/>
      <c r="AR23" s="71"/>
      <c r="AS23" s="227"/>
      <c r="AT23" s="228"/>
      <c r="AU23" s="227"/>
      <c r="AV23" s="228"/>
      <c r="AW23" s="227"/>
      <c r="AX23" s="229" t="n">
        <f aca="false">SUM(R23+T23+V23+X23+Z23+AB23+AD23+AF23+AH23+AJ23+AL23+AN23+AP23+AR23)</f>
        <v>10.6</v>
      </c>
      <c r="AY23" s="230" t="n">
        <f aca="false">SUM(AX23*1000)/48</f>
        <v>220.833333333333</v>
      </c>
      <c r="AZ23" s="231" t="n">
        <f aca="false">IFERROR(VLOOKUP(A23,'Site check'!$A$14:$O$47,15,0),0)</f>
        <v>0</v>
      </c>
      <c r="BA23" s="232" t="n">
        <f aca="false">SUM(AZ23*1000)/48</f>
        <v>0</v>
      </c>
      <c r="BB23" s="90" t="n">
        <f aca="false">SUM(P23/2)+E23</f>
        <v>314.886666666667</v>
      </c>
      <c r="BC23" s="90" t="n">
        <f aca="false">SUM(P23/2)+F23</f>
        <v>176.246666666667</v>
      </c>
    </row>
    <row r="24" customFormat="false" ht="13.15" hidden="false" customHeight="false" outlineLevel="0" collapsed="false">
      <c r="A24" s="0" t="str">
        <f aca="false">[2]Sheet1!A24</f>
        <v>ACTN01_SEC_CBDB_ALAM1_04 - CAPPED - Do not Allocate</v>
      </c>
      <c r="B24" s="0" t="str">
        <f aca="false">[2]Sheet1!B24</f>
        <v>ACTN01;DC SYS01</v>
      </c>
      <c r="C24" s="44" t="str">
        <f aca="false">[2]Sheet1!C24</f>
        <v>ACTN01</v>
      </c>
      <c r="D24" s="44" t="s">
        <v>343</v>
      </c>
      <c r="E24" s="0" t="n">
        <f aca="false">[2]Sheet1!D24</f>
        <v>260</v>
      </c>
      <c r="F24" s="0" t="n">
        <f aca="false">[2]Sheet1!E24</f>
        <v>250</v>
      </c>
      <c r="G24" s="45" t="n">
        <f aca="false">[2]Sheet1!F24</f>
        <v>44182</v>
      </c>
      <c r="H24" s="0" t="n">
        <f aca="false">[2]Sheet1!G24</f>
        <v>300</v>
      </c>
      <c r="I24" s="0" t="n">
        <f aca="false">[2]Sheet1!H24</f>
        <v>300</v>
      </c>
      <c r="J24" s="0" t="n">
        <f aca="false">[2]Sheet1!I24</f>
        <v>0</v>
      </c>
      <c r="K24" s="0" t="n">
        <f aca="false">[2]Sheet1!J24</f>
        <v>0</v>
      </c>
      <c r="L24" s="0" t="n">
        <f aca="false">[2]Sheet1!K24</f>
        <v>0</v>
      </c>
      <c r="M24" s="0" t="n">
        <f aca="false">[2]Sheet1!L24</f>
        <v>0</v>
      </c>
      <c r="N24" s="0" t="n">
        <f aca="false">[2]Sheet1!M24</f>
        <v>0</v>
      </c>
      <c r="O24" s="0" t="n">
        <f aca="false">[2]Sheet1!N24</f>
        <v>4</v>
      </c>
      <c r="P24" s="226" t="n">
        <f aca="false">SUM(AY24+BA24)</f>
        <v>0</v>
      </c>
      <c r="Q24" s="201"/>
      <c r="R24" s="71"/>
      <c r="S24" s="227"/>
      <c r="T24" s="71"/>
      <c r="U24" s="201"/>
      <c r="V24" s="71"/>
      <c r="W24" s="227"/>
      <c r="X24" s="71"/>
      <c r="Y24" s="201"/>
      <c r="Z24" s="71"/>
      <c r="AA24" s="227"/>
      <c r="AB24" s="71"/>
      <c r="AC24" s="201"/>
      <c r="AD24" s="71"/>
      <c r="AE24" s="227"/>
      <c r="AF24" s="71"/>
      <c r="AG24" s="201"/>
      <c r="AH24" s="71"/>
      <c r="AI24" s="227"/>
      <c r="AJ24" s="71"/>
      <c r="AK24" s="201"/>
      <c r="AL24" s="71"/>
      <c r="AM24" s="227"/>
      <c r="AN24" s="71"/>
      <c r="AO24" s="201"/>
      <c r="AP24" s="71"/>
      <c r="AQ24" s="227"/>
      <c r="AR24" s="71"/>
      <c r="AS24" s="227"/>
      <c r="AT24" s="228"/>
      <c r="AU24" s="227"/>
      <c r="AV24" s="228"/>
      <c r="AW24" s="227"/>
      <c r="AX24" s="229" t="n">
        <f aca="false">SUM(R24+T24+V24+X24+Z24+AB24+AD24+AF24+AH24+AJ24+AL24+AN24+AP24+AR24)</f>
        <v>0</v>
      </c>
      <c r="AY24" s="230" t="n">
        <f aca="false">SUM(AX24*1000)/48</f>
        <v>0</v>
      </c>
      <c r="AZ24" s="231" t="n">
        <f aca="false">IFERROR(VLOOKUP(A24,'Site check'!$A$14:$O$47,15,0),0)</f>
        <v>0</v>
      </c>
      <c r="BA24" s="232" t="n">
        <f aca="false">SUM(AZ24*1000)/48</f>
        <v>0</v>
      </c>
      <c r="BB24" s="90" t="n">
        <f aca="false">SUM(P24/2)+E24</f>
        <v>260</v>
      </c>
      <c r="BC24" s="90" t="n">
        <f aca="false">SUM(P24/2)+F24</f>
        <v>250</v>
      </c>
    </row>
    <row r="25" customFormat="false" ht="13.15" hidden="false" customHeight="false" outlineLevel="0" collapsed="false">
      <c r="A25" s="0" t="str">
        <f aca="false">[2]Sheet1!A25</f>
        <v>ACTN01_SEC_DD770_ACAD1_01</v>
      </c>
      <c r="B25" s="0" t="str">
        <f aca="false">[2]Sheet1!B25</f>
        <v>ACTN01;DC SYS01</v>
      </c>
      <c r="C25" s="44" t="str">
        <f aca="false">[2]Sheet1!C25</f>
        <v>ACTN01</v>
      </c>
      <c r="D25" s="44" t="s">
        <v>343</v>
      </c>
      <c r="E25" s="0" t="n">
        <f aca="false">[2]Sheet1!D25</f>
        <v>100</v>
      </c>
      <c r="F25" s="0" t="n">
        <f aca="false">[2]Sheet1!E25</f>
        <v>100</v>
      </c>
      <c r="G25" s="45" t="n">
        <f aca="false">[2]Sheet1!F25</f>
        <v>45078</v>
      </c>
      <c r="H25" s="0" t="n">
        <f aca="false">[2]Sheet1!G25</f>
        <v>300</v>
      </c>
      <c r="I25" s="0" t="n">
        <f aca="false">[2]Sheet1!H25</f>
        <v>300</v>
      </c>
      <c r="J25" s="0" t="n">
        <f aca="false">[2]Sheet1!I25</f>
        <v>1</v>
      </c>
      <c r="K25" s="0" t="n">
        <f aca="false">[2]Sheet1!J25</f>
        <v>0</v>
      </c>
      <c r="L25" s="0" t="n">
        <f aca="false">[2]Sheet1!K25</f>
        <v>0</v>
      </c>
      <c r="M25" s="0" t="n">
        <f aca="false">[2]Sheet1!L25</f>
        <v>17</v>
      </c>
      <c r="N25" s="0" t="n">
        <f aca="false">[2]Sheet1!M25</f>
        <v>8</v>
      </c>
      <c r="O25" s="0" t="n">
        <f aca="false">[2]Sheet1!N25</f>
        <v>0</v>
      </c>
      <c r="P25" s="226" t="n">
        <f aca="false">SUM(AY25+BA25)</f>
        <v>0</v>
      </c>
      <c r="Q25" s="201"/>
      <c r="R25" s="71"/>
      <c r="S25" s="227"/>
      <c r="T25" s="71"/>
      <c r="U25" s="201"/>
      <c r="V25" s="71"/>
      <c r="W25" s="227"/>
      <c r="X25" s="71"/>
      <c r="Y25" s="201"/>
      <c r="Z25" s="71"/>
      <c r="AA25" s="227"/>
      <c r="AB25" s="71"/>
      <c r="AC25" s="201"/>
      <c r="AD25" s="71"/>
      <c r="AE25" s="227"/>
      <c r="AF25" s="71"/>
      <c r="AG25" s="201"/>
      <c r="AH25" s="71"/>
      <c r="AI25" s="227"/>
      <c r="AJ25" s="71"/>
      <c r="AK25" s="201"/>
      <c r="AL25" s="71"/>
      <c r="AM25" s="227"/>
      <c r="AN25" s="71"/>
      <c r="AO25" s="201"/>
      <c r="AP25" s="71"/>
      <c r="AQ25" s="227"/>
      <c r="AR25" s="71"/>
      <c r="AS25" s="227"/>
      <c r="AT25" s="228"/>
      <c r="AU25" s="227"/>
      <c r="AV25" s="228"/>
      <c r="AW25" s="227"/>
      <c r="AX25" s="229" t="n">
        <f aca="false">SUM(R25+T25+V25+X25+Z25+AB25+AD25+AF25+AH25+AJ25+AL25+AN25+AP25+AR25)</f>
        <v>0</v>
      </c>
      <c r="AY25" s="230" t="n">
        <f aca="false">SUM(AX25*1000)/48</f>
        <v>0</v>
      </c>
      <c r="AZ25" s="231" t="n">
        <f aca="false">IFERROR(VLOOKUP(A25,'Site check'!$A$14:$O$47,15,0),0)</f>
        <v>0</v>
      </c>
      <c r="BA25" s="232" t="n">
        <f aca="false">SUM(AZ25*1000)/48</f>
        <v>0</v>
      </c>
      <c r="BB25" s="90" t="n">
        <f aca="false">SUM(P25/2)+E25</f>
        <v>100</v>
      </c>
      <c r="BC25" s="90" t="n">
        <f aca="false">SUM(P25/2)+F25</f>
        <v>100</v>
      </c>
    </row>
    <row r="26" customFormat="false" ht="13.15" hidden="false" customHeight="false" outlineLevel="0" collapsed="false">
      <c r="A26" s="0" t="str">
        <f aca="false">[2]Sheet1!A26</f>
        <v>ACTN01_SEC_DD770_AEAF1_02</v>
      </c>
      <c r="B26" s="0" t="str">
        <f aca="false">[2]Sheet1!B26</f>
        <v>ACTN01;DC SYS01</v>
      </c>
      <c r="C26" s="44" t="str">
        <f aca="false">[2]Sheet1!C26</f>
        <v>ACTN01</v>
      </c>
      <c r="D26" s="44" t="s">
        <v>343</v>
      </c>
      <c r="E26" s="0" t="n">
        <f aca="false">[2]Sheet1!D26</f>
        <v>140</v>
      </c>
      <c r="F26" s="0" t="n">
        <f aca="false">[2]Sheet1!E26</f>
        <v>190</v>
      </c>
      <c r="G26" s="45" t="n">
        <f aca="false">[2]Sheet1!F26</f>
        <v>45078</v>
      </c>
      <c r="H26" s="0" t="n">
        <f aca="false">[2]Sheet1!G26</f>
        <v>300</v>
      </c>
      <c r="I26" s="0" t="n">
        <f aca="false">[2]Sheet1!H26</f>
        <v>300</v>
      </c>
      <c r="J26" s="0" t="n">
        <f aca="false">[2]Sheet1!I26</f>
        <v>3</v>
      </c>
      <c r="K26" s="0" t="n">
        <f aca="false">[2]Sheet1!J26</f>
        <v>6</v>
      </c>
      <c r="L26" s="0" t="n">
        <f aca="false">[2]Sheet1!K26</f>
        <v>0</v>
      </c>
      <c r="M26" s="0" t="n">
        <f aca="false">[2]Sheet1!L26</f>
        <v>2</v>
      </c>
      <c r="N26" s="0" t="n">
        <f aca="false">[2]Sheet1!M26</f>
        <v>12</v>
      </c>
      <c r="O26" s="0" t="n">
        <f aca="false">[2]Sheet1!N26</f>
        <v>0</v>
      </c>
      <c r="P26" s="226" t="n">
        <f aca="false">SUM(AY26+BA26)</f>
        <v>83.3333333333333</v>
      </c>
      <c r="Q26" s="177" t="s">
        <v>963</v>
      </c>
      <c r="R26" s="235" t="n">
        <v>3</v>
      </c>
      <c r="S26" s="179" t="s">
        <v>964</v>
      </c>
      <c r="T26" s="233" t="n">
        <v>1</v>
      </c>
      <c r="U26" s="201"/>
      <c r="V26" s="71"/>
      <c r="W26" s="227"/>
      <c r="X26" s="71"/>
      <c r="Y26" s="201"/>
      <c r="Z26" s="71"/>
      <c r="AA26" s="227"/>
      <c r="AB26" s="71"/>
      <c r="AC26" s="201"/>
      <c r="AD26" s="71"/>
      <c r="AE26" s="227"/>
      <c r="AF26" s="71"/>
      <c r="AG26" s="201"/>
      <c r="AH26" s="71"/>
      <c r="AI26" s="227"/>
      <c r="AJ26" s="71"/>
      <c r="AK26" s="201"/>
      <c r="AL26" s="71"/>
      <c r="AM26" s="227"/>
      <c r="AN26" s="71"/>
      <c r="AO26" s="201"/>
      <c r="AP26" s="71"/>
      <c r="AQ26" s="227"/>
      <c r="AR26" s="71"/>
      <c r="AS26" s="227"/>
      <c r="AT26" s="228"/>
      <c r="AU26" s="227"/>
      <c r="AV26" s="228"/>
      <c r="AW26" s="227"/>
      <c r="AX26" s="229" t="n">
        <f aca="false">SUM(R26+T26+V26+X26+Z26+AB26+AD26+AF26+AH26+AJ26+AL26+AN26+AP26+AR26)</f>
        <v>4</v>
      </c>
      <c r="AY26" s="230" t="n">
        <f aca="false">SUM(AX26*1000)/48</f>
        <v>83.3333333333333</v>
      </c>
      <c r="AZ26" s="231" t="n">
        <f aca="false">IFERROR(VLOOKUP(A26,'Site check'!$A$14:$O$47,15,0),0)</f>
        <v>0</v>
      </c>
      <c r="BA26" s="232" t="n">
        <f aca="false">SUM(AZ26*1000)/48</f>
        <v>0</v>
      </c>
      <c r="BB26" s="90" t="n">
        <f aca="false">SUM(P26/2)+E26</f>
        <v>181.666666666667</v>
      </c>
      <c r="BC26" s="90" t="n">
        <f aca="false">SUM(P26/2)+F26</f>
        <v>231.666666666667</v>
      </c>
    </row>
    <row r="27" customFormat="false" ht="13.15" hidden="false" customHeight="false" outlineLevel="0" collapsed="false">
      <c r="A27" s="0" t="str">
        <f aca="false">[2]Sheet1!A27</f>
        <v>ACTN01_SEC_DD770_AGAH1_03</v>
      </c>
      <c r="B27" s="0" t="str">
        <f aca="false">[2]Sheet1!B27</f>
        <v>ACTN01;DC SYS01</v>
      </c>
      <c r="C27" s="44" t="str">
        <f aca="false">[2]Sheet1!C27</f>
        <v>ACTN01</v>
      </c>
      <c r="D27" s="44" t="s">
        <v>343</v>
      </c>
      <c r="E27" s="0" t="n">
        <f aca="false">[2]Sheet1!D27</f>
        <v>110</v>
      </c>
      <c r="F27" s="0" t="n">
        <f aca="false">[2]Sheet1!E27</f>
        <v>120</v>
      </c>
      <c r="G27" s="45" t="n">
        <f aca="false">[2]Sheet1!F27</f>
        <v>45084</v>
      </c>
      <c r="H27" s="0" t="n">
        <f aca="false">[2]Sheet1!G27</f>
        <v>300</v>
      </c>
      <c r="I27" s="0" t="n">
        <f aca="false">[2]Sheet1!H27</f>
        <v>300</v>
      </c>
      <c r="J27" s="0" t="n">
        <f aca="false">[2]Sheet1!I27</f>
        <v>5</v>
      </c>
      <c r="K27" s="0" t="n">
        <f aca="false">[2]Sheet1!J27</f>
        <v>6</v>
      </c>
      <c r="L27" s="0" t="n">
        <f aca="false">[2]Sheet1!K27</f>
        <v>0</v>
      </c>
      <c r="M27" s="0" t="n">
        <f aca="false">[2]Sheet1!L27</f>
        <v>2</v>
      </c>
      <c r="N27" s="0" t="n">
        <f aca="false">[2]Sheet1!M27</f>
        <v>10</v>
      </c>
      <c r="O27" s="0" t="n">
        <f aca="false">[2]Sheet1!N27</f>
        <v>0</v>
      </c>
      <c r="P27" s="226" t="n">
        <f aca="false">SUM(AY27+BA27)</f>
        <v>0</v>
      </c>
      <c r="Q27" s="201"/>
      <c r="R27" s="71"/>
      <c r="S27" s="227"/>
      <c r="T27" s="71"/>
      <c r="U27" s="201"/>
      <c r="V27" s="71"/>
      <c r="W27" s="227"/>
      <c r="X27" s="71"/>
      <c r="Y27" s="201"/>
      <c r="Z27" s="71"/>
      <c r="AA27" s="227"/>
      <c r="AB27" s="71"/>
      <c r="AC27" s="201"/>
      <c r="AD27" s="71"/>
      <c r="AE27" s="227"/>
      <c r="AF27" s="71"/>
      <c r="AG27" s="201"/>
      <c r="AH27" s="71"/>
      <c r="AI27" s="227"/>
      <c r="AJ27" s="71"/>
      <c r="AK27" s="201"/>
      <c r="AL27" s="71"/>
      <c r="AM27" s="227"/>
      <c r="AN27" s="71"/>
      <c r="AO27" s="201"/>
      <c r="AP27" s="71"/>
      <c r="AQ27" s="227"/>
      <c r="AR27" s="71"/>
      <c r="AS27" s="227"/>
      <c r="AT27" s="228"/>
      <c r="AU27" s="227"/>
      <c r="AV27" s="228"/>
      <c r="AW27" s="227"/>
      <c r="AX27" s="229" t="n">
        <f aca="false">SUM(R27+T27+V27+X27+Z27+AB27+AD27+AF27+AH27+AJ27+AL27+AN27+AP27+AR27)</f>
        <v>0</v>
      </c>
      <c r="AY27" s="230" t="n">
        <f aca="false">SUM(AX27*1000)/48</f>
        <v>0</v>
      </c>
      <c r="AZ27" s="231" t="n">
        <f aca="false">IFERROR(VLOOKUP(A27,'Site check'!$A$14:$O$47,15,0),0)</f>
        <v>0</v>
      </c>
      <c r="BA27" s="232" t="n">
        <f aca="false">SUM(AZ27*1000)/48</f>
        <v>0</v>
      </c>
      <c r="BB27" s="90" t="n">
        <f aca="false">SUM(P27/2)+E27</f>
        <v>110</v>
      </c>
      <c r="BC27" s="90" t="n">
        <f aca="false">SUM(P27/2)+F27</f>
        <v>120</v>
      </c>
    </row>
    <row r="28" customFormat="false" ht="13.15" hidden="false" customHeight="false" outlineLevel="0" collapsed="false">
      <c r="A28" s="0" t="str">
        <f aca="false">[2]Sheet1!A28</f>
        <v>ACTN01_SEC_DD770_ATAS1_05</v>
      </c>
      <c r="B28" s="0" t="str">
        <f aca="false">[2]Sheet1!B28</f>
        <v>ACTN01;DC SYS01</v>
      </c>
      <c r="C28" s="44" t="str">
        <f aca="false">[2]Sheet1!C28</f>
        <v>ACTN01</v>
      </c>
      <c r="D28" s="44" t="s">
        <v>343</v>
      </c>
      <c r="E28" s="0" t="n">
        <f aca="false">[2]Sheet1!D28</f>
        <v>74</v>
      </c>
      <c r="F28" s="0" t="n">
        <f aca="false">[2]Sheet1!E28</f>
        <v>73</v>
      </c>
      <c r="G28" s="45" t="n">
        <f aca="false">[2]Sheet1!F28</f>
        <v>45078</v>
      </c>
      <c r="H28" s="0" t="n">
        <f aca="false">[2]Sheet1!G28</f>
        <v>200</v>
      </c>
      <c r="I28" s="0" t="n">
        <f aca="false">[2]Sheet1!H28</f>
        <v>200</v>
      </c>
      <c r="J28" s="0" t="n">
        <f aca="false">[2]Sheet1!I28</f>
        <v>0</v>
      </c>
      <c r="K28" s="0" t="n">
        <f aca="false">[2]Sheet1!J28</f>
        <v>0</v>
      </c>
      <c r="L28" s="0" t="n">
        <f aca="false">[2]Sheet1!K28</f>
        <v>4</v>
      </c>
      <c r="M28" s="0" t="n">
        <f aca="false">[2]Sheet1!L28</f>
        <v>0</v>
      </c>
      <c r="N28" s="0" t="n">
        <f aca="false">[2]Sheet1!M28</f>
        <v>0</v>
      </c>
      <c r="O28" s="0" t="n">
        <f aca="false">[2]Sheet1!N28</f>
        <v>23</v>
      </c>
      <c r="P28" s="226" t="n">
        <f aca="false">SUM(AY28+BA28)</f>
        <v>0</v>
      </c>
      <c r="Q28" s="201"/>
      <c r="R28" s="71"/>
      <c r="S28" s="227"/>
      <c r="T28" s="71"/>
      <c r="U28" s="201"/>
      <c r="V28" s="71"/>
      <c r="W28" s="227"/>
      <c r="X28" s="71"/>
      <c r="Y28" s="201"/>
      <c r="Z28" s="71"/>
      <c r="AA28" s="227"/>
      <c r="AB28" s="71"/>
      <c r="AC28" s="201"/>
      <c r="AD28" s="71"/>
      <c r="AE28" s="227"/>
      <c r="AF28" s="71"/>
      <c r="AG28" s="201"/>
      <c r="AH28" s="71"/>
      <c r="AI28" s="227"/>
      <c r="AJ28" s="71"/>
      <c r="AK28" s="201"/>
      <c r="AL28" s="71"/>
      <c r="AM28" s="227"/>
      <c r="AN28" s="71"/>
      <c r="AO28" s="201"/>
      <c r="AP28" s="71"/>
      <c r="AQ28" s="227"/>
      <c r="AR28" s="71"/>
      <c r="AS28" s="227"/>
      <c r="AT28" s="228"/>
      <c r="AU28" s="227"/>
      <c r="AV28" s="228"/>
      <c r="AW28" s="227"/>
      <c r="AX28" s="229" t="n">
        <f aca="false">SUM(R28+T28+V28+X28+Z28+AB28+AD28+AF28+AH28+AJ28+AL28+AN28+AP28+AR28)</f>
        <v>0</v>
      </c>
      <c r="AY28" s="230" t="n">
        <f aca="false">SUM(AX28*1000)/48</f>
        <v>0</v>
      </c>
      <c r="AZ28" s="231" t="n">
        <f aca="false">IFERROR(VLOOKUP(A28,'Site check'!$A$14:$O$47,15,0),0)</f>
        <v>0</v>
      </c>
      <c r="BA28" s="232" t="n">
        <f aca="false">SUM(AZ28*1000)/48</f>
        <v>0</v>
      </c>
      <c r="BB28" s="90" t="n">
        <f aca="false">SUM(P28/2)+E28</f>
        <v>74</v>
      </c>
      <c r="BC28" s="90" t="n">
        <f aca="false">SUM(P28/2)+F28</f>
        <v>73</v>
      </c>
    </row>
    <row r="29" customFormat="false" ht="13.15" hidden="false" customHeight="false" outlineLevel="0" collapsed="false">
      <c r="A29" s="0" t="str">
        <f aca="false">[2]Sheet1!A29</f>
        <v>BHWCN1_SYS_DCDB_WALL</v>
      </c>
      <c r="B29" s="0" t="str">
        <f aca="false">[2]Sheet1!B29</f>
        <v>BHWCN1;DC SYS01</v>
      </c>
      <c r="C29" s="44" t="str">
        <f aca="false">[2]Sheet1!C29</f>
        <v>BHWCN1</v>
      </c>
      <c r="D29" s="44" t="s">
        <v>418</v>
      </c>
      <c r="E29" s="0" t="str">
        <f aca="false">[2]Sheet1!D29</f>
        <v>90A</v>
      </c>
      <c r="F29" s="0" t="str">
        <f aca="false">[2]Sheet1!E29</f>
        <v>90A</v>
      </c>
      <c r="G29" s="45" t="n">
        <f aca="false">[2]Sheet1!F29</f>
        <v>42816</v>
      </c>
      <c r="H29" s="0" t="n">
        <f aca="false">[2]Sheet1!G29</f>
        <v>375</v>
      </c>
      <c r="I29" s="0" t="n">
        <f aca="false">[2]Sheet1!H29</f>
        <v>375</v>
      </c>
      <c r="J29" s="0" t="n">
        <f aca="false">[2]Sheet1!I29</f>
        <v>0</v>
      </c>
      <c r="K29" s="0" t="n">
        <f aca="false">[2]Sheet1!J29</f>
        <v>7</v>
      </c>
      <c r="L29" s="0" t="n">
        <f aca="false">[2]Sheet1!K29</f>
        <v>1</v>
      </c>
      <c r="M29" s="0" t="n">
        <f aca="false">[2]Sheet1!L29</f>
        <v>0</v>
      </c>
      <c r="N29" s="0" t="n">
        <f aca="false">[2]Sheet1!M29</f>
        <v>1</v>
      </c>
      <c r="O29" s="0" t="n">
        <f aca="false">[2]Sheet1!N29</f>
        <v>0</v>
      </c>
      <c r="P29" s="226" t="n">
        <f aca="false">SUM(AY29+BA29)</f>
        <v>20.8333333333333</v>
      </c>
      <c r="Q29" s="179" t="s">
        <v>1011</v>
      </c>
      <c r="R29" s="180" t="n">
        <v>1</v>
      </c>
      <c r="S29" s="227"/>
      <c r="T29" s="71"/>
      <c r="U29" s="201"/>
      <c r="V29" s="71"/>
      <c r="W29" s="227"/>
      <c r="X29" s="71"/>
      <c r="Y29" s="201"/>
      <c r="Z29" s="71"/>
      <c r="AA29" s="227"/>
      <c r="AB29" s="71"/>
      <c r="AC29" s="201"/>
      <c r="AD29" s="71"/>
      <c r="AE29" s="227"/>
      <c r="AF29" s="71"/>
      <c r="AG29" s="201"/>
      <c r="AH29" s="71"/>
      <c r="AI29" s="227"/>
      <c r="AJ29" s="71"/>
      <c r="AK29" s="201"/>
      <c r="AL29" s="71"/>
      <c r="AM29" s="227"/>
      <c r="AN29" s="71"/>
      <c r="AO29" s="201"/>
      <c r="AP29" s="71"/>
      <c r="AQ29" s="227"/>
      <c r="AR29" s="71"/>
      <c r="AS29" s="227"/>
      <c r="AT29" s="228"/>
      <c r="AU29" s="227"/>
      <c r="AV29" s="228"/>
      <c r="AW29" s="227"/>
      <c r="AX29" s="229" t="n">
        <f aca="false">SUM(R29+T29+V29+X29+Z29+AB29+AD29+AF29+AH29+AJ29+AL29+AN29+AP29+AR29)</f>
        <v>1</v>
      </c>
      <c r="AY29" s="230" t="n">
        <f aca="false">SUM(AX29*1000)/48</f>
        <v>20.8333333333333</v>
      </c>
      <c r="AZ29" s="231" t="n">
        <f aca="false">IFERROR(VLOOKUP(A29,'Site check'!$A$14:$O$47,15,0),0)</f>
        <v>0</v>
      </c>
      <c r="BA29" s="232" t="n">
        <f aca="false">SUM(AZ29*1000)/48</f>
        <v>0</v>
      </c>
      <c r="BB29" s="90" t="e">
        <f aca="false">SUM(P29/2)+E29</f>
        <v>#VALUE!</v>
      </c>
      <c r="BC29" s="90" t="e">
        <f aca="false">SUM(P29/2)+F29</f>
        <v>#VALUE!</v>
      </c>
    </row>
    <row r="30" customFormat="false" ht="13.15" hidden="false" customHeight="false" outlineLevel="0" collapsed="false">
      <c r="A30" s="0" t="str">
        <f aca="false">[2]Sheet1!A30</f>
        <v>BTFTB1_PDU1A_B</v>
      </c>
      <c r="B30" s="0" t="str">
        <f aca="false">[2]Sheet1!B30</f>
        <v>BTFTB1;DC SYS02</v>
      </c>
      <c r="C30" s="44" t="str">
        <f aca="false">[2]Sheet1!C30</f>
        <v>BTFTB1</v>
      </c>
      <c r="D30" s="44" t="s">
        <v>461</v>
      </c>
      <c r="E30" s="0" t="n">
        <f aca="false">[2]Sheet1!D30</f>
        <v>342.13</v>
      </c>
      <c r="F30" s="0" t="n">
        <f aca="false">[2]Sheet1!E30</f>
        <v>313.81</v>
      </c>
      <c r="G30" s="45" t="n">
        <f aca="false">[2]Sheet1!F30</f>
        <v>45665</v>
      </c>
      <c r="H30" s="0" t="n">
        <f aca="false">[2]Sheet1!G30</f>
        <v>600</v>
      </c>
      <c r="I30" s="0" t="n">
        <f aca="false">[2]Sheet1!H30</f>
        <v>600</v>
      </c>
      <c r="J30" s="0" t="n">
        <f aca="false">[2]Sheet1!I30</f>
        <v>0</v>
      </c>
      <c r="K30" s="0" t="n">
        <f aca="false">[2]Sheet1!J30</f>
        <v>0</v>
      </c>
      <c r="L30" s="0" t="n">
        <f aca="false">[2]Sheet1!K30</f>
        <v>0</v>
      </c>
      <c r="M30" s="0" t="n">
        <f aca="false">[2]Sheet1!L30</f>
        <v>0</v>
      </c>
      <c r="N30" s="0" t="n">
        <f aca="false">[2]Sheet1!M30</f>
        <v>0</v>
      </c>
      <c r="O30" s="0" t="n">
        <f aca="false">[2]Sheet1!N30</f>
        <v>0</v>
      </c>
      <c r="P30" s="226" t="n">
        <f aca="false">SUM(AY30+BA30)</f>
        <v>618.75</v>
      </c>
      <c r="Q30" s="170"/>
      <c r="R30" s="171"/>
      <c r="S30" s="170" t="s">
        <v>1072</v>
      </c>
      <c r="T30" s="171" t="n">
        <v>1.6</v>
      </c>
      <c r="U30" s="170" t="s">
        <v>1073</v>
      </c>
      <c r="V30" s="171" t="n">
        <v>1.3</v>
      </c>
      <c r="W30" s="170" t="s">
        <v>1074</v>
      </c>
      <c r="X30" s="171" t="n">
        <v>10.2</v>
      </c>
      <c r="Y30" s="181" t="s">
        <v>1076</v>
      </c>
      <c r="Z30" s="237" t="n">
        <v>1.7</v>
      </c>
      <c r="AA30" s="181"/>
      <c r="AB30" s="175"/>
      <c r="AC30" s="173" t="s">
        <v>1080</v>
      </c>
      <c r="AD30" s="174" t="n">
        <v>1.7</v>
      </c>
      <c r="AE30" s="238" t="s">
        <v>1078</v>
      </c>
      <c r="AF30" s="239" t="n">
        <v>2</v>
      </c>
      <c r="AG30" s="181" t="s">
        <v>1460</v>
      </c>
      <c r="AH30" s="237" t="n">
        <v>2.4</v>
      </c>
      <c r="AI30" s="181" t="s">
        <v>1082</v>
      </c>
      <c r="AJ30" s="237" t="n">
        <v>2.4</v>
      </c>
      <c r="AK30" s="170" t="s">
        <v>1071</v>
      </c>
      <c r="AL30" s="171" t="n">
        <v>2.5</v>
      </c>
      <c r="AM30" s="173" t="s">
        <v>1461</v>
      </c>
      <c r="AN30" s="174" t="n">
        <v>3.9</v>
      </c>
      <c r="AO30" s="201"/>
      <c r="AP30" s="71"/>
      <c r="AQ30" s="227"/>
      <c r="AR30" s="71"/>
      <c r="AS30" s="227"/>
      <c r="AT30" s="228"/>
      <c r="AU30" s="227"/>
      <c r="AV30" s="228"/>
      <c r="AW30" s="227"/>
      <c r="AX30" s="229" t="n">
        <f aca="false">SUM(R30+T30+V30+X30+Z30+AB30+AD30+AF30+AH30+AJ30+AL30+AN30+AP30+AR30)</f>
        <v>29.7</v>
      </c>
      <c r="AY30" s="230" t="n">
        <f aca="false">SUM(AX30*1000)/48</f>
        <v>618.75</v>
      </c>
      <c r="AZ30" s="231" t="n">
        <f aca="false">IFERROR(VLOOKUP(A30,'Site check'!$A$14:$O$47,15,0),0)</f>
        <v>0</v>
      </c>
      <c r="BA30" s="232" t="n">
        <f aca="false">SUM(AZ30*1000)/48</f>
        <v>0</v>
      </c>
      <c r="BB30" s="90" t="n">
        <f aca="false">SUM(P30/2)+E30</f>
        <v>651.505</v>
      </c>
      <c r="BC30" s="90" t="n">
        <f aca="false">SUM(P30/2)+F30</f>
        <v>623.185</v>
      </c>
    </row>
    <row r="31" customFormat="false" ht="13.15" hidden="false" customHeight="false" outlineLevel="0" collapsed="false">
      <c r="A31" s="0" t="str">
        <f aca="false">[2]Sheet1!A31</f>
        <v>Capped_BTFTB1_SEC_DCDB_C11</v>
      </c>
      <c r="B31" s="0" t="str">
        <f aca="false">[2]Sheet1!B31</f>
        <v>BTFTB1;DC SYS01</v>
      </c>
      <c r="C31" s="44" t="str">
        <f aca="false">[2]Sheet1!C31</f>
        <v>BTFTB1</v>
      </c>
      <c r="D31" s="44" t="s">
        <v>461</v>
      </c>
      <c r="E31" s="0" t="n">
        <f aca="false">[2]Sheet1!D31</f>
        <v>250</v>
      </c>
      <c r="F31" s="0" t="n">
        <f aca="false">[2]Sheet1!E31</f>
        <v>250</v>
      </c>
      <c r="G31" s="45" t="n">
        <f aca="false">[2]Sheet1!F31</f>
        <v>44258</v>
      </c>
      <c r="H31" s="0" t="n">
        <f aca="false">[2]Sheet1!G31</f>
        <v>300</v>
      </c>
      <c r="I31" s="0" t="n">
        <f aca="false">[2]Sheet1!H31</f>
        <v>300</v>
      </c>
      <c r="J31" s="0" t="n">
        <f aca="false">[2]Sheet1!I31</f>
        <v>0</v>
      </c>
      <c r="K31" s="0" t="n">
        <f aca="false">[2]Sheet1!J31</f>
        <v>0</v>
      </c>
      <c r="L31" s="0" t="n">
        <f aca="false">[2]Sheet1!K31</f>
        <v>0</v>
      </c>
      <c r="M31" s="0" t="n">
        <f aca="false">[2]Sheet1!L31</f>
        <v>0</v>
      </c>
      <c r="N31" s="0" t="n">
        <f aca="false">[2]Sheet1!M31</f>
        <v>6</v>
      </c>
      <c r="O31" s="0" t="n">
        <f aca="false">[2]Sheet1!N31</f>
        <v>13</v>
      </c>
      <c r="P31" s="226" t="n">
        <f aca="false">SUM(AY31+BA31)</f>
        <v>0</v>
      </c>
      <c r="Q31" s="201"/>
      <c r="R31" s="71"/>
      <c r="S31" s="227"/>
      <c r="T31" s="71"/>
      <c r="U31" s="201"/>
      <c r="V31" s="71"/>
      <c r="W31" s="227"/>
      <c r="X31" s="71"/>
      <c r="Y31" s="201"/>
      <c r="Z31" s="71"/>
      <c r="AA31" s="227"/>
      <c r="AB31" s="71"/>
      <c r="AC31" s="201"/>
      <c r="AD31" s="71"/>
      <c r="AE31" s="227"/>
      <c r="AF31" s="71"/>
      <c r="AG31" s="201"/>
      <c r="AH31" s="71"/>
      <c r="AI31" s="227"/>
      <c r="AJ31" s="71"/>
      <c r="AK31" s="201"/>
      <c r="AL31" s="71"/>
      <c r="AM31" s="227"/>
      <c r="AN31" s="71"/>
      <c r="AO31" s="201"/>
      <c r="AP31" s="71"/>
      <c r="AQ31" s="227"/>
      <c r="AR31" s="71"/>
      <c r="AS31" s="227"/>
      <c r="AT31" s="228"/>
      <c r="AU31" s="227"/>
      <c r="AV31" s="228"/>
      <c r="AW31" s="227"/>
      <c r="AX31" s="229" t="n">
        <f aca="false">SUM(R31+T31+V31+X31+Z31+AB31+AD31+AF31+AH31+AJ31+AL31+AN31+AP31+AR31)</f>
        <v>0</v>
      </c>
      <c r="AY31" s="230" t="n">
        <f aca="false">SUM(AX31*1000)/48</f>
        <v>0</v>
      </c>
      <c r="AZ31" s="231" t="n">
        <f aca="false">IFERROR(VLOOKUP(A31,'Site check'!$A$14:$O$47,15,0),0)</f>
        <v>0</v>
      </c>
      <c r="BA31" s="232" t="n">
        <f aca="false">SUM(AZ31*1000)/48</f>
        <v>0</v>
      </c>
      <c r="BB31" s="90" t="n">
        <f aca="false">SUM(P31/2)+E31</f>
        <v>250</v>
      </c>
      <c r="BC31" s="90" t="n">
        <f aca="false">SUM(P31/2)+F31</f>
        <v>250</v>
      </c>
    </row>
    <row r="32" customFormat="false" ht="13.15" hidden="false" customHeight="false" outlineLevel="0" collapsed="false">
      <c r="A32" s="0" t="str">
        <f aca="false">[2]Sheet1!A32</f>
        <v>Capped_BTFTB1_SEC_DCDB_Suite K14</v>
      </c>
      <c r="B32" s="0" t="str">
        <f aca="false">[2]Sheet1!B32</f>
        <v>BTFTB1;DC SYS01</v>
      </c>
      <c r="C32" s="44" t="str">
        <f aca="false">[2]Sheet1!C32</f>
        <v>BTFTB1</v>
      </c>
      <c r="D32" s="44" t="s">
        <v>461</v>
      </c>
      <c r="E32" s="0" t="n">
        <f aca="false">[2]Sheet1!D32</f>
        <v>250</v>
      </c>
      <c r="F32" s="0" t="n">
        <f aca="false">[2]Sheet1!E32</f>
        <v>250</v>
      </c>
      <c r="G32" s="45" t="n">
        <f aca="false">[2]Sheet1!F32</f>
        <v>44258</v>
      </c>
      <c r="H32" s="0" t="n">
        <f aca="false">[2]Sheet1!G32</f>
        <v>300</v>
      </c>
      <c r="I32" s="0" t="n">
        <f aca="false">[2]Sheet1!H32</f>
        <v>300</v>
      </c>
      <c r="J32" s="0" t="n">
        <f aca="false">[2]Sheet1!I32</f>
        <v>0</v>
      </c>
      <c r="K32" s="0" t="n">
        <f aca="false">[2]Sheet1!J32</f>
        <v>0</v>
      </c>
      <c r="L32" s="0" t="n">
        <f aca="false">[2]Sheet1!K32</f>
        <v>0</v>
      </c>
      <c r="M32" s="0" t="n">
        <f aca="false">[2]Sheet1!L32</f>
        <v>0</v>
      </c>
      <c r="N32" s="0" t="n">
        <f aca="false">[2]Sheet1!M32</f>
        <v>0</v>
      </c>
      <c r="O32" s="0" t="n">
        <f aca="false">[2]Sheet1!N32</f>
        <v>25</v>
      </c>
      <c r="P32" s="226" t="n">
        <f aca="false">SUM(AY32+BA32)</f>
        <v>0</v>
      </c>
      <c r="Q32" s="201"/>
      <c r="R32" s="71"/>
      <c r="S32" s="227"/>
      <c r="T32" s="71"/>
      <c r="U32" s="201"/>
      <c r="V32" s="71"/>
      <c r="W32" s="227"/>
      <c r="X32" s="71"/>
      <c r="Y32" s="201"/>
      <c r="Z32" s="71"/>
      <c r="AA32" s="227"/>
      <c r="AB32" s="71"/>
      <c r="AC32" s="201"/>
      <c r="AD32" s="71"/>
      <c r="AE32" s="227"/>
      <c r="AF32" s="71"/>
      <c r="AG32" s="201"/>
      <c r="AH32" s="71"/>
      <c r="AI32" s="227"/>
      <c r="AJ32" s="71"/>
      <c r="AK32" s="201"/>
      <c r="AL32" s="71"/>
      <c r="AM32" s="227"/>
      <c r="AN32" s="71"/>
      <c r="AO32" s="201"/>
      <c r="AP32" s="71"/>
      <c r="AQ32" s="227"/>
      <c r="AR32" s="71"/>
      <c r="AS32" s="227"/>
      <c r="AT32" s="228"/>
      <c r="AU32" s="227"/>
      <c r="AV32" s="228"/>
      <c r="AW32" s="227"/>
      <c r="AX32" s="229" t="n">
        <f aca="false">SUM(R32+T32+V32+X32+Z32+AB32+AD32+AF32+AH32+AJ32+AL32+AN32+AP32+AR32)</f>
        <v>0</v>
      </c>
      <c r="AY32" s="230" t="n">
        <f aca="false">SUM(AX32*1000)/48</f>
        <v>0</v>
      </c>
      <c r="AZ32" s="231" t="n">
        <f aca="false">IFERROR(VLOOKUP(A32,'Site check'!$A$14:$O$47,15,0),0)</f>
        <v>0</v>
      </c>
      <c r="BA32" s="232" t="n">
        <f aca="false">SUM(AZ32*1000)/48</f>
        <v>0</v>
      </c>
      <c r="BB32" s="90" t="n">
        <f aca="false">SUM(P32/2)+E32</f>
        <v>250</v>
      </c>
      <c r="BC32" s="90" t="n">
        <f aca="false">SUM(P32/2)+F32</f>
        <v>250</v>
      </c>
    </row>
    <row r="33" customFormat="false" ht="13.15" hidden="false" customHeight="false" outlineLevel="0" collapsed="false">
      <c r="A33" s="0" t="str">
        <f aca="false">[2]Sheet1!A33</f>
        <v>CHTN07_SEC_DD770_00_AB09</v>
      </c>
      <c r="B33" s="0" t="str">
        <f aca="false">[2]Sheet1!B33</f>
        <v>CHTN07;DC SYS01</v>
      </c>
      <c r="C33" s="44" t="str">
        <f aca="false">[2]Sheet1!C33</f>
        <v>CHTN07</v>
      </c>
      <c r="D33" s="44" t="s">
        <v>500</v>
      </c>
      <c r="E33" s="0" t="n">
        <f aca="false">[2]Sheet1!D33</f>
        <v>50</v>
      </c>
      <c r="F33" s="0" t="n">
        <f aca="false">[2]Sheet1!E33</f>
        <v>50</v>
      </c>
      <c r="G33" s="45" t="n">
        <f aca="false">[2]Sheet1!F33</f>
        <v>44966</v>
      </c>
      <c r="H33" s="0" t="n">
        <f aca="false">[2]Sheet1!G33</f>
        <v>300</v>
      </c>
      <c r="I33" s="0" t="n">
        <f aca="false">[2]Sheet1!H33</f>
        <v>300</v>
      </c>
      <c r="J33" s="0" t="n">
        <f aca="false">[2]Sheet1!I33</f>
        <v>5</v>
      </c>
      <c r="K33" s="0" t="n">
        <f aca="false">[2]Sheet1!J33</f>
        <v>0</v>
      </c>
      <c r="L33" s="0" t="n">
        <f aca="false">[2]Sheet1!K33</f>
        <v>6</v>
      </c>
      <c r="M33" s="0" t="n">
        <f aca="false">[2]Sheet1!L33</f>
        <v>14</v>
      </c>
      <c r="N33" s="0" t="n">
        <f aca="false">[2]Sheet1!M33</f>
        <v>12</v>
      </c>
      <c r="O33" s="0" t="n">
        <f aca="false">[2]Sheet1!N33</f>
        <v>0</v>
      </c>
      <c r="P33" s="226" t="n">
        <f aca="false">SUM(AY33+BA33)</f>
        <v>52.0833333333333</v>
      </c>
      <c r="Q33" s="170" t="s">
        <v>1114</v>
      </c>
      <c r="R33" s="234" t="n">
        <v>1</v>
      </c>
      <c r="S33" s="170" t="s">
        <v>1123</v>
      </c>
      <c r="T33" s="234" t="n">
        <v>1.5</v>
      </c>
      <c r="U33" s="201"/>
      <c r="V33" s="71"/>
      <c r="W33" s="227"/>
      <c r="X33" s="71"/>
      <c r="Y33" s="201"/>
      <c r="Z33" s="71"/>
      <c r="AA33" s="227"/>
      <c r="AB33" s="71"/>
      <c r="AC33" s="201"/>
      <c r="AD33" s="71"/>
      <c r="AE33" s="227"/>
      <c r="AF33" s="71"/>
      <c r="AG33" s="201"/>
      <c r="AH33" s="71"/>
      <c r="AI33" s="227"/>
      <c r="AJ33" s="71"/>
      <c r="AK33" s="201"/>
      <c r="AL33" s="71"/>
      <c r="AM33" s="227"/>
      <c r="AN33" s="71"/>
      <c r="AO33" s="201"/>
      <c r="AP33" s="71"/>
      <c r="AQ33" s="227"/>
      <c r="AR33" s="71"/>
      <c r="AS33" s="227"/>
      <c r="AT33" s="228"/>
      <c r="AU33" s="227"/>
      <c r="AV33" s="228"/>
      <c r="AW33" s="227"/>
      <c r="AX33" s="229" t="n">
        <f aca="false">SUM(R33+T33+V33+X33+Z33+AB33+AD33+AF33+AH33+AJ33+AL33+AN33+AP33+AR33)</f>
        <v>2.5</v>
      </c>
      <c r="AY33" s="230" t="n">
        <f aca="false">SUM(AX33*1000)/48</f>
        <v>52.0833333333333</v>
      </c>
      <c r="AZ33" s="231" t="n">
        <f aca="false">IFERROR(VLOOKUP(A33,'Site check'!$A$14:$O$47,15,0),0)</f>
        <v>0</v>
      </c>
      <c r="BA33" s="232" t="n">
        <f aca="false">SUM(AZ33*1000)/48</f>
        <v>0</v>
      </c>
      <c r="BB33" s="90" t="n">
        <f aca="false">SUM(P33/2)+E33</f>
        <v>76.0416666666667</v>
      </c>
      <c r="BC33" s="90" t="n">
        <f aca="false">SUM(P33/2)+F33</f>
        <v>76.0416666666667</v>
      </c>
    </row>
    <row r="34" customFormat="false" ht="13.15" hidden="false" customHeight="false" outlineLevel="0" collapsed="false">
      <c r="A34" s="0" t="str">
        <f aca="false">[2]Sheet1!A34</f>
        <v>CHTN07_SEC_DD770_01_CD09</v>
      </c>
      <c r="B34" s="0" t="str">
        <f aca="false">[2]Sheet1!B34</f>
        <v>CHTN07;DC SYS01</v>
      </c>
      <c r="C34" s="44" t="str">
        <f aca="false">[2]Sheet1!C34</f>
        <v>CHTN07</v>
      </c>
      <c r="D34" s="44" t="s">
        <v>500</v>
      </c>
      <c r="E34" s="0" t="n">
        <f aca="false">[2]Sheet1!D34</f>
        <v>90</v>
      </c>
      <c r="F34" s="0" t="n">
        <f aca="false">[2]Sheet1!E34</f>
        <v>100</v>
      </c>
      <c r="G34" s="45" t="n">
        <f aca="false">[2]Sheet1!F34</f>
        <v>45071</v>
      </c>
      <c r="H34" s="0" t="n">
        <f aca="false">[2]Sheet1!G34</f>
        <v>300</v>
      </c>
      <c r="I34" s="0" t="n">
        <f aca="false">[2]Sheet1!H34</f>
        <v>300</v>
      </c>
      <c r="J34" s="0" t="n">
        <f aca="false">[2]Sheet1!I34</f>
        <v>1</v>
      </c>
      <c r="K34" s="0" t="n">
        <f aca="false">[2]Sheet1!J34</f>
        <v>2</v>
      </c>
      <c r="L34" s="0" t="n">
        <f aca="false">[2]Sheet1!K34</f>
        <v>0</v>
      </c>
      <c r="M34" s="0" t="n">
        <f aca="false">[2]Sheet1!L34</f>
        <v>20</v>
      </c>
      <c r="N34" s="0" t="n">
        <f aca="false">[2]Sheet1!M34</f>
        <v>12</v>
      </c>
      <c r="O34" s="0" t="n">
        <f aca="false">[2]Sheet1!N34</f>
        <v>0</v>
      </c>
      <c r="P34" s="226" t="n">
        <f aca="false">SUM(AY34+BA34)</f>
        <v>291.666666666667</v>
      </c>
      <c r="Q34" s="170" t="s">
        <v>1116</v>
      </c>
      <c r="R34" s="240" t="n">
        <v>2</v>
      </c>
      <c r="S34" s="193" t="s">
        <v>1117</v>
      </c>
      <c r="T34" s="240" t="n">
        <v>2</v>
      </c>
      <c r="U34" s="193" t="s">
        <v>1119</v>
      </c>
      <c r="V34" s="240" t="n">
        <v>2</v>
      </c>
      <c r="W34" s="212" t="s">
        <v>1117</v>
      </c>
      <c r="X34" s="221" t="n">
        <v>2</v>
      </c>
      <c r="Y34" s="193" t="s">
        <v>1118</v>
      </c>
      <c r="Z34" s="71" t="n">
        <v>2</v>
      </c>
      <c r="AA34" s="193" t="s">
        <v>1462</v>
      </c>
      <c r="AB34" s="71" t="n">
        <v>2</v>
      </c>
      <c r="AC34" s="193" t="s">
        <v>1118</v>
      </c>
      <c r="AD34" s="71" t="n">
        <v>2</v>
      </c>
      <c r="AE34" s="227"/>
      <c r="AF34" s="71"/>
      <c r="AG34" s="201"/>
      <c r="AH34" s="71"/>
      <c r="AI34" s="227"/>
      <c r="AJ34" s="71"/>
      <c r="AK34" s="201"/>
      <c r="AL34" s="71"/>
      <c r="AM34" s="227"/>
      <c r="AN34" s="71"/>
      <c r="AO34" s="201"/>
      <c r="AP34" s="71"/>
      <c r="AQ34" s="227"/>
      <c r="AR34" s="71"/>
      <c r="AS34" s="227"/>
      <c r="AT34" s="228"/>
      <c r="AU34" s="227"/>
      <c r="AV34" s="228"/>
      <c r="AW34" s="227"/>
      <c r="AX34" s="229" t="n">
        <f aca="false">SUM(R34+T34+V34+X34+Z34+AB34+AD34+AF34+AH34+AJ34+AL34+AN34+AP34+AR34)</f>
        <v>14</v>
      </c>
      <c r="AY34" s="230" t="n">
        <f aca="false">SUM(AX34*1000)/48</f>
        <v>291.666666666667</v>
      </c>
      <c r="AZ34" s="231" t="n">
        <f aca="false">IFERROR(VLOOKUP(A34,'Site check'!$A$14:$O$47,15,0),0)</f>
        <v>0</v>
      </c>
      <c r="BA34" s="232" t="n">
        <f aca="false">SUM(AZ34*1000)/48</f>
        <v>0</v>
      </c>
      <c r="BB34" s="90" t="n">
        <f aca="false">SUM(P34/2)+E34</f>
        <v>235.833333333333</v>
      </c>
      <c r="BC34" s="90" t="n">
        <f aca="false">SUM(P34/2)+F34</f>
        <v>245.833333333333</v>
      </c>
    </row>
    <row r="35" customFormat="false" ht="13.15" hidden="false" customHeight="false" outlineLevel="0" collapsed="false">
      <c r="A35" s="0" t="str">
        <f aca="false">[2]Sheet1!A35</f>
        <v>CHTN07_SEC_DD770_02_JK01</v>
      </c>
      <c r="B35" s="0" t="str">
        <f aca="false">[2]Sheet1!B35</f>
        <v>CHTN07;DC SYS01</v>
      </c>
      <c r="C35" s="44" t="str">
        <f aca="false">[2]Sheet1!C35</f>
        <v>CHTN07</v>
      </c>
      <c r="D35" s="44" t="s">
        <v>500</v>
      </c>
      <c r="E35" s="0" t="n">
        <f aca="false">[2]Sheet1!D35</f>
        <v>80</v>
      </c>
      <c r="F35" s="0" t="n">
        <f aca="false">[2]Sheet1!E35</f>
        <v>80</v>
      </c>
      <c r="G35" s="45" t="n">
        <f aca="false">[2]Sheet1!F35</f>
        <v>44966</v>
      </c>
      <c r="H35" s="0" t="n">
        <f aca="false">[2]Sheet1!G35</f>
        <v>300</v>
      </c>
      <c r="I35" s="0" t="n">
        <f aca="false">[2]Sheet1!H35</f>
        <v>300</v>
      </c>
      <c r="J35" s="0" t="n">
        <f aca="false">[2]Sheet1!I35</f>
        <v>4</v>
      </c>
      <c r="K35" s="0" t="n">
        <f aca="false">[2]Sheet1!J35</f>
        <v>0</v>
      </c>
      <c r="L35" s="0" t="n">
        <f aca="false">[2]Sheet1!K35</f>
        <v>0</v>
      </c>
      <c r="M35" s="0" t="n">
        <f aca="false">[2]Sheet1!L35</f>
        <v>4</v>
      </c>
      <c r="N35" s="0" t="n">
        <f aca="false">[2]Sheet1!M35</f>
        <v>11</v>
      </c>
      <c r="O35" s="0" t="n">
        <f aca="false">[2]Sheet1!N35</f>
        <v>0</v>
      </c>
      <c r="P35" s="226" t="n">
        <f aca="false">SUM(AY35+BA35)</f>
        <v>0</v>
      </c>
      <c r="Q35" s="201"/>
      <c r="R35" s="71"/>
      <c r="S35" s="227"/>
      <c r="T35" s="71"/>
      <c r="U35" s="201"/>
      <c r="V35" s="71"/>
      <c r="W35" s="227"/>
      <c r="X35" s="71"/>
      <c r="Y35" s="201"/>
      <c r="Z35" s="71"/>
      <c r="AA35" s="227"/>
      <c r="AB35" s="71"/>
      <c r="AC35" s="201"/>
      <c r="AD35" s="71"/>
      <c r="AE35" s="227"/>
      <c r="AF35" s="71"/>
      <c r="AG35" s="201"/>
      <c r="AH35" s="71"/>
      <c r="AI35" s="227"/>
      <c r="AJ35" s="71"/>
      <c r="AK35" s="201"/>
      <c r="AL35" s="71"/>
      <c r="AM35" s="227"/>
      <c r="AN35" s="71"/>
      <c r="AO35" s="201"/>
      <c r="AP35" s="71"/>
      <c r="AQ35" s="227"/>
      <c r="AR35" s="71"/>
      <c r="AS35" s="227"/>
      <c r="AT35" s="228"/>
      <c r="AU35" s="227"/>
      <c r="AV35" s="228"/>
      <c r="AW35" s="227"/>
      <c r="AX35" s="229" t="n">
        <f aca="false">SUM(R35+T35+V35+X35+Z35+AB35+AD35+AF35+AH35+AJ35+AL35+AN35+AP35+AR35)</f>
        <v>0</v>
      </c>
      <c r="AY35" s="230" t="n">
        <f aca="false">SUM(AX35*1000)/48</f>
        <v>0</v>
      </c>
      <c r="AZ35" s="231" t="n">
        <f aca="false">IFERROR(VLOOKUP(A35,'Site check'!$A$14:$O$47,15,0),0)</f>
        <v>0</v>
      </c>
      <c r="BA35" s="232" t="n">
        <f aca="false">SUM(AZ35*1000)/48</f>
        <v>0</v>
      </c>
      <c r="BB35" s="90" t="n">
        <f aca="false">SUM(P35/2)+E35</f>
        <v>80</v>
      </c>
      <c r="BC35" s="90" t="n">
        <f aca="false">SUM(P35/2)+F35</f>
        <v>80</v>
      </c>
    </row>
    <row r="36" customFormat="false" ht="13.15" hidden="false" customHeight="false" outlineLevel="0" collapsed="false">
      <c r="A36" s="0" t="str">
        <f aca="false">[2]Sheet1!A36</f>
        <v>CHTN07_SEC_DD770_03_YZ01</v>
      </c>
      <c r="B36" s="0" t="str">
        <f aca="false">[2]Sheet1!B36</f>
        <v>CHTN07;DC SYS01</v>
      </c>
      <c r="C36" s="44" t="str">
        <f aca="false">[2]Sheet1!C36</f>
        <v>CHTN07</v>
      </c>
      <c r="D36" s="44" t="s">
        <v>500</v>
      </c>
      <c r="E36" s="0" t="n">
        <f aca="false">[2]Sheet1!D36</f>
        <v>60</v>
      </c>
      <c r="F36" s="0" t="n">
        <f aca="false">[2]Sheet1!E36</f>
        <v>60</v>
      </c>
      <c r="G36" s="45" t="n">
        <f aca="false">[2]Sheet1!F36</f>
        <v>44966</v>
      </c>
      <c r="H36" s="0" t="n">
        <f aca="false">[2]Sheet1!G36</f>
        <v>300</v>
      </c>
      <c r="I36" s="0" t="n">
        <f aca="false">[2]Sheet1!H36</f>
        <v>300</v>
      </c>
      <c r="J36" s="0" t="n">
        <f aca="false">[2]Sheet1!I36</f>
        <v>4</v>
      </c>
      <c r="K36" s="0" t="n">
        <f aca="false">[2]Sheet1!J36</f>
        <v>4</v>
      </c>
      <c r="L36" s="0" t="n">
        <f aca="false">[2]Sheet1!K36</f>
        <v>3</v>
      </c>
      <c r="M36" s="0" t="n">
        <f aca="false">[2]Sheet1!L36</f>
        <v>6</v>
      </c>
      <c r="N36" s="0" t="n">
        <f aca="false">[2]Sheet1!M36</f>
        <v>0</v>
      </c>
      <c r="O36" s="0" t="n">
        <f aca="false">[2]Sheet1!N36</f>
        <v>20</v>
      </c>
      <c r="P36" s="226" t="n">
        <f aca="false">SUM(AY36+BA36)</f>
        <v>0</v>
      </c>
      <c r="Q36" s="201"/>
      <c r="R36" s="71"/>
      <c r="S36" s="227"/>
      <c r="T36" s="71"/>
      <c r="U36" s="201"/>
      <c r="V36" s="71"/>
      <c r="W36" s="227"/>
      <c r="X36" s="71"/>
      <c r="Y36" s="201"/>
      <c r="Z36" s="71"/>
      <c r="AA36" s="227"/>
      <c r="AB36" s="71"/>
      <c r="AC36" s="201"/>
      <c r="AD36" s="71"/>
      <c r="AE36" s="227"/>
      <c r="AF36" s="71"/>
      <c r="AG36" s="201"/>
      <c r="AH36" s="71"/>
      <c r="AI36" s="227"/>
      <c r="AJ36" s="71"/>
      <c r="AK36" s="201"/>
      <c r="AL36" s="71"/>
      <c r="AM36" s="227"/>
      <c r="AN36" s="71"/>
      <c r="AO36" s="201"/>
      <c r="AP36" s="71"/>
      <c r="AQ36" s="227"/>
      <c r="AR36" s="71"/>
      <c r="AS36" s="227"/>
      <c r="AT36" s="228"/>
      <c r="AU36" s="227"/>
      <c r="AV36" s="228"/>
      <c r="AW36" s="227"/>
      <c r="AX36" s="229" t="n">
        <f aca="false">SUM(R36+T36+V36+X36+Z36+AB36+AD36+AF36+AH36+AJ36+AL36+AN36+AP36+AR36)</f>
        <v>0</v>
      </c>
      <c r="AY36" s="230" t="n">
        <f aca="false">SUM(AX36*1000)/48</f>
        <v>0</v>
      </c>
      <c r="AZ36" s="231" t="n">
        <f aca="false">IFERROR(VLOOKUP(A36,'Site check'!$A$14:$O$47,15,0),0)</f>
        <v>0</v>
      </c>
      <c r="BA36" s="232" t="n">
        <f aca="false">SUM(AZ36*1000)/48</f>
        <v>0</v>
      </c>
      <c r="BB36" s="90" t="n">
        <f aca="false">SUM(P36/2)+E36</f>
        <v>60</v>
      </c>
      <c r="BC36" s="90" t="n">
        <f aca="false">SUM(P36/2)+F36</f>
        <v>60</v>
      </c>
    </row>
    <row r="37" customFormat="false" ht="13.15" hidden="false" customHeight="false" outlineLevel="0" collapsed="false">
      <c r="A37" s="0" t="str">
        <f aca="false">[2]Sheet1!A37</f>
        <v>CHTN07_SEC_DD770_06_WALL_AM AN</v>
      </c>
      <c r="B37" s="0" t="str">
        <f aca="false">[2]Sheet1!B37</f>
        <v>CHTN07;DC SYS01</v>
      </c>
      <c r="C37" s="44" t="str">
        <f aca="false">[2]Sheet1!C37</f>
        <v>CHTN07</v>
      </c>
      <c r="D37" s="44" t="s">
        <v>500</v>
      </c>
      <c r="E37" s="0" t="n">
        <f aca="false">[2]Sheet1!D37</f>
        <v>10</v>
      </c>
      <c r="F37" s="0" t="n">
        <f aca="false">[2]Sheet1!E37</f>
        <v>10</v>
      </c>
      <c r="G37" s="45" t="n">
        <f aca="false">[2]Sheet1!F37</f>
        <v>44966</v>
      </c>
      <c r="H37" s="0" t="n">
        <f aca="false">[2]Sheet1!G37</f>
        <v>250</v>
      </c>
      <c r="I37" s="0" t="n">
        <f aca="false">[2]Sheet1!H37</f>
        <v>250</v>
      </c>
      <c r="J37" s="0" t="n">
        <f aca="false">[2]Sheet1!I37</f>
        <v>0</v>
      </c>
      <c r="K37" s="0" t="n">
        <f aca="false">[2]Sheet1!J37</f>
        <v>0</v>
      </c>
      <c r="L37" s="0" t="n">
        <f aca="false">[2]Sheet1!K37</f>
        <v>4</v>
      </c>
      <c r="M37" s="0" t="n">
        <f aca="false">[2]Sheet1!L37</f>
        <v>4</v>
      </c>
      <c r="N37" s="0" t="n">
        <f aca="false">[2]Sheet1!M37</f>
        <v>6</v>
      </c>
      <c r="O37" s="0" t="n">
        <f aca="false">[2]Sheet1!N37</f>
        <v>29</v>
      </c>
      <c r="P37" s="226" t="n">
        <f aca="false">SUM(AY37+BA37)</f>
        <v>0</v>
      </c>
      <c r="Q37" s="201"/>
      <c r="R37" s="71"/>
      <c r="S37" s="227"/>
      <c r="T37" s="71"/>
      <c r="U37" s="201"/>
      <c r="V37" s="71"/>
      <c r="W37" s="227"/>
      <c r="X37" s="71"/>
      <c r="Y37" s="201"/>
      <c r="Z37" s="71"/>
      <c r="AA37" s="227"/>
      <c r="AB37" s="71"/>
      <c r="AC37" s="201"/>
      <c r="AD37" s="71"/>
      <c r="AE37" s="227"/>
      <c r="AF37" s="71"/>
      <c r="AG37" s="201"/>
      <c r="AH37" s="71"/>
      <c r="AI37" s="227"/>
      <c r="AJ37" s="71"/>
      <c r="AK37" s="201"/>
      <c r="AL37" s="71"/>
      <c r="AM37" s="227"/>
      <c r="AN37" s="71"/>
      <c r="AO37" s="201"/>
      <c r="AP37" s="71"/>
      <c r="AQ37" s="227"/>
      <c r="AR37" s="71"/>
      <c r="AS37" s="227"/>
      <c r="AT37" s="228"/>
      <c r="AU37" s="227"/>
      <c r="AV37" s="228"/>
      <c r="AW37" s="227"/>
      <c r="AX37" s="229" t="n">
        <f aca="false">SUM(R37+T37+V37+X37+Z37+AB37+AD37+AF37+AH37+AJ37+AL37+AN37+AP37+AR37)</f>
        <v>0</v>
      </c>
      <c r="AY37" s="230" t="n">
        <f aca="false">SUM(AX37*1000)/48</f>
        <v>0</v>
      </c>
      <c r="AZ37" s="231" t="n">
        <f aca="false">IFERROR(VLOOKUP(A37,'Site check'!$A$14:$O$47,15,0),0)</f>
        <v>0</v>
      </c>
      <c r="BA37" s="232" t="n">
        <f aca="false">SUM(AZ37*1000)/48</f>
        <v>0</v>
      </c>
      <c r="BB37" s="90" t="n">
        <f aca="false">SUM(P37/2)+E37</f>
        <v>10</v>
      </c>
      <c r="BC37" s="90" t="n">
        <f aca="false">SUM(P37/2)+F37</f>
        <v>10</v>
      </c>
    </row>
    <row r="38" customFormat="false" ht="13.15" hidden="false" customHeight="false" outlineLevel="0" collapsed="false">
      <c r="A38" s="0" t="str">
        <f aca="false">[2]Sheet1!A38</f>
        <v>CHTN07_SEC_DD770_AA AB01</v>
      </c>
      <c r="B38" s="0" t="str">
        <f aca="false">[2]Sheet1!B38</f>
        <v>CHTN07;DC SYS01</v>
      </c>
      <c r="C38" s="44" t="str">
        <f aca="false">[2]Sheet1!C38</f>
        <v>CHTN07</v>
      </c>
      <c r="D38" s="44" t="s">
        <v>500</v>
      </c>
      <c r="E38" s="0" t="n">
        <f aca="false">[2]Sheet1!D38</f>
        <v>180</v>
      </c>
      <c r="F38" s="0" t="n">
        <f aca="false">[2]Sheet1!E38</f>
        <v>180</v>
      </c>
      <c r="G38" s="45" t="n">
        <f aca="false">[2]Sheet1!F38</f>
        <v>44966</v>
      </c>
      <c r="H38" s="0" t="n">
        <f aca="false">[2]Sheet1!G38</f>
        <v>300</v>
      </c>
      <c r="I38" s="0" t="n">
        <f aca="false">[2]Sheet1!H38</f>
        <v>300</v>
      </c>
      <c r="J38" s="0" t="n">
        <f aca="false">[2]Sheet1!I38</f>
        <v>7</v>
      </c>
      <c r="K38" s="0" t="n">
        <f aca="false">[2]Sheet1!J38</f>
        <v>0</v>
      </c>
      <c r="L38" s="0" t="n">
        <f aca="false">[2]Sheet1!K38</f>
        <v>5</v>
      </c>
      <c r="M38" s="0" t="n">
        <f aca="false">[2]Sheet1!L38</f>
        <v>0</v>
      </c>
      <c r="N38" s="0" t="n">
        <f aca="false">[2]Sheet1!M38</f>
        <v>0</v>
      </c>
      <c r="O38" s="0" t="n">
        <f aca="false">[2]Sheet1!N38</f>
        <v>17</v>
      </c>
      <c r="P38" s="226" t="n">
        <f aca="false">SUM(AY38+BA38)</f>
        <v>22.9166666666667</v>
      </c>
      <c r="Q38" s="201" t="s">
        <v>1120</v>
      </c>
      <c r="R38" s="71" t="n">
        <v>1.1</v>
      </c>
      <c r="S38" s="227"/>
      <c r="T38" s="71"/>
      <c r="U38" s="201"/>
      <c r="V38" s="71"/>
      <c r="W38" s="227"/>
      <c r="X38" s="71"/>
      <c r="Y38" s="201"/>
      <c r="Z38" s="71"/>
      <c r="AA38" s="227"/>
      <c r="AB38" s="71"/>
      <c r="AC38" s="201"/>
      <c r="AD38" s="71"/>
      <c r="AE38" s="227"/>
      <c r="AF38" s="71"/>
      <c r="AG38" s="201"/>
      <c r="AH38" s="71"/>
      <c r="AI38" s="227"/>
      <c r="AJ38" s="71"/>
      <c r="AK38" s="201"/>
      <c r="AL38" s="71"/>
      <c r="AM38" s="227"/>
      <c r="AN38" s="71"/>
      <c r="AO38" s="201"/>
      <c r="AP38" s="71"/>
      <c r="AQ38" s="227"/>
      <c r="AR38" s="71"/>
      <c r="AS38" s="227"/>
      <c r="AT38" s="228"/>
      <c r="AU38" s="227"/>
      <c r="AV38" s="228"/>
      <c r="AW38" s="227"/>
      <c r="AX38" s="229" t="n">
        <f aca="false">SUM(R38+T38+V38+X38+Z38+AB38+AD38+AF38+AH38+AJ38+AL38+AN38+AP38+AR38)</f>
        <v>1.1</v>
      </c>
      <c r="AY38" s="230" t="n">
        <f aca="false">SUM(AX38*1000)/48</f>
        <v>22.9166666666667</v>
      </c>
      <c r="AZ38" s="231" t="n">
        <f aca="false">IFERROR(VLOOKUP(A38,'Site check'!$A$14:$O$47,15,0),0)</f>
        <v>0</v>
      </c>
      <c r="BA38" s="232" t="n">
        <f aca="false">SUM(AZ38*1000)/48</f>
        <v>0</v>
      </c>
      <c r="BB38" s="90" t="n">
        <f aca="false">SUM(P38/2)+E38</f>
        <v>191.458333333333</v>
      </c>
      <c r="BC38" s="90" t="n">
        <f aca="false">SUM(P38/2)+F38</f>
        <v>191.458333333333</v>
      </c>
    </row>
    <row r="39" customFormat="false" ht="13.15" hidden="false" customHeight="false" outlineLevel="0" collapsed="false">
      <c r="A39" s="0" t="str">
        <f aca="false">[2]Sheet1!A39</f>
        <v>CHTN07_SEC_DD770_AK00</v>
      </c>
      <c r="B39" s="0" t="str">
        <f aca="false">[2]Sheet1!B39</f>
        <v>CHTN07;DC SYS01</v>
      </c>
      <c r="C39" s="44" t="str">
        <f aca="false">[2]Sheet1!C39</f>
        <v>CHTN07</v>
      </c>
      <c r="D39" s="44" t="s">
        <v>500</v>
      </c>
      <c r="E39" s="0" t="n">
        <f aca="false">[2]Sheet1!D39</f>
        <v>320</v>
      </c>
      <c r="F39" s="0" t="n">
        <f aca="false">[2]Sheet1!E39</f>
        <v>320</v>
      </c>
      <c r="G39" s="45" t="n">
        <f aca="false">[2]Sheet1!F39</f>
        <v>44966</v>
      </c>
      <c r="H39" s="0" t="n">
        <f aca="false">[2]Sheet1!G39</f>
        <v>300</v>
      </c>
      <c r="I39" s="0" t="n">
        <f aca="false">[2]Sheet1!H39</f>
        <v>300</v>
      </c>
      <c r="J39" s="0" t="n">
        <f aca="false">[2]Sheet1!I39</f>
        <v>3</v>
      </c>
      <c r="K39" s="0" t="n">
        <f aca="false">[2]Sheet1!J39</f>
        <v>2</v>
      </c>
      <c r="L39" s="0" t="n">
        <f aca="false">[2]Sheet1!K39</f>
        <v>0</v>
      </c>
      <c r="M39" s="0" t="n">
        <f aca="false">[2]Sheet1!L39</f>
        <v>0</v>
      </c>
      <c r="N39" s="0" t="n">
        <f aca="false">[2]Sheet1!M39</f>
        <v>5</v>
      </c>
      <c r="O39" s="0" t="n">
        <f aca="false">[2]Sheet1!N39</f>
        <v>10</v>
      </c>
      <c r="P39" s="226" t="n">
        <f aca="false">SUM(AY39+BA39)</f>
        <v>0</v>
      </c>
      <c r="Q39" s="201"/>
      <c r="R39" s="71"/>
      <c r="S39" s="227"/>
      <c r="T39" s="71"/>
      <c r="U39" s="201"/>
      <c r="V39" s="71"/>
      <c r="W39" s="227"/>
      <c r="X39" s="71"/>
      <c r="Y39" s="201"/>
      <c r="Z39" s="71"/>
      <c r="AA39" s="227"/>
      <c r="AB39" s="71"/>
      <c r="AC39" s="201"/>
      <c r="AD39" s="71"/>
      <c r="AE39" s="227"/>
      <c r="AF39" s="71"/>
      <c r="AG39" s="201"/>
      <c r="AH39" s="71"/>
      <c r="AI39" s="227"/>
      <c r="AJ39" s="71"/>
      <c r="AK39" s="201"/>
      <c r="AL39" s="71"/>
      <c r="AM39" s="227"/>
      <c r="AN39" s="71"/>
      <c r="AO39" s="201"/>
      <c r="AP39" s="71"/>
      <c r="AQ39" s="227"/>
      <c r="AR39" s="71"/>
      <c r="AS39" s="227"/>
      <c r="AT39" s="228"/>
      <c r="AU39" s="227"/>
      <c r="AV39" s="228"/>
      <c r="AW39" s="227"/>
      <c r="AX39" s="229" t="n">
        <f aca="false">SUM(R39+T39+V39+X39+Z39+AB39+AD39+AF39+AH39+AJ39+AL39+AN39+AP39+AR39)</f>
        <v>0</v>
      </c>
      <c r="AY39" s="230" t="n">
        <f aca="false">SUM(AX39*1000)/48</f>
        <v>0</v>
      </c>
      <c r="AZ39" s="231" t="n">
        <f aca="false">IFERROR(VLOOKUP(A39,'Site check'!$A$14:$O$47,15,0),0)</f>
        <v>0</v>
      </c>
      <c r="BA39" s="232" t="n">
        <f aca="false">SUM(AZ39*1000)/48</f>
        <v>0</v>
      </c>
      <c r="BB39" s="90" t="n">
        <f aca="false">SUM(P39/2)+E39</f>
        <v>320</v>
      </c>
      <c r="BC39" s="90" t="n">
        <f aca="false">SUM(P39/2)+F39</f>
        <v>320</v>
      </c>
    </row>
    <row r="40" customFormat="false" ht="13.15" hidden="false" customHeight="false" outlineLevel="0" collapsed="false">
      <c r="A40" s="0" t="str">
        <f aca="false">[2]Sheet1!A40</f>
        <v>CHTN07_SEC_DD770_NP01</v>
      </c>
      <c r="B40" s="0" t="str">
        <f aca="false">[2]Sheet1!B40</f>
        <v>CHTN07;DC SYS01</v>
      </c>
      <c r="C40" s="44" t="str">
        <f aca="false">[2]Sheet1!C40</f>
        <v>CHTN07</v>
      </c>
      <c r="D40" s="44" t="s">
        <v>500</v>
      </c>
      <c r="E40" s="0" t="n">
        <f aca="false">[2]Sheet1!D40</f>
        <v>50</v>
      </c>
      <c r="F40" s="0" t="n">
        <f aca="false">[2]Sheet1!E40</f>
        <v>40</v>
      </c>
      <c r="G40" s="45" t="n">
        <f aca="false">[2]Sheet1!F40</f>
        <v>44469</v>
      </c>
      <c r="H40" s="0" t="n">
        <f aca="false">[2]Sheet1!G40</f>
        <v>300</v>
      </c>
      <c r="I40" s="0" t="n">
        <f aca="false">[2]Sheet1!H40</f>
        <v>300</v>
      </c>
      <c r="J40" s="0" t="n">
        <f aca="false">[2]Sheet1!I40</f>
        <v>1</v>
      </c>
      <c r="K40" s="0" t="n">
        <f aca="false">[2]Sheet1!J40</f>
        <v>0</v>
      </c>
      <c r="L40" s="0" t="n">
        <f aca="false">[2]Sheet1!K40</f>
        <v>0</v>
      </c>
      <c r="M40" s="0" t="n">
        <f aca="false">[2]Sheet1!L40</f>
        <v>0</v>
      </c>
      <c r="N40" s="0" t="n">
        <f aca="false">[2]Sheet1!M40</f>
        <v>4</v>
      </c>
      <c r="O40" s="0" t="n">
        <f aca="false">[2]Sheet1!N40</f>
        <v>43</v>
      </c>
      <c r="P40" s="226" t="n">
        <f aca="false">SUM(AY40+BA40)</f>
        <v>0</v>
      </c>
      <c r="Q40" s="201"/>
      <c r="R40" s="71"/>
      <c r="S40" s="227"/>
      <c r="T40" s="71"/>
      <c r="U40" s="201"/>
      <c r="V40" s="71"/>
      <c r="W40" s="227"/>
      <c r="X40" s="71"/>
      <c r="Y40" s="201"/>
      <c r="Z40" s="71"/>
      <c r="AA40" s="227"/>
      <c r="AB40" s="71"/>
      <c r="AC40" s="201"/>
      <c r="AD40" s="71"/>
      <c r="AE40" s="227"/>
      <c r="AF40" s="71"/>
      <c r="AG40" s="201"/>
      <c r="AH40" s="71"/>
      <c r="AI40" s="227"/>
      <c r="AJ40" s="71"/>
      <c r="AK40" s="201"/>
      <c r="AL40" s="71"/>
      <c r="AM40" s="227"/>
      <c r="AN40" s="71"/>
      <c r="AO40" s="201"/>
      <c r="AP40" s="71"/>
      <c r="AQ40" s="227"/>
      <c r="AR40" s="71"/>
      <c r="AS40" s="227"/>
      <c r="AT40" s="228"/>
      <c r="AU40" s="227"/>
      <c r="AV40" s="228"/>
      <c r="AW40" s="227"/>
      <c r="AX40" s="229" t="n">
        <f aca="false">SUM(R40+T40+V40+X40+Z40+AB40+AD40+AF40+AH40+AJ40+AL40+AN40+AP40+AR40)</f>
        <v>0</v>
      </c>
      <c r="AY40" s="230" t="n">
        <f aca="false">SUM(AX40*1000)/48</f>
        <v>0</v>
      </c>
      <c r="AZ40" s="231" t="n">
        <f aca="false">IFERROR(VLOOKUP(A40,'Site check'!$A$14:$O$47,15,0),0)</f>
        <v>0</v>
      </c>
      <c r="BA40" s="232" t="n">
        <f aca="false">SUM(AZ40*1000)/48</f>
        <v>0</v>
      </c>
      <c r="BB40" s="90" t="n">
        <f aca="false">SUM(P40/2)+E40</f>
        <v>50</v>
      </c>
      <c r="BC40" s="90" t="n">
        <f aca="false">SUM(P40/2)+F40</f>
        <v>40</v>
      </c>
    </row>
    <row r="41" customFormat="false" ht="13.15" hidden="false" customHeight="false" outlineLevel="0" collapsed="false">
      <c r="A41" s="0" t="str">
        <f aca="false">[2]Sheet1!A41</f>
        <v>CHTN07_SEC_DD770_UV01</v>
      </c>
      <c r="B41" s="0" t="str">
        <f aca="false">[2]Sheet1!B41</f>
        <v>CHTN07;DC SYS01</v>
      </c>
      <c r="C41" s="44" t="str">
        <f aca="false">[2]Sheet1!C41</f>
        <v>CHTN07</v>
      </c>
      <c r="D41" s="44" t="s">
        <v>500</v>
      </c>
      <c r="E41" s="0" t="n">
        <f aca="false">[2]Sheet1!D41</f>
        <v>120</v>
      </c>
      <c r="F41" s="0" t="n">
        <f aca="false">[2]Sheet1!E41</f>
        <v>120</v>
      </c>
      <c r="G41" s="45" t="n">
        <f aca="false">[2]Sheet1!F41</f>
        <v>44966</v>
      </c>
      <c r="H41" s="0" t="n">
        <f aca="false">[2]Sheet1!G41</f>
        <v>300</v>
      </c>
      <c r="I41" s="0" t="n">
        <f aca="false">[2]Sheet1!H41</f>
        <v>300</v>
      </c>
      <c r="J41" s="0" t="n">
        <f aca="false">[2]Sheet1!I41</f>
        <v>0</v>
      </c>
      <c r="K41" s="0" t="n">
        <f aca="false">[2]Sheet1!J41</f>
        <v>0</v>
      </c>
      <c r="L41" s="0" t="n">
        <f aca="false">[2]Sheet1!K41</f>
        <v>11</v>
      </c>
      <c r="M41" s="0" t="n">
        <f aca="false">[2]Sheet1!L41</f>
        <v>0</v>
      </c>
      <c r="N41" s="0" t="n">
        <f aca="false">[2]Sheet1!M41</f>
        <v>3</v>
      </c>
      <c r="O41" s="0" t="n">
        <f aca="false">[2]Sheet1!N41</f>
        <v>31</v>
      </c>
      <c r="P41" s="226" t="n">
        <f aca="false">SUM(AY41+BA41)</f>
        <v>20.8333333333333</v>
      </c>
      <c r="Q41" s="170" t="s">
        <v>1115</v>
      </c>
      <c r="R41" s="234" t="n">
        <v>1</v>
      </c>
      <c r="S41" s="227"/>
      <c r="T41" s="71"/>
      <c r="U41" s="201"/>
      <c r="V41" s="71"/>
      <c r="W41" s="227"/>
      <c r="X41" s="71"/>
      <c r="Y41" s="201"/>
      <c r="Z41" s="71"/>
      <c r="AA41" s="227"/>
      <c r="AB41" s="71"/>
      <c r="AC41" s="201"/>
      <c r="AD41" s="71"/>
      <c r="AE41" s="227"/>
      <c r="AF41" s="71"/>
      <c r="AG41" s="201"/>
      <c r="AH41" s="71"/>
      <c r="AI41" s="227"/>
      <c r="AJ41" s="71"/>
      <c r="AK41" s="201"/>
      <c r="AL41" s="71"/>
      <c r="AM41" s="227"/>
      <c r="AN41" s="71"/>
      <c r="AO41" s="201"/>
      <c r="AP41" s="71"/>
      <c r="AQ41" s="227"/>
      <c r="AR41" s="71"/>
      <c r="AS41" s="227"/>
      <c r="AT41" s="228"/>
      <c r="AU41" s="227"/>
      <c r="AV41" s="228"/>
      <c r="AW41" s="227"/>
      <c r="AX41" s="229" t="n">
        <f aca="false">SUM(R41+T41+V41+X41+Z41+AB41+AD41+AF41+AH41+AJ41+AL41+AN41+AP41+AR41)</f>
        <v>1</v>
      </c>
      <c r="AY41" s="230" t="n">
        <f aca="false">SUM(AX41*1000)/48</f>
        <v>20.8333333333333</v>
      </c>
      <c r="AZ41" s="231" t="n">
        <f aca="false">IFERROR(VLOOKUP(A41,'Site check'!$A$14:$O$47,15,0),0)</f>
        <v>0</v>
      </c>
      <c r="BA41" s="232" t="n">
        <f aca="false">SUM(AZ41*1000)/48</f>
        <v>0</v>
      </c>
      <c r="BB41" s="90" t="n">
        <f aca="false">SUM(P41/2)+E41</f>
        <v>130.416666666667</v>
      </c>
      <c r="BC41" s="90" t="n">
        <f aca="false">SUM(P41/2)+F41</f>
        <v>130.416666666667</v>
      </c>
    </row>
    <row r="42" customFormat="false" ht="13.15" hidden="false" customHeight="false" outlineLevel="0" collapsed="false">
      <c r="A42" s="0" t="str">
        <f aca="false">[2]Sheet1!A42</f>
        <v>CHTN07_SEC_DD770_WX01</v>
      </c>
      <c r="B42" s="0" t="str">
        <f aca="false">[2]Sheet1!B42</f>
        <v>CHTN07;DC SYS01</v>
      </c>
      <c r="C42" s="44" t="str">
        <f aca="false">[2]Sheet1!C42</f>
        <v>CHTN07</v>
      </c>
      <c r="D42" s="44" t="s">
        <v>500</v>
      </c>
      <c r="E42" s="0" t="n">
        <f aca="false">[2]Sheet1!D42</f>
        <v>100</v>
      </c>
      <c r="F42" s="0" t="n">
        <f aca="false">[2]Sheet1!E42</f>
        <v>100</v>
      </c>
      <c r="G42" s="45" t="n">
        <f aca="false">[2]Sheet1!F42</f>
        <v>44966</v>
      </c>
      <c r="H42" s="0" t="n">
        <f aca="false">[2]Sheet1!G42</f>
        <v>300</v>
      </c>
      <c r="I42" s="0" t="n">
        <f aca="false">[2]Sheet1!H42</f>
        <v>300</v>
      </c>
      <c r="J42" s="0" t="n">
        <f aca="false">[2]Sheet1!I42</f>
        <v>3</v>
      </c>
      <c r="K42" s="0" t="n">
        <f aca="false">[2]Sheet1!J42</f>
        <v>0</v>
      </c>
      <c r="L42" s="0" t="n">
        <f aca="false">[2]Sheet1!K42</f>
        <v>0</v>
      </c>
      <c r="M42" s="0" t="n">
        <f aca="false">[2]Sheet1!L42</f>
        <v>0</v>
      </c>
      <c r="N42" s="0" t="n">
        <f aca="false">[2]Sheet1!M42</f>
        <v>3</v>
      </c>
      <c r="O42" s="0" t="n">
        <f aca="false">[2]Sheet1!N42</f>
        <v>36</v>
      </c>
      <c r="P42" s="226" t="n">
        <f aca="false">SUM(AY42+BA42)</f>
        <v>0</v>
      </c>
      <c r="Q42" s="201"/>
      <c r="R42" s="71"/>
      <c r="S42" s="227"/>
      <c r="T42" s="71"/>
      <c r="U42" s="201"/>
      <c r="V42" s="71"/>
      <c r="W42" s="227"/>
      <c r="X42" s="71"/>
      <c r="Y42" s="201"/>
      <c r="Z42" s="71"/>
      <c r="AA42" s="227"/>
      <c r="AB42" s="71"/>
      <c r="AC42" s="201"/>
      <c r="AD42" s="71"/>
      <c r="AE42" s="227"/>
      <c r="AF42" s="71"/>
      <c r="AG42" s="201"/>
      <c r="AH42" s="71"/>
      <c r="AI42" s="227"/>
      <c r="AJ42" s="71"/>
      <c r="AK42" s="201"/>
      <c r="AL42" s="71"/>
      <c r="AM42" s="227"/>
      <c r="AN42" s="71"/>
      <c r="AO42" s="201"/>
      <c r="AP42" s="71"/>
      <c r="AQ42" s="227"/>
      <c r="AR42" s="71"/>
      <c r="AS42" s="227"/>
      <c r="AT42" s="228"/>
      <c r="AU42" s="227"/>
      <c r="AV42" s="228"/>
      <c r="AW42" s="227"/>
      <c r="AX42" s="229" t="n">
        <f aca="false">SUM(R42+T42+V42+X42+Z42+AB42+AD42+AF42+AH42+AJ42+AL42+AN42+AP42+AR42)</f>
        <v>0</v>
      </c>
      <c r="AY42" s="230" t="n">
        <f aca="false">SUM(AX42*1000)/48</f>
        <v>0</v>
      </c>
      <c r="AZ42" s="231" t="n">
        <f aca="false">IFERROR(VLOOKUP(A42,'Site check'!$A$14:$O$47,15,0),0)</f>
        <v>0</v>
      </c>
      <c r="BA42" s="232" t="n">
        <f aca="false">SUM(AZ42*1000)/48</f>
        <v>0</v>
      </c>
      <c r="BB42" s="90" t="n">
        <f aca="false">SUM(P42/2)+E42</f>
        <v>100</v>
      </c>
      <c r="BC42" s="90" t="n">
        <f aca="false">SUM(P42/2)+F42</f>
        <v>100</v>
      </c>
    </row>
    <row r="43" customFormat="false" ht="13.15" hidden="false" customHeight="false" outlineLevel="0" collapsed="false">
      <c r="A43" s="0" t="str">
        <f aca="false">[2]Sheet1!A43</f>
        <v>CHTN07_SEC_WALL_Eaton_AG AH</v>
      </c>
      <c r="B43" s="0" t="str">
        <f aca="false">[2]Sheet1!B43</f>
        <v>CHTN07;DC SYS01</v>
      </c>
      <c r="C43" s="44" t="str">
        <f aca="false">[2]Sheet1!C43</f>
        <v>CHTN07</v>
      </c>
      <c r="D43" s="44" t="s">
        <v>500</v>
      </c>
      <c r="E43" s="0" t="str">
        <f aca="false">[2]Sheet1!D43</f>
        <v>N/A</v>
      </c>
      <c r="F43" s="0" t="str">
        <f aca="false">[2]Sheet1!E43</f>
        <v>N/A</v>
      </c>
      <c r="G43" s="45" t="n">
        <f aca="false">[2]Sheet1!F43</f>
        <v>44966</v>
      </c>
      <c r="H43" s="0" t="n">
        <f aca="false">[2]Sheet1!G43</f>
        <v>300</v>
      </c>
      <c r="I43" s="0" t="n">
        <f aca="false">[2]Sheet1!H43</f>
        <v>300</v>
      </c>
      <c r="J43" s="0" t="n">
        <f aca="false">[2]Sheet1!I43</f>
        <v>8</v>
      </c>
      <c r="K43" s="0" t="n">
        <f aca="false">[2]Sheet1!J43</f>
        <v>0</v>
      </c>
      <c r="L43" s="0" t="n">
        <f aca="false">[2]Sheet1!K43</f>
        <v>30</v>
      </c>
      <c r="M43" s="0" t="n">
        <f aca="false">[2]Sheet1!L43</f>
        <v>0</v>
      </c>
      <c r="N43" s="0" t="n">
        <f aca="false">[2]Sheet1!M43</f>
        <v>0</v>
      </c>
      <c r="O43" s="0" t="n">
        <f aca="false">[2]Sheet1!N43</f>
        <v>5</v>
      </c>
      <c r="P43" s="226" t="n">
        <f aca="false">SUM(AY43+BA43)</f>
        <v>0</v>
      </c>
      <c r="Q43" s="201"/>
      <c r="R43" s="71"/>
      <c r="S43" s="227"/>
      <c r="T43" s="71"/>
      <c r="U43" s="201"/>
      <c r="V43" s="71"/>
      <c r="W43" s="227"/>
      <c r="X43" s="71"/>
      <c r="Y43" s="201"/>
      <c r="Z43" s="71"/>
      <c r="AA43" s="227"/>
      <c r="AB43" s="71"/>
      <c r="AC43" s="201"/>
      <c r="AD43" s="71"/>
      <c r="AE43" s="227"/>
      <c r="AF43" s="71"/>
      <c r="AG43" s="201"/>
      <c r="AH43" s="71"/>
      <c r="AI43" s="227"/>
      <c r="AJ43" s="71"/>
      <c r="AK43" s="201"/>
      <c r="AL43" s="71"/>
      <c r="AM43" s="227"/>
      <c r="AN43" s="71"/>
      <c r="AO43" s="201"/>
      <c r="AP43" s="71"/>
      <c r="AQ43" s="227"/>
      <c r="AR43" s="71"/>
      <c r="AS43" s="227"/>
      <c r="AT43" s="228"/>
      <c r="AU43" s="227"/>
      <c r="AV43" s="228"/>
      <c r="AW43" s="227"/>
      <c r="AX43" s="229" t="n">
        <f aca="false">SUM(R43+T43+V43+X43+Z43+AB43+AD43+AF43+AH43+AJ43+AL43+AN43+AP43+AR43)</f>
        <v>0</v>
      </c>
      <c r="AY43" s="230" t="n">
        <f aca="false">SUM(AX43*1000)/48</f>
        <v>0</v>
      </c>
      <c r="AZ43" s="231" t="n">
        <f aca="false">IFERROR(VLOOKUP(A43,'Site check'!$A$14:$O$47,15,0),0)</f>
        <v>0</v>
      </c>
      <c r="BA43" s="232" t="n">
        <f aca="false">SUM(AZ43*1000)/48</f>
        <v>0</v>
      </c>
      <c r="BB43" s="90" t="e">
        <f aca="false">SUM(P43/2)+E43</f>
        <v>#VALUE!</v>
      </c>
      <c r="BC43" s="90" t="e">
        <f aca="false">SUM(P43/2)+F43</f>
        <v>#VALUE!</v>
      </c>
    </row>
    <row r="44" customFormat="false" ht="34.9" hidden="false" customHeight="false" outlineLevel="0" collapsed="false">
      <c r="A44" s="0" t="str">
        <f aca="false">[2]Sheet1!A44</f>
        <v>CHTTN3_PDU1A_B</v>
      </c>
      <c r="B44" s="0" t="str">
        <f aca="false">[2]Sheet1!B44</f>
        <v>CHTTN3;DC SYS01A</v>
      </c>
      <c r="C44" s="44" t="str">
        <f aca="false">[2]Sheet1!C44</f>
        <v>CHTTN3</v>
      </c>
      <c r="D44" s="44" t="s">
        <v>502</v>
      </c>
      <c r="E44" s="0" t="n">
        <f aca="false">[2]Sheet1!D44</f>
        <v>252.67</v>
      </c>
      <c r="F44" s="0" t="n">
        <f aca="false">[2]Sheet1!E44</f>
        <v>243.58</v>
      </c>
      <c r="G44" s="45" t="n">
        <f aca="false">[2]Sheet1!F44</f>
        <v>45665</v>
      </c>
      <c r="H44" s="0" t="n">
        <f aca="false">[2]Sheet1!G44</f>
        <v>600</v>
      </c>
      <c r="I44" s="0" t="n">
        <f aca="false">[2]Sheet1!H44</f>
        <v>600</v>
      </c>
      <c r="J44" s="0" t="n">
        <f aca="false">[2]Sheet1!I44</f>
        <v>0</v>
      </c>
      <c r="K44" s="0" t="n">
        <f aca="false">[2]Sheet1!J44</f>
        <v>0</v>
      </c>
      <c r="L44" s="0" t="n">
        <f aca="false">[2]Sheet1!K44</f>
        <v>0</v>
      </c>
      <c r="M44" s="0" t="n">
        <f aca="false">[2]Sheet1!L44</f>
        <v>0</v>
      </c>
      <c r="N44" s="0" t="n">
        <f aca="false">[2]Sheet1!M44</f>
        <v>0</v>
      </c>
      <c r="O44" s="0" t="n">
        <f aca="false">[2]Sheet1!N44</f>
        <v>0</v>
      </c>
      <c r="P44" s="226" t="n">
        <f aca="false">SUM(AY44+BA44)</f>
        <v>177.083333333333</v>
      </c>
      <c r="Q44" s="173"/>
      <c r="R44" s="236"/>
      <c r="S44" s="170" t="s">
        <v>1124</v>
      </c>
      <c r="T44" s="234" t="n">
        <v>1.3</v>
      </c>
      <c r="U44" s="170" t="s">
        <v>1125</v>
      </c>
      <c r="V44" s="234" t="n">
        <v>1.7</v>
      </c>
      <c r="W44" s="170" t="s">
        <v>1126</v>
      </c>
      <c r="X44" s="234" t="n">
        <v>0.8</v>
      </c>
      <c r="Y44" s="170" t="s">
        <v>1127</v>
      </c>
      <c r="Z44" s="234" t="n">
        <v>2.2</v>
      </c>
      <c r="AA44" s="181" t="s">
        <v>1128</v>
      </c>
      <c r="AB44" s="237" t="n">
        <v>0.9</v>
      </c>
      <c r="AC44" s="185" t="s">
        <v>1129</v>
      </c>
      <c r="AD44" s="180" t="n">
        <v>1.6</v>
      </c>
      <c r="AE44" s="227"/>
      <c r="AF44" s="71"/>
      <c r="AG44" s="201"/>
      <c r="AH44" s="71"/>
      <c r="AI44" s="227"/>
      <c r="AJ44" s="71"/>
      <c r="AK44" s="201"/>
      <c r="AL44" s="71"/>
      <c r="AM44" s="227"/>
      <c r="AN44" s="71"/>
      <c r="AO44" s="201"/>
      <c r="AP44" s="71"/>
      <c r="AQ44" s="227"/>
      <c r="AR44" s="71"/>
      <c r="AS44" s="227"/>
      <c r="AT44" s="228"/>
      <c r="AU44" s="227"/>
      <c r="AV44" s="228"/>
      <c r="AW44" s="227"/>
      <c r="AX44" s="229" t="n">
        <f aca="false">SUM(R44+T44+V44+X44+Z44+AB44+AD44+AF44+AH44+AJ44+AL44+AN44+AP44+AR44)</f>
        <v>8.5</v>
      </c>
      <c r="AY44" s="230" t="n">
        <f aca="false">SUM(AX44*1000)/48</f>
        <v>177.083333333333</v>
      </c>
      <c r="AZ44" s="231" t="n">
        <f aca="false">IFERROR(VLOOKUP(A44,'Site check'!$A$14:$O$47,15,0),0)</f>
        <v>0</v>
      </c>
      <c r="BA44" s="232" t="n">
        <f aca="false">SUM(AZ44*1000)/48</f>
        <v>0</v>
      </c>
      <c r="BB44" s="90" t="n">
        <f aca="false">SUM(P44/2)+E44</f>
        <v>341.211666666667</v>
      </c>
      <c r="BC44" s="90" t="n">
        <f aca="false">SUM(P44/2)+F44</f>
        <v>332.121666666667</v>
      </c>
    </row>
    <row r="45" customFormat="false" ht="13.15" hidden="false" customHeight="false" outlineLevel="0" collapsed="false">
      <c r="A45" s="0" t="str">
        <f aca="false">[2]Sheet1!A45</f>
        <v>CHTTN3_SEC_WALL_DCDB_ 02</v>
      </c>
      <c r="B45" s="0" t="str">
        <f aca="false">[2]Sheet1!B45</f>
        <v>CHTTN3;DC SYS01A</v>
      </c>
      <c r="C45" s="44" t="str">
        <f aca="false">[2]Sheet1!C45</f>
        <v>CHTTN3</v>
      </c>
      <c r="D45" s="44" t="s">
        <v>502</v>
      </c>
      <c r="E45" s="0" t="n">
        <f aca="false">[2]Sheet1!D45</f>
        <v>0</v>
      </c>
      <c r="F45" s="0" t="n">
        <f aca="false">[2]Sheet1!E45</f>
        <v>0</v>
      </c>
      <c r="G45" s="45" t="n">
        <f aca="false">[2]Sheet1!F45</f>
        <v>0</v>
      </c>
      <c r="H45" s="0" t="n">
        <f aca="false">[2]Sheet1!G45</f>
        <v>300</v>
      </c>
      <c r="I45" s="0" t="n">
        <f aca="false">[2]Sheet1!H45</f>
        <v>300</v>
      </c>
      <c r="J45" s="0" t="n">
        <f aca="false">[2]Sheet1!I45</f>
        <v>0</v>
      </c>
      <c r="K45" s="0" t="n">
        <f aca="false">[2]Sheet1!J45</f>
        <v>2</v>
      </c>
      <c r="L45" s="0" t="n">
        <f aca="false">[2]Sheet1!K45</f>
        <v>0</v>
      </c>
      <c r="M45" s="0" t="n">
        <f aca="false">[2]Sheet1!L45</f>
        <v>0</v>
      </c>
      <c r="N45" s="0" t="n">
        <f aca="false">[2]Sheet1!M45</f>
        <v>0</v>
      </c>
      <c r="O45" s="0" t="n">
        <f aca="false">[2]Sheet1!N45</f>
        <v>0</v>
      </c>
      <c r="P45" s="226" t="n">
        <f aca="false">SUM(AY45+BA45)</f>
        <v>0</v>
      </c>
      <c r="Q45" s="201"/>
      <c r="R45" s="71"/>
      <c r="S45" s="227"/>
      <c r="T45" s="71"/>
      <c r="U45" s="201"/>
      <c r="V45" s="71"/>
      <c r="W45" s="227"/>
      <c r="X45" s="71"/>
      <c r="Y45" s="201"/>
      <c r="Z45" s="71"/>
      <c r="AA45" s="227"/>
      <c r="AB45" s="71"/>
      <c r="AC45" s="201"/>
      <c r="AD45" s="71"/>
      <c r="AE45" s="227"/>
      <c r="AF45" s="71"/>
      <c r="AG45" s="201"/>
      <c r="AH45" s="71"/>
      <c r="AI45" s="227"/>
      <c r="AJ45" s="71"/>
      <c r="AK45" s="201"/>
      <c r="AL45" s="71"/>
      <c r="AM45" s="227"/>
      <c r="AN45" s="71"/>
      <c r="AO45" s="201"/>
      <c r="AP45" s="71"/>
      <c r="AQ45" s="227"/>
      <c r="AR45" s="71"/>
      <c r="AS45" s="227"/>
      <c r="AT45" s="228"/>
      <c r="AU45" s="227"/>
      <c r="AV45" s="228"/>
      <c r="AW45" s="227"/>
      <c r="AX45" s="229" t="n">
        <f aca="false">SUM(R45+T45+V45+X45+Z45+AB45+AD45+AF45+AH45+AJ45+AL45+AN45+AP45+AR45)</f>
        <v>0</v>
      </c>
      <c r="AY45" s="230" t="n">
        <f aca="false">SUM(AX45*1000)/48</f>
        <v>0</v>
      </c>
      <c r="AZ45" s="231" t="n">
        <f aca="false">IFERROR(VLOOKUP(A45,'Site check'!$A$14:$O$47,15,0),0)</f>
        <v>0</v>
      </c>
      <c r="BA45" s="232" t="n">
        <f aca="false">SUM(AZ45*1000)/48</f>
        <v>0</v>
      </c>
      <c r="BB45" s="90" t="n">
        <f aca="false">SUM(P45/2)+E45</f>
        <v>0</v>
      </c>
      <c r="BC45" s="90" t="n">
        <f aca="false">SUM(P45/2)+F45</f>
        <v>0</v>
      </c>
    </row>
    <row r="46" customFormat="false" ht="13.15" hidden="false" customHeight="false" outlineLevel="0" collapsed="false">
      <c r="A46" s="0" t="str">
        <f aca="false">[2]Sheet1!A46</f>
        <v>CHTTN3_SEC_WALL_DCDB_ 04</v>
      </c>
      <c r="B46" s="0" t="str">
        <f aca="false">[2]Sheet1!B46</f>
        <v>CHTTN3;DC SYS01A</v>
      </c>
      <c r="C46" s="44" t="str">
        <f aca="false">[2]Sheet1!C46</f>
        <v>CHTTN3</v>
      </c>
      <c r="D46" s="44" t="s">
        <v>502</v>
      </c>
      <c r="E46" s="0" t="n">
        <f aca="false">[2]Sheet1!D46</f>
        <v>65</v>
      </c>
      <c r="F46" s="0" t="n">
        <f aca="false">[2]Sheet1!E46</f>
        <v>75</v>
      </c>
      <c r="G46" s="45" t="n">
        <f aca="false">[2]Sheet1!F46</f>
        <v>44967</v>
      </c>
      <c r="H46" s="0" t="n">
        <f aca="false">[2]Sheet1!G46</f>
        <v>300</v>
      </c>
      <c r="I46" s="0" t="n">
        <f aca="false">[2]Sheet1!H46</f>
        <v>300</v>
      </c>
      <c r="J46" s="0" t="n">
        <f aca="false">[2]Sheet1!I46</f>
        <v>0</v>
      </c>
      <c r="K46" s="0" t="n">
        <f aca="false">[2]Sheet1!J46</f>
        <v>0</v>
      </c>
      <c r="L46" s="0" t="n">
        <f aca="false">[2]Sheet1!K46</f>
        <v>1</v>
      </c>
      <c r="M46" s="0" t="n">
        <f aca="false">[2]Sheet1!L46</f>
        <v>1</v>
      </c>
      <c r="N46" s="0" t="n">
        <f aca="false">[2]Sheet1!M46</f>
        <v>0</v>
      </c>
      <c r="O46" s="0" t="n">
        <f aca="false">[2]Sheet1!N46</f>
        <v>37</v>
      </c>
      <c r="P46" s="226" t="n">
        <f aca="false">SUM(AY46+BA46)</f>
        <v>0</v>
      </c>
      <c r="Q46" s="201"/>
      <c r="R46" s="71"/>
      <c r="S46" s="227"/>
      <c r="T46" s="71"/>
      <c r="U46" s="201"/>
      <c r="V46" s="71"/>
      <c r="W46" s="227"/>
      <c r="X46" s="71"/>
      <c r="Y46" s="201"/>
      <c r="Z46" s="71"/>
      <c r="AA46" s="227"/>
      <c r="AB46" s="71"/>
      <c r="AC46" s="201"/>
      <c r="AD46" s="71"/>
      <c r="AE46" s="227"/>
      <c r="AF46" s="71"/>
      <c r="AG46" s="201"/>
      <c r="AH46" s="71"/>
      <c r="AI46" s="227"/>
      <c r="AJ46" s="71"/>
      <c r="AK46" s="201"/>
      <c r="AL46" s="71"/>
      <c r="AM46" s="227"/>
      <c r="AN46" s="71"/>
      <c r="AO46" s="201"/>
      <c r="AP46" s="71"/>
      <c r="AQ46" s="227"/>
      <c r="AR46" s="71"/>
      <c r="AS46" s="227"/>
      <c r="AT46" s="228"/>
      <c r="AU46" s="227"/>
      <c r="AV46" s="228"/>
      <c r="AW46" s="227"/>
      <c r="AX46" s="229" t="n">
        <f aca="false">SUM(R46+T46+V46+X46+Z46+AB46+AD46+AF46+AH46+AJ46+AL46+AN46+AP46+AR46)</f>
        <v>0</v>
      </c>
      <c r="AY46" s="230" t="n">
        <f aca="false">SUM(AX46*1000)/48</f>
        <v>0</v>
      </c>
      <c r="AZ46" s="231" t="n">
        <f aca="false">IFERROR(VLOOKUP(A46,'Site check'!$A$14:$O$47,15,0),0)</f>
        <v>0</v>
      </c>
      <c r="BA46" s="232" t="n">
        <f aca="false">SUM(AZ46*1000)/48</f>
        <v>0</v>
      </c>
      <c r="BB46" s="90" t="n">
        <f aca="false">SUM(P46/2)+E46</f>
        <v>65</v>
      </c>
      <c r="BC46" s="90" t="n">
        <f aca="false">SUM(P46/2)+F46</f>
        <v>75</v>
      </c>
    </row>
    <row r="47" customFormat="false" ht="13.15" hidden="false" customHeight="false" outlineLevel="0" collapsed="false">
      <c r="A47" s="0" t="str">
        <f aca="false">[2]Sheet1!A47</f>
        <v>CYNTN2_SEC_DD770_BE08_DB1</v>
      </c>
      <c r="B47" s="0" t="str">
        <f aca="false">[2]Sheet1!B47</f>
        <v>CYNTN2;DC SYS01</v>
      </c>
      <c r="C47" s="44" t="str">
        <f aca="false">[2]Sheet1!C47</f>
        <v>CYNTN2</v>
      </c>
      <c r="D47" s="44" t="s">
        <v>837</v>
      </c>
      <c r="E47" s="0" t="n">
        <f aca="false">[2]Sheet1!D47</f>
        <v>125</v>
      </c>
      <c r="F47" s="0" t="n">
        <f aca="false">[2]Sheet1!E47</f>
        <v>125</v>
      </c>
      <c r="G47" s="45" t="n">
        <f aca="false">[2]Sheet1!F47</f>
        <v>45110</v>
      </c>
      <c r="H47" s="0" t="n">
        <f aca="false">[2]Sheet1!G47</f>
        <v>300</v>
      </c>
      <c r="I47" s="0" t="n">
        <f aca="false">[2]Sheet1!H47</f>
        <v>300</v>
      </c>
      <c r="J47" s="0" t="n">
        <f aca="false">[2]Sheet1!I47</f>
        <v>0</v>
      </c>
      <c r="K47" s="0" t="n">
        <f aca="false">[2]Sheet1!J47</f>
        <v>0</v>
      </c>
      <c r="L47" s="0" t="n">
        <f aca="false">[2]Sheet1!K47</f>
        <v>0</v>
      </c>
      <c r="M47" s="0" t="n">
        <f aca="false">[2]Sheet1!L47</f>
        <v>3</v>
      </c>
      <c r="N47" s="0" t="n">
        <f aca="false">[2]Sheet1!M47</f>
        <v>4</v>
      </c>
      <c r="O47" s="0" t="n">
        <f aca="false">[2]Sheet1!N47</f>
        <v>0</v>
      </c>
      <c r="P47" s="226" t="n">
        <f aca="false">SUM(AY47+BA47)</f>
        <v>0</v>
      </c>
      <c r="Q47" s="201"/>
      <c r="R47" s="71"/>
      <c r="S47" s="227"/>
      <c r="T47" s="71"/>
      <c r="U47" s="201"/>
      <c r="V47" s="71"/>
      <c r="W47" s="227"/>
      <c r="X47" s="71"/>
      <c r="Y47" s="201"/>
      <c r="Z47" s="71"/>
      <c r="AA47" s="227"/>
      <c r="AB47" s="71"/>
      <c r="AC47" s="201"/>
      <c r="AD47" s="71"/>
      <c r="AE47" s="227"/>
      <c r="AF47" s="71"/>
      <c r="AG47" s="201"/>
      <c r="AH47" s="71"/>
      <c r="AI47" s="227"/>
      <c r="AJ47" s="71"/>
      <c r="AK47" s="201"/>
      <c r="AL47" s="71"/>
      <c r="AM47" s="227"/>
      <c r="AN47" s="71"/>
      <c r="AO47" s="201"/>
      <c r="AP47" s="71"/>
      <c r="AQ47" s="227"/>
      <c r="AR47" s="71"/>
      <c r="AS47" s="227"/>
      <c r="AT47" s="228"/>
      <c r="AU47" s="227"/>
      <c r="AV47" s="228"/>
      <c r="AW47" s="227"/>
      <c r="AX47" s="229" t="n">
        <f aca="false">SUM(R47+T47+V47+X47+Z47+AB47+AD47+AF47+AH47+AJ47+AL47+AN47+AP47+AR47)</f>
        <v>0</v>
      </c>
      <c r="AY47" s="230" t="n">
        <f aca="false">SUM(AX47*1000)/48</f>
        <v>0</v>
      </c>
      <c r="AZ47" s="231" t="n">
        <f aca="false">IFERROR(VLOOKUP(A47,'Site check'!$A$14:$O$47,15,0),0)</f>
        <v>0</v>
      </c>
      <c r="BA47" s="232" t="n">
        <f aca="false">SUM(AZ47*1000)/48</f>
        <v>0</v>
      </c>
      <c r="BB47" s="90" t="n">
        <f aca="false">SUM(P47/2)+E47</f>
        <v>125</v>
      </c>
      <c r="BC47" s="90" t="n">
        <f aca="false">SUM(P47/2)+F47</f>
        <v>125</v>
      </c>
    </row>
    <row r="48" customFormat="false" ht="13.15" hidden="false" customHeight="false" outlineLevel="0" collapsed="false">
      <c r="A48" s="0" t="str">
        <f aca="false">[2]Sheet1!A48</f>
        <v>CYNTN2_SEC_DD770_BG08_DB2</v>
      </c>
      <c r="B48" s="0" t="str">
        <f aca="false">[2]Sheet1!B48</f>
        <v>CYNTN2;DC SYS01</v>
      </c>
      <c r="C48" s="44" t="str">
        <f aca="false">[2]Sheet1!C48</f>
        <v>CYNTN2</v>
      </c>
      <c r="D48" s="44" t="s">
        <v>837</v>
      </c>
      <c r="E48" s="0" t="n">
        <f aca="false">[2]Sheet1!D48</f>
        <v>125</v>
      </c>
      <c r="F48" s="0" t="n">
        <f aca="false">[2]Sheet1!E48</f>
        <v>126</v>
      </c>
      <c r="G48" s="45" t="n">
        <f aca="false">[2]Sheet1!F48</f>
        <v>45110</v>
      </c>
      <c r="H48" s="0" t="n">
        <f aca="false">[2]Sheet1!G48</f>
        <v>300</v>
      </c>
      <c r="I48" s="0" t="n">
        <f aca="false">[2]Sheet1!H48</f>
        <v>300</v>
      </c>
      <c r="J48" s="0" t="n">
        <f aca="false">[2]Sheet1!I48</f>
        <v>0</v>
      </c>
      <c r="K48" s="0" t="n">
        <f aca="false">[2]Sheet1!J48</f>
        <v>1</v>
      </c>
      <c r="L48" s="0" t="n">
        <f aca="false">[2]Sheet1!K48</f>
        <v>3</v>
      </c>
      <c r="M48" s="0" t="n">
        <f aca="false">[2]Sheet1!L48</f>
        <v>6</v>
      </c>
      <c r="N48" s="0" t="n">
        <f aca="false">[2]Sheet1!M48</f>
        <v>8</v>
      </c>
      <c r="O48" s="0" t="n">
        <f aca="false">[2]Sheet1!N48</f>
        <v>0</v>
      </c>
      <c r="P48" s="226" t="n">
        <f aca="false">SUM(AY48+BA48)</f>
        <v>0</v>
      </c>
      <c r="Q48" s="201"/>
      <c r="R48" s="71"/>
      <c r="S48" s="227"/>
      <c r="T48" s="71"/>
      <c r="U48" s="201"/>
      <c r="V48" s="71"/>
      <c r="W48" s="227"/>
      <c r="X48" s="71"/>
      <c r="Y48" s="201"/>
      <c r="Z48" s="71"/>
      <c r="AA48" s="227"/>
      <c r="AB48" s="71"/>
      <c r="AC48" s="201"/>
      <c r="AD48" s="71"/>
      <c r="AE48" s="227"/>
      <c r="AF48" s="71"/>
      <c r="AG48" s="201"/>
      <c r="AH48" s="71"/>
      <c r="AI48" s="227"/>
      <c r="AJ48" s="71"/>
      <c r="AK48" s="201"/>
      <c r="AL48" s="71"/>
      <c r="AM48" s="227"/>
      <c r="AN48" s="71"/>
      <c r="AO48" s="201"/>
      <c r="AP48" s="71"/>
      <c r="AQ48" s="227"/>
      <c r="AR48" s="71"/>
      <c r="AS48" s="227"/>
      <c r="AT48" s="228"/>
      <c r="AU48" s="227"/>
      <c r="AV48" s="228"/>
      <c r="AW48" s="227"/>
      <c r="AX48" s="229" t="n">
        <f aca="false">SUM(R48+T48+V48+X48+Z48+AB48+AD48+AF48+AH48+AJ48+AL48+AN48+AP48+AR48)</f>
        <v>0</v>
      </c>
      <c r="AY48" s="230" t="n">
        <f aca="false">SUM(AX48*1000)/48</f>
        <v>0</v>
      </c>
      <c r="AZ48" s="231" t="n">
        <f aca="false">IFERROR(VLOOKUP(A48,'Site check'!$A$14:$O$47,15,0),0)</f>
        <v>0</v>
      </c>
      <c r="BA48" s="232" t="n">
        <f aca="false">SUM(AZ48*1000)/48</f>
        <v>0</v>
      </c>
      <c r="BB48" s="90" t="n">
        <f aca="false">SUM(P48/2)+E48</f>
        <v>125</v>
      </c>
      <c r="BC48" s="90" t="n">
        <f aca="false">SUM(P48/2)+F48</f>
        <v>126</v>
      </c>
    </row>
    <row r="49" customFormat="false" ht="13.15" hidden="false" customHeight="false" outlineLevel="0" collapsed="false">
      <c r="A49" s="0" t="str">
        <f aca="false">[2]Sheet1!A49</f>
        <v>CYNTN2_SEC_DD770_BM02_DB5</v>
      </c>
      <c r="B49" s="0" t="str">
        <f aca="false">[2]Sheet1!B49</f>
        <v>CYNTN2;DC SYS01</v>
      </c>
      <c r="C49" s="44" t="str">
        <f aca="false">[2]Sheet1!C49</f>
        <v>CYNTN2</v>
      </c>
      <c r="D49" s="44" t="s">
        <v>837</v>
      </c>
      <c r="E49" s="0" t="n">
        <f aca="false">[2]Sheet1!D49</f>
        <v>150</v>
      </c>
      <c r="F49" s="0" t="n">
        <f aca="false">[2]Sheet1!E49</f>
        <v>150</v>
      </c>
      <c r="G49" s="45" t="n">
        <f aca="false">[2]Sheet1!F49</f>
        <v>45110</v>
      </c>
      <c r="H49" s="0" t="n">
        <f aca="false">[2]Sheet1!G49</f>
        <v>300</v>
      </c>
      <c r="I49" s="0" t="n">
        <f aca="false">[2]Sheet1!H49</f>
        <v>300</v>
      </c>
      <c r="J49" s="0" t="n">
        <f aca="false">[2]Sheet1!I49</f>
        <v>0</v>
      </c>
      <c r="K49" s="0" t="n">
        <f aca="false">[2]Sheet1!J49</f>
        <v>2</v>
      </c>
      <c r="L49" s="0" t="n">
        <f aca="false">[2]Sheet1!K49</f>
        <v>1</v>
      </c>
      <c r="M49" s="0" t="n">
        <f aca="false">[2]Sheet1!L49</f>
        <v>9</v>
      </c>
      <c r="N49" s="0" t="n">
        <f aca="false">[2]Sheet1!M49</f>
        <v>8</v>
      </c>
      <c r="O49" s="0" t="n">
        <f aca="false">[2]Sheet1!N49</f>
        <v>0</v>
      </c>
      <c r="P49" s="226" t="n">
        <f aca="false">SUM(AY49+BA49)</f>
        <v>62.5</v>
      </c>
      <c r="Q49" s="170" t="s">
        <v>1143</v>
      </c>
      <c r="R49" s="234" t="n">
        <v>2</v>
      </c>
      <c r="S49" s="177" t="s">
        <v>1144</v>
      </c>
      <c r="T49" s="235" t="n">
        <v>1</v>
      </c>
      <c r="U49" s="201"/>
      <c r="V49" s="71"/>
      <c r="W49" s="227"/>
      <c r="X49" s="71"/>
      <c r="Y49" s="201"/>
      <c r="Z49" s="71"/>
      <c r="AA49" s="227"/>
      <c r="AB49" s="71"/>
      <c r="AC49" s="201"/>
      <c r="AD49" s="71"/>
      <c r="AE49" s="227"/>
      <c r="AF49" s="71"/>
      <c r="AG49" s="201"/>
      <c r="AH49" s="71"/>
      <c r="AI49" s="227"/>
      <c r="AJ49" s="71"/>
      <c r="AK49" s="201"/>
      <c r="AL49" s="71"/>
      <c r="AM49" s="227"/>
      <c r="AN49" s="71"/>
      <c r="AO49" s="201"/>
      <c r="AP49" s="71"/>
      <c r="AQ49" s="227"/>
      <c r="AR49" s="71"/>
      <c r="AS49" s="227"/>
      <c r="AT49" s="228"/>
      <c r="AU49" s="227"/>
      <c r="AV49" s="228"/>
      <c r="AW49" s="227"/>
      <c r="AX49" s="229" t="n">
        <f aca="false">SUM(R49+T49+V49+X49+Z49+AB49+AD49+AF49+AH49+AJ49+AL49+AN49+AP49+AR49)</f>
        <v>3</v>
      </c>
      <c r="AY49" s="230" t="n">
        <f aca="false">SUM(AX49*1000)/48</f>
        <v>62.5</v>
      </c>
      <c r="AZ49" s="231" t="n">
        <f aca="false">IFERROR(VLOOKUP(A49,'Site check'!$A$14:$O$47,15,0),0)</f>
        <v>0</v>
      </c>
      <c r="BA49" s="232" t="n">
        <f aca="false">SUM(AZ49*1000)/48</f>
        <v>0</v>
      </c>
      <c r="BB49" s="90" t="n">
        <f aca="false">SUM(P49/2)+E49</f>
        <v>181.25</v>
      </c>
      <c r="BC49" s="90" t="n">
        <f aca="false">SUM(P49/2)+F49</f>
        <v>181.25</v>
      </c>
    </row>
    <row r="50" customFormat="false" ht="13.15" hidden="false" customHeight="false" outlineLevel="0" collapsed="false">
      <c r="A50" s="0" t="str">
        <f aca="false">[2]Sheet1!A50</f>
        <v>CYNTN2_SEC_DD770_J01_DB3</v>
      </c>
      <c r="B50" s="0" t="str">
        <f aca="false">[2]Sheet1!B50</f>
        <v>CYNTN2;DC SYS01</v>
      </c>
      <c r="C50" s="44" t="str">
        <f aca="false">[2]Sheet1!C50</f>
        <v>CYNTN2</v>
      </c>
      <c r="D50" s="44" t="s">
        <v>837</v>
      </c>
      <c r="E50" s="0" t="n">
        <f aca="false">[2]Sheet1!D50</f>
        <v>90</v>
      </c>
      <c r="F50" s="0" t="n">
        <f aca="false">[2]Sheet1!E50</f>
        <v>90</v>
      </c>
      <c r="G50" s="45" t="n">
        <f aca="false">[2]Sheet1!F50</f>
        <v>45110</v>
      </c>
      <c r="H50" s="0" t="n">
        <f aca="false">[2]Sheet1!G50</f>
        <v>250</v>
      </c>
      <c r="I50" s="0" t="n">
        <f aca="false">[2]Sheet1!H50</f>
        <v>250</v>
      </c>
      <c r="J50" s="0" t="n">
        <f aca="false">[2]Sheet1!I50</f>
        <v>0</v>
      </c>
      <c r="K50" s="0" t="n">
        <f aca="false">[2]Sheet1!J50</f>
        <v>1</v>
      </c>
      <c r="L50" s="0" t="n">
        <f aca="false">[2]Sheet1!K50</f>
        <v>0</v>
      </c>
      <c r="M50" s="0" t="n">
        <f aca="false">[2]Sheet1!L50</f>
        <v>0</v>
      </c>
      <c r="N50" s="0" t="n">
        <f aca="false">[2]Sheet1!M50</f>
        <v>0</v>
      </c>
      <c r="O50" s="0" t="n">
        <f aca="false">[2]Sheet1!N50</f>
        <v>0</v>
      </c>
      <c r="P50" s="226" t="n">
        <f aca="false">SUM(AY50+BA50)</f>
        <v>0</v>
      </c>
      <c r="Q50" s="201"/>
      <c r="R50" s="71"/>
      <c r="S50" s="227"/>
      <c r="T50" s="71"/>
      <c r="U50" s="201"/>
      <c r="V50" s="71"/>
      <c r="W50" s="227"/>
      <c r="X50" s="71"/>
      <c r="Y50" s="201"/>
      <c r="Z50" s="71"/>
      <c r="AA50" s="227"/>
      <c r="AB50" s="71"/>
      <c r="AC50" s="201"/>
      <c r="AD50" s="71"/>
      <c r="AE50" s="227"/>
      <c r="AF50" s="71"/>
      <c r="AG50" s="201"/>
      <c r="AH50" s="71"/>
      <c r="AI50" s="227"/>
      <c r="AJ50" s="71"/>
      <c r="AK50" s="201"/>
      <c r="AL50" s="71"/>
      <c r="AM50" s="227"/>
      <c r="AN50" s="71"/>
      <c r="AO50" s="201"/>
      <c r="AP50" s="71"/>
      <c r="AQ50" s="227"/>
      <c r="AR50" s="71"/>
      <c r="AS50" s="227"/>
      <c r="AT50" s="228"/>
      <c r="AU50" s="227"/>
      <c r="AV50" s="228"/>
      <c r="AW50" s="227"/>
      <c r="AX50" s="229" t="n">
        <f aca="false">SUM(R50+T50+V50+X50+Z50+AB50+AD50+AF50+AH50+AJ50+AL50+AN50+AP50+AR50)</f>
        <v>0</v>
      </c>
      <c r="AY50" s="230" t="n">
        <f aca="false">SUM(AX50*1000)/48</f>
        <v>0</v>
      </c>
      <c r="AZ50" s="231" t="n">
        <f aca="false">IFERROR(VLOOKUP(A50,'Site check'!$A$14:$O$47,15,0),0)</f>
        <v>0</v>
      </c>
      <c r="BA50" s="232" t="n">
        <f aca="false">SUM(AZ50*1000)/48</f>
        <v>0</v>
      </c>
      <c r="BB50" s="90" t="n">
        <f aca="false">SUM(P50/2)+E50</f>
        <v>90</v>
      </c>
      <c r="BC50" s="90" t="n">
        <f aca="false">SUM(P50/2)+F50</f>
        <v>90</v>
      </c>
    </row>
    <row r="51" customFormat="false" ht="13.15" hidden="false" customHeight="false" outlineLevel="0" collapsed="false">
      <c r="A51" s="0" t="str">
        <f aca="false">[2]Sheet1!A51</f>
        <v>Waddon_DCDB</v>
      </c>
      <c r="B51" s="0" t="str">
        <f aca="false">[2]Sheet1!B51</f>
        <v>WADN01;DC SYS01</v>
      </c>
      <c r="C51" s="44" t="str">
        <f aca="false">[2]Sheet1!C51</f>
        <v>WADN01</v>
      </c>
      <c r="D51" s="44" t="s">
        <v>805</v>
      </c>
      <c r="E51" s="0" t="n">
        <f aca="false">[2]Sheet1!D51</f>
        <v>0</v>
      </c>
      <c r="F51" s="0" t="n">
        <f aca="false">[2]Sheet1!E51</f>
        <v>0</v>
      </c>
      <c r="G51" s="45" t="n">
        <f aca="false">[2]Sheet1!F51</f>
        <v>0</v>
      </c>
      <c r="H51" s="0" t="n">
        <f aca="false">[2]Sheet1!G51</f>
        <v>300</v>
      </c>
      <c r="I51" s="0" t="n">
        <f aca="false">[2]Sheet1!H51</f>
        <v>300</v>
      </c>
      <c r="J51" s="0" t="n">
        <f aca="false">[2]Sheet1!I51</f>
        <v>0</v>
      </c>
      <c r="K51" s="0" t="n">
        <f aca="false">[2]Sheet1!J51</f>
        <v>0</v>
      </c>
      <c r="L51" s="0" t="n">
        <f aca="false">[2]Sheet1!K51</f>
        <v>0</v>
      </c>
      <c r="M51" s="0" t="n">
        <f aca="false">[2]Sheet1!L51</f>
        <v>0</v>
      </c>
      <c r="N51" s="0" t="n">
        <f aca="false">[2]Sheet1!M51</f>
        <v>0</v>
      </c>
      <c r="O51" s="0" t="n">
        <f aca="false">[2]Sheet1!N51</f>
        <v>0</v>
      </c>
      <c r="P51" s="226" t="n">
        <f aca="false">SUM(AY51+BA51)</f>
        <v>0</v>
      </c>
      <c r="Q51" s="201"/>
      <c r="R51" s="71"/>
      <c r="S51" s="227"/>
      <c r="T51" s="71"/>
      <c r="U51" s="201"/>
      <c r="V51" s="71"/>
      <c r="W51" s="227"/>
      <c r="X51" s="71"/>
      <c r="Y51" s="201"/>
      <c r="Z51" s="71"/>
      <c r="AA51" s="227"/>
      <c r="AB51" s="71"/>
      <c r="AC51" s="201"/>
      <c r="AD51" s="71"/>
      <c r="AE51" s="227"/>
      <c r="AF51" s="71"/>
      <c r="AG51" s="201"/>
      <c r="AH51" s="71"/>
      <c r="AI51" s="227"/>
      <c r="AJ51" s="71"/>
      <c r="AK51" s="201"/>
      <c r="AL51" s="71"/>
      <c r="AM51" s="227"/>
      <c r="AN51" s="71"/>
      <c r="AO51" s="201"/>
      <c r="AP51" s="71"/>
      <c r="AQ51" s="227"/>
      <c r="AR51" s="71"/>
      <c r="AS51" s="227"/>
      <c r="AT51" s="228"/>
      <c r="AU51" s="227"/>
      <c r="AV51" s="228"/>
      <c r="AW51" s="227"/>
      <c r="AX51" s="229" t="n">
        <f aca="false">SUM(R51+T51+V51+X51+Z51+AB51+AD51+AF51+AH51+AJ51+AL51+AN51+AP51+AR51)</f>
        <v>0</v>
      </c>
      <c r="AY51" s="230" t="n">
        <f aca="false">SUM(AX51*1000)/48</f>
        <v>0</v>
      </c>
      <c r="AZ51" s="231" t="n">
        <f aca="false">IFERROR(VLOOKUP(A51,'Site check'!$A$14:$O$47,15,0),0)</f>
        <v>0</v>
      </c>
      <c r="BA51" s="232" t="n">
        <f aca="false">SUM(AZ51*1000)/48</f>
        <v>0</v>
      </c>
      <c r="BB51" s="90" t="n">
        <f aca="false">SUM(P51/2)+E51</f>
        <v>0</v>
      </c>
      <c r="BC51" s="90" t="n">
        <f aca="false">SUM(P51/2)+F51</f>
        <v>0</v>
      </c>
    </row>
    <row r="52" customFormat="false" ht="13.15" hidden="false" customHeight="false" outlineLevel="0" collapsed="false">
      <c r="A52" s="0" t="str">
        <f aca="false">[2]Sheet1!A52</f>
        <v>DKTN08_SEC_DD770_CD01_01</v>
      </c>
      <c r="B52" s="0" t="str">
        <f aca="false">[2]Sheet1!B52</f>
        <v>DKTN08; DC SYS01</v>
      </c>
      <c r="C52" s="44" t="str">
        <f aca="false">[2]Sheet1!C52</f>
        <v>DKTN08</v>
      </c>
      <c r="D52" s="44" t="s">
        <v>541</v>
      </c>
      <c r="E52" s="0" t="n">
        <f aca="false">[2]Sheet1!D52</f>
        <v>120</v>
      </c>
      <c r="F52" s="0" t="n">
        <f aca="false">[2]Sheet1!E52</f>
        <v>140</v>
      </c>
      <c r="G52" s="45" t="n">
        <f aca="false">[2]Sheet1!F52</f>
        <v>44105</v>
      </c>
      <c r="H52" s="0" t="n">
        <f aca="false">[2]Sheet1!G52</f>
        <v>300</v>
      </c>
      <c r="I52" s="0" t="n">
        <f aca="false">[2]Sheet1!H52</f>
        <v>300</v>
      </c>
      <c r="J52" s="0" t="n">
        <f aca="false">[2]Sheet1!I52</f>
        <v>5</v>
      </c>
      <c r="K52" s="0" t="n">
        <f aca="false">[2]Sheet1!J52</f>
        <v>6</v>
      </c>
      <c r="L52" s="0" t="n">
        <f aca="false">[2]Sheet1!K52</f>
        <v>9</v>
      </c>
      <c r="M52" s="0" t="n">
        <f aca="false">[2]Sheet1!L52</f>
        <v>4</v>
      </c>
      <c r="N52" s="0" t="n">
        <f aca="false">[2]Sheet1!M52</f>
        <v>9</v>
      </c>
      <c r="O52" s="0" t="n">
        <f aca="false">[2]Sheet1!N52</f>
        <v>0</v>
      </c>
      <c r="P52" s="226" t="n">
        <f aca="false">SUM(AY52+BA52)</f>
        <v>20.8333333333333</v>
      </c>
      <c r="Q52" s="204" t="s">
        <v>1152</v>
      </c>
      <c r="R52" s="221" t="n">
        <v>1</v>
      </c>
      <c r="S52" s="227"/>
      <c r="T52" s="71"/>
      <c r="U52" s="201"/>
      <c r="V52" s="71"/>
      <c r="W52" s="227"/>
      <c r="X52" s="71"/>
      <c r="Y52" s="201"/>
      <c r="Z52" s="71"/>
      <c r="AA52" s="227"/>
      <c r="AB52" s="71"/>
      <c r="AC52" s="201"/>
      <c r="AD52" s="71"/>
      <c r="AE52" s="227"/>
      <c r="AF52" s="71"/>
      <c r="AG52" s="201"/>
      <c r="AH52" s="71"/>
      <c r="AI52" s="227"/>
      <c r="AJ52" s="71"/>
      <c r="AK52" s="201"/>
      <c r="AL52" s="71"/>
      <c r="AM52" s="227"/>
      <c r="AN52" s="71"/>
      <c r="AO52" s="201"/>
      <c r="AP52" s="71"/>
      <c r="AQ52" s="227"/>
      <c r="AR52" s="71"/>
      <c r="AS52" s="227"/>
      <c r="AT52" s="228"/>
      <c r="AU52" s="227"/>
      <c r="AV52" s="228"/>
      <c r="AW52" s="227"/>
      <c r="AX52" s="229" t="n">
        <f aca="false">SUM(R52+T52+V52+X52+Z52+AB52+AD52+AF52+AH52+AJ52+AL52+AN52+AP52+AR52)</f>
        <v>1</v>
      </c>
      <c r="AY52" s="230" t="n">
        <f aca="false">SUM(AX52*1000)/48</f>
        <v>20.8333333333333</v>
      </c>
      <c r="AZ52" s="231" t="n">
        <f aca="false">IFERROR(VLOOKUP(A52,'Site check'!$A$14:$O$47,15,0),0)</f>
        <v>0</v>
      </c>
      <c r="BA52" s="232" t="n">
        <f aca="false">SUM(AZ52*1000)/48</f>
        <v>0</v>
      </c>
      <c r="BB52" s="90" t="n">
        <f aca="false">SUM(P52/2)+E52</f>
        <v>130.416666666667</v>
      </c>
      <c r="BC52" s="90" t="n">
        <f aca="false">SUM(P52/2)+F52</f>
        <v>150.416666666667</v>
      </c>
    </row>
    <row r="53" customFormat="false" ht="13.15" hidden="false" customHeight="false" outlineLevel="0" collapsed="false">
      <c r="A53" s="0" t="str">
        <f aca="false">[2]Sheet1!A53</f>
        <v>DKTN08_SEC_DD770_EF01_02</v>
      </c>
      <c r="B53" s="0" t="str">
        <f aca="false">[2]Sheet1!B53</f>
        <v>DKTN08; DC SYS01</v>
      </c>
      <c r="C53" s="44" t="str">
        <f aca="false">[2]Sheet1!C53</f>
        <v>DKTN08</v>
      </c>
      <c r="D53" s="44" t="s">
        <v>541</v>
      </c>
      <c r="E53" s="0" t="n">
        <f aca="false">[2]Sheet1!D53</f>
        <v>80</v>
      </c>
      <c r="F53" s="0" t="n">
        <f aca="false">[2]Sheet1!E53</f>
        <v>80</v>
      </c>
      <c r="G53" s="45" t="n">
        <f aca="false">[2]Sheet1!F53</f>
        <v>44105</v>
      </c>
      <c r="H53" s="0" t="n">
        <f aca="false">[2]Sheet1!G53</f>
        <v>300</v>
      </c>
      <c r="I53" s="0" t="n">
        <f aca="false">[2]Sheet1!H53</f>
        <v>300</v>
      </c>
      <c r="J53" s="0" t="n">
        <f aca="false">[2]Sheet1!I53</f>
        <v>6</v>
      </c>
      <c r="K53" s="0" t="n">
        <f aca="false">[2]Sheet1!J53</f>
        <v>6</v>
      </c>
      <c r="L53" s="0" t="n">
        <f aca="false">[2]Sheet1!K53</f>
        <v>11</v>
      </c>
      <c r="M53" s="0" t="n">
        <f aca="false">[2]Sheet1!L53</f>
        <v>8</v>
      </c>
      <c r="N53" s="0" t="n">
        <f aca="false">[2]Sheet1!M53</f>
        <v>11</v>
      </c>
      <c r="O53" s="0" t="n">
        <f aca="false">[2]Sheet1!N53</f>
        <v>0</v>
      </c>
      <c r="P53" s="226" t="n">
        <f aca="false">SUM(AY53+BA53)</f>
        <v>0</v>
      </c>
      <c r="Q53" s="201"/>
      <c r="R53" s="71"/>
      <c r="S53" s="227"/>
      <c r="T53" s="71"/>
      <c r="U53" s="201"/>
      <c r="V53" s="71"/>
      <c r="W53" s="227"/>
      <c r="X53" s="71"/>
      <c r="Y53" s="201"/>
      <c r="Z53" s="71"/>
      <c r="AA53" s="227"/>
      <c r="AB53" s="71"/>
      <c r="AC53" s="201"/>
      <c r="AD53" s="71"/>
      <c r="AE53" s="227"/>
      <c r="AF53" s="71"/>
      <c r="AG53" s="201"/>
      <c r="AH53" s="71"/>
      <c r="AI53" s="227"/>
      <c r="AJ53" s="71"/>
      <c r="AK53" s="201"/>
      <c r="AL53" s="71"/>
      <c r="AM53" s="227"/>
      <c r="AN53" s="71"/>
      <c r="AO53" s="201"/>
      <c r="AP53" s="71"/>
      <c r="AQ53" s="227"/>
      <c r="AR53" s="71"/>
      <c r="AS53" s="227"/>
      <c r="AT53" s="228"/>
      <c r="AU53" s="227"/>
      <c r="AV53" s="228"/>
      <c r="AW53" s="227"/>
      <c r="AX53" s="229" t="n">
        <f aca="false">SUM(R53+T53+V53+X53+Z53+AB53+AD53+AF53+AH53+AJ53+AL53+AN53+AP53+AR53)</f>
        <v>0</v>
      </c>
      <c r="AY53" s="230" t="n">
        <f aca="false">SUM(AX53*1000)/48</f>
        <v>0</v>
      </c>
      <c r="AZ53" s="231" t="n">
        <f aca="false">IFERROR(VLOOKUP(A53,'Site check'!$A$14:$O$47,15,0),0)</f>
        <v>0</v>
      </c>
      <c r="BA53" s="232" t="n">
        <f aca="false">SUM(AZ53*1000)/48</f>
        <v>0</v>
      </c>
      <c r="BB53" s="90" t="n">
        <f aca="false">SUM(P53/2)+E53</f>
        <v>80</v>
      </c>
      <c r="BC53" s="90" t="n">
        <f aca="false">SUM(P53/2)+F53</f>
        <v>80</v>
      </c>
    </row>
    <row r="54" customFormat="false" ht="13.15" hidden="false" customHeight="false" outlineLevel="0" collapsed="false">
      <c r="A54" s="0" t="str">
        <f aca="false">[2]Sheet1!A54</f>
        <v>DKTN08_SEC_DD770_JK01_03</v>
      </c>
      <c r="B54" s="0" t="str">
        <f aca="false">[2]Sheet1!B54</f>
        <v>DKTN08; DC SYS01</v>
      </c>
      <c r="C54" s="44" t="str">
        <f aca="false">[2]Sheet1!C54</f>
        <v>DKTN08</v>
      </c>
      <c r="D54" s="44" t="s">
        <v>541</v>
      </c>
      <c r="E54" s="0" t="n">
        <f aca="false">[2]Sheet1!D54</f>
        <v>50</v>
      </c>
      <c r="F54" s="0" t="n">
        <f aca="false">[2]Sheet1!E54</f>
        <v>60</v>
      </c>
      <c r="G54" s="45" t="n">
        <f aca="false">[2]Sheet1!F54</f>
        <v>44105</v>
      </c>
      <c r="H54" s="0" t="n">
        <f aca="false">[2]Sheet1!G54</f>
        <v>300</v>
      </c>
      <c r="I54" s="0" t="n">
        <f aca="false">[2]Sheet1!H54</f>
        <v>300</v>
      </c>
      <c r="J54" s="0" t="n">
        <f aca="false">[2]Sheet1!I54</f>
        <v>5</v>
      </c>
      <c r="K54" s="0" t="n">
        <f aca="false">[2]Sheet1!J54</f>
        <v>5</v>
      </c>
      <c r="L54" s="0" t="n">
        <f aca="false">[2]Sheet1!K54</f>
        <v>12</v>
      </c>
      <c r="M54" s="0" t="n">
        <f aca="false">[2]Sheet1!L54</f>
        <v>14</v>
      </c>
      <c r="N54" s="0" t="n">
        <f aca="false">[2]Sheet1!M54</f>
        <v>11</v>
      </c>
      <c r="O54" s="0" t="n">
        <f aca="false">[2]Sheet1!N54</f>
        <v>12</v>
      </c>
      <c r="P54" s="226" t="n">
        <f aca="false">SUM(AY54+BA54)</f>
        <v>0</v>
      </c>
      <c r="Q54" s="201"/>
      <c r="R54" s="71"/>
      <c r="S54" s="227"/>
      <c r="T54" s="71"/>
      <c r="U54" s="201"/>
      <c r="V54" s="71"/>
      <c r="W54" s="227"/>
      <c r="X54" s="71"/>
      <c r="Y54" s="201"/>
      <c r="Z54" s="71"/>
      <c r="AA54" s="227"/>
      <c r="AB54" s="71"/>
      <c r="AC54" s="201"/>
      <c r="AD54" s="71"/>
      <c r="AE54" s="227"/>
      <c r="AF54" s="71"/>
      <c r="AG54" s="201"/>
      <c r="AH54" s="71"/>
      <c r="AI54" s="227"/>
      <c r="AJ54" s="71"/>
      <c r="AK54" s="201"/>
      <c r="AL54" s="71"/>
      <c r="AM54" s="227"/>
      <c r="AN54" s="71"/>
      <c r="AO54" s="201"/>
      <c r="AP54" s="71"/>
      <c r="AQ54" s="227"/>
      <c r="AR54" s="71"/>
      <c r="AS54" s="227"/>
      <c r="AT54" s="228"/>
      <c r="AU54" s="227"/>
      <c r="AV54" s="228"/>
      <c r="AW54" s="227"/>
      <c r="AX54" s="229" t="n">
        <f aca="false">SUM(R54+T54+V54+X54+Z54+AB54+AD54+AF54+AH54+AJ54+AL54+AN54+AP54+AR54)</f>
        <v>0</v>
      </c>
      <c r="AY54" s="230" t="n">
        <f aca="false">SUM(AX54*1000)/48</f>
        <v>0</v>
      </c>
      <c r="AZ54" s="231" t="n">
        <f aca="false">IFERROR(VLOOKUP(A54,'Site check'!$A$14:$O$47,15,0),0)</f>
        <v>0</v>
      </c>
      <c r="BA54" s="232" t="n">
        <f aca="false">SUM(AZ54*1000)/48</f>
        <v>0</v>
      </c>
      <c r="BB54" s="90" t="n">
        <f aca="false">SUM(P54/2)+E54</f>
        <v>50</v>
      </c>
      <c r="BC54" s="90" t="n">
        <f aca="false">SUM(P54/2)+F54</f>
        <v>60</v>
      </c>
    </row>
    <row r="55" customFormat="false" ht="13.15" hidden="false" customHeight="false" outlineLevel="0" collapsed="false">
      <c r="A55" s="0" t="str">
        <f aca="false">[2]Sheet1!A55</f>
        <v>DKTN08_SEC_DD770_LM01_04</v>
      </c>
      <c r="B55" s="0" t="str">
        <f aca="false">[2]Sheet1!B55</f>
        <v>DKTN08; DC SYS01</v>
      </c>
      <c r="C55" s="44" t="str">
        <f aca="false">[2]Sheet1!C55</f>
        <v>DKTN08</v>
      </c>
      <c r="D55" s="44" t="s">
        <v>541</v>
      </c>
      <c r="E55" s="0" t="n">
        <f aca="false">[2]Sheet1!D55</f>
        <v>150</v>
      </c>
      <c r="F55" s="0" t="n">
        <f aca="false">[2]Sheet1!E55</f>
        <v>170</v>
      </c>
      <c r="G55" s="45" t="n">
        <f aca="false">[2]Sheet1!F55</f>
        <v>44105</v>
      </c>
      <c r="H55" s="0" t="n">
        <f aca="false">[2]Sheet1!G55</f>
        <v>300</v>
      </c>
      <c r="I55" s="0" t="n">
        <f aca="false">[2]Sheet1!H55</f>
        <v>300</v>
      </c>
      <c r="J55" s="0" t="n">
        <f aca="false">[2]Sheet1!I55</f>
        <v>6</v>
      </c>
      <c r="K55" s="0" t="n">
        <f aca="false">[2]Sheet1!J55</f>
        <v>4</v>
      </c>
      <c r="L55" s="0" t="n">
        <f aca="false">[2]Sheet1!K55</f>
        <v>0</v>
      </c>
      <c r="M55" s="0" t="n">
        <f aca="false">[2]Sheet1!L55</f>
        <v>1</v>
      </c>
      <c r="N55" s="0" t="n">
        <f aca="false">[2]Sheet1!M55</f>
        <v>12</v>
      </c>
      <c r="O55" s="0" t="n">
        <f aca="false">[2]Sheet1!N55</f>
        <v>0</v>
      </c>
      <c r="P55" s="226" t="n">
        <f aca="false">SUM(AY55+BA55)</f>
        <v>125</v>
      </c>
      <c r="Q55" s="204" t="s">
        <v>1150</v>
      </c>
      <c r="R55" s="221" t="n">
        <v>2</v>
      </c>
      <c r="S55" s="212" t="s">
        <v>1150</v>
      </c>
      <c r="T55" s="221" t="n">
        <v>2</v>
      </c>
      <c r="U55" s="204" t="s">
        <v>1151</v>
      </c>
      <c r="V55" s="221" t="n">
        <v>2</v>
      </c>
      <c r="W55" s="227"/>
      <c r="X55" s="71"/>
      <c r="Y55" s="201"/>
      <c r="Z55" s="71"/>
      <c r="AA55" s="227"/>
      <c r="AB55" s="71"/>
      <c r="AC55" s="201"/>
      <c r="AD55" s="71"/>
      <c r="AE55" s="227"/>
      <c r="AF55" s="71"/>
      <c r="AG55" s="201"/>
      <c r="AH55" s="71"/>
      <c r="AI55" s="227"/>
      <c r="AJ55" s="71"/>
      <c r="AK55" s="201"/>
      <c r="AL55" s="71"/>
      <c r="AM55" s="227"/>
      <c r="AN55" s="71"/>
      <c r="AO55" s="201"/>
      <c r="AP55" s="71"/>
      <c r="AQ55" s="227"/>
      <c r="AR55" s="71"/>
      <c r="AS55" s="227"/>
      <c r="AT55" s="228"/>
      <c r="AU55" s="227"/>
      <c r="AV55" s="228"/>
      <c r="AW55" s="227"/>
      <c r="AX55" s="229" t="n">
        <f aca="false">SUM(R55+T55+V55+X55+Z55+AB55+AD55+AF55+AH55+AJ55+AL55+AN55+AP55+AR55)</f>
        <v>6</v>
      </c>
      <c r="AY55" s="230" t="n">
        <f aca="false">SUM(AX55*1000)/48</f>
        <v>125</v>
      </c>
      <c r="AZ55" s="231" t="n">
        <f aca="false">IFERROR(VLOOKUP(A55,'Site check'!$A$14:$O$47,15,0),0)</f>
        <v>0</v>
      </c>
      <c r="BA55" s="232" t="n">
        <f aca="false">SUM(AZ55*1000)/48</f>
        <v>0</v>
      </c>
      <c r="BB55" s="90" t="n">
        <f aca="false">SUM(P55/2)+E55</f>
        <v>212.5</v>
      </c>
      <c r="BC55" s="90" t="n">
        <f aca="false">SUM(P55/2)+F55</f>
        <v>232.5</v>
      </c>
    </row>
    <row r="56" customFormat="false" ht="13.15" hidden="false" customHeight="false" outlineLevel="0" collapsed="false">
      <c r="A56" s="0" t="str">
        <f aca="false">[2]Sheet1!A56</f>
        <v>DKTN08_SEC_DD770_QR01_05</v>
      </c>
      <c r="B56" s="0" t="str">
        <f aca="false">[2]Sheet1!B56</f>
        <v>DKTN08; DC SYS01</v>
      </c>
      <c r="C56" s="44" t="str">
        <f aca="false">[2]Sheet1!C56</f>
        <v>DKTN08</v>
      </c>
      <c r="D56" s="44" t="s">
        <v>541</v>
      </c>
      <c r="E56" s="0" t="n">
        <f aca="false">[2]Sheet1!D56</f>
        <v>150</v>
      </c>
      <c r="F56" s="0" t="n">
        <f aca="false">[2]Sheet1!E56</f>
        <v>130</v>
      </c>
      <c r="G56" s="45" t="n">
        <f aca="false">[2]Sheet1!F56</f>
        <v>44105</v>
      </c>
      <c r="H56" s="0" t="n">
        <f aca="false">[2]Sheet1!G56</f>
        <v>300</v>
      </c>
      <c r="I56" s="0" t="n">
        <f aca="false">[2]Sheet1!H56</f>
        <v>300</v>
      </c>
      <c r="J56" s="0" t="n">
        <f aca="false">[2]Sheet1!I56</f>
        <v>4</v>
      </c>
      <c r="K56" s="0" t="n">
        <f aca="false">[2]Sheet1!J56</f>
        <v>0</v>
      </c>
      <c r="L56" s="0" t="n">
        <f aca="false">[2]Sheet1!K56</f>
        <v>0</v>
      </c>
      <c r="M56" s="0" t="n">
        <f aca="false">[2]Sheet1!L56</f>
        <v>21</v>
      </c>
      <c r="N56" s="0" t="n">
        <f aca="false">[2]Sheet1!M56</f>
        <v>11</v>
      </c>
      <c r="O56" s="0" t="n">
        <f aca="false">[2]Sheet1!N56</f>
        <v>0</v>
      </c>
      <c r="P56" s="226" t="n">
        <f aca="false">SUM(AY56+BA56)</f>
        <v>104.166666666667</v>
      </c>
      <c r="Q56" s="170" t="s">
        <v>1149</v>
      </c>
      <c r="R56" s="234" t="n">
        <v>5</v>
      </c>
      <c r="S56" s="227"/>
      <c r="T56" s="71"/>
      <c r="U56" s="201"/>
      <c r="V56" s="71"/>
      <c r="W56" s="227"/>
      <c r="X56" s="71"/>
      <c r="Y56" s="201"/>
      <c r="Z56" s="71"/>
      <c r="AA56" s="227"/>
      <c r="AB56" s="71"/>
      <c r="AC56" s="201"/>
      <c r="AD56" s="71"/>
      <c r="AE56" s="227"/>
      <c r="AF56" s="71"/>
      <c r="AG56" s="201"/>
      <c r="AH56" s="71"/>
      <c r="AI56" s="227"/>
      <c r="AJ56" s="71"/>
      <c r="AK56" s="201"/>
      <c r="AL56" s="71"/>
      <c r="AM56" s="227"/>
      <c r="AN56" s="71"/>
      <c r="AO56" s="201"/>
      <c r="AP56" s="71"/>
      <c r="AQ56" s="227"/>
      <c r="AR56" s="71"/>
      <c r="AS56" s="227"/>
      <c r="AT56" s="228"/>
      <c r="AU56" s="227"/>
      <c r="AV56" s="228"/>
      <c r="AW56" s="227"/>
      <c r="AX56" s="229" t="n">
        <f aca="false">SUM(R56+T56+V56+X56+Z56+AB56+AD56+AF56+AH56+AJ56+AL56+AN56+AP56+AR56)</f>
        <v>5</v>
      </c>
      <c r="AY56" s="230" t="n">
        <f aca="false">SUM(AX56*1000)/48</f>
        <v>104.166666666667</v>
      </c>
      <c r="AZ56" s="231" t="n">
        <f aca="false">IFERROR(VLOOKUP(A56,'Site check'!$A$14:$O$47,15,0),0)</f>
        <v>0</v>
      </c>
      <c r="BA56" s="232" t="n">
        <f aca="false">SUM(AZ56*1000)/48</f>
        <v>0</v>
      </c>
      <c r="BB56" s="90" t="n">
        <f aca="false">SUM(P56/2)+E56</f>
        <v>202.083333333333</v>
      </c>
      <c r="BC56" s="90" t="n">
        <f aca="false">SUM(P56/2)+F56</f>
        <v>182.083333333333</v>
      </c>
    </row>
    <row r="57" customFormat="false" ht="13.15" hidden="false" customHeight="false" outlineLevel="0" collapsed="false">
      <c r="A57" s="0" t="str">
        <f aca="false">[2]Sheet1!A57</f>
        <v>HRWN02_SEC_DD770_CD01</v>
      </c>
      <c r="B57" s="0" t="str">
        <f aca="false">[2]Sheet1!B57</f>
        <v>HRWN02;DC SYS01</v>
      </c>
      <c r="C57" s="44" t="str">
        <f aca="false">[2]Sheet1!C57</f>
        <v>HRWN02</v>
      </c>
      <c r="D57" s="44" t="s">
        <v>612</v>
      </c>
      <c r="E57" s="0" t="n">
        <f aca="false">[2]Sheet1!D57</f>
        <v>40</v>
      </c>
      <c r="F57" s="0" t="n">
        <f aca="false">[2]Sheet1!E57</f>
        <v>30</v>
      </c>
      <c r="G57" s="45" t="n">
        <f aca="false">[2]Sheet1!F57</f>
        <v>44105</v>
      </c>
      <c r="H57" s="0" t="n">
        <f aca="false">[2]Sheet1!G57</f>
        <v>300</v>
      </c>
      <c r="I57" s="0" t="n">
        <f aca="false">[2]Sheet1!H57</f>
        <v>300</v>
      </c>
      <c r="J57" s="0" t="n">
        <f aca="false">[2]Sheet1!I57</f>
        <v>4</v>
      </c>
      <c r="K57" s="0" t="n">
        <f aca="false">[2]Sheet1!J57</f>
        <v>1</v>
      </c>
      <c r="L57" s="0" t="n">
        <f aca="false">[2]Sheet1!K57</f>
        <v>5</v>
      </c>
      <c r="M57" s="0" t="n">
        <f aca="false">[2]Sheet1!L57</f>
        <v>9</v>
      </c>
      <c r="N57" s="0" t="n">
        <f aca="false">[2]Sheet1!M57</f>
        <v>11</v>
      </c>
      <c r="O57" s="0" t="n">
        <f aca="false">[2]Sheet1!N57</f>
        <v>0</v>
      </c>
      <c r="P57" s="226" t="n">
        <f aca="false">SUM(AY57+BA57)</f>
        <v>243.75</v>
      </c>
      <c r="Q57" s="170" t="s">
        <v>1217</v>
      </c>
      <c r="R57" s="234" t="n">
        <v>5</v>
      </c>
      <c r="S57" s="212" t="s">
        <v>1219</v>
      </c>
      <c r="T57" s="221" t="n">
        <v>1</v>
      </c>
      <c r="U57" s="212" t="s">
        <v>1219</v>
      </c>
      <c r="V57" s="221" t="n">
        <v>1</v>
      </c>
      <c r="W57" s="212" t="s">
        <v>1220</v>
      </c>
      <c r="X57" s="205" t="n">
        <v>0.5</v>
      </c>
      <c r="Y57" s="181" t="s">
        <v>1221</v>
      </c>
      <c r="Z57" s="175" t="n">
        <v>4.2</v>
      </c>
      <c r="AA57" s="227"/>
      <c r="AB57" s="71"/>
      <c r="AC57" s="201"/>
      <c r="AD57" s="71"/>
      <c r="AE57" s="227"/>
      <c r="AF57" s="71"/>
      <c r="AG57" s="201"/>
      <c r="AH57" s="71"/>
      <c r="AI57" s="227"/>
      <c r="AJ57" s="71"/>
      <c r="AK57" s="201"/>
      <c r="AL57" s="71"/>
      <c r="AM57" s="227"/>
      <c r="AN57" s="71"/>
      <c r="AO57" s="201"/>
      <c r="AP57" s="71"/>
      <c r="AQ57" s="227"/>
      <c r="AR57" s="71"/>
      <c r="AS57" s="227"/>
      <c r="AT57" s="228"/>
      <c r="AU57" s="227"/>
      <c r="AV57" s="228"/>
      <c r="AW57" s="227"/>
      <c r="AX57" s="229" t="n">
        <f aca="false">SUM(R57+T57+V57+X57+Z57+AB57+AD57+AF57+AH57+AJ57+AL57+AN57+AP57+AR57)</f>
        <v>11.7</v>
      </c>
      <c r="AY57" s="230" t="n">
        <f aca="false">SUM(AX57*1000)/48</f>
        <v>243.75</v>
      </c>
      <c r="AZ57" s="231" t="n">
        <f aca="false">IFERROR(VLOOKUP(A57,'Site check'!$A$14:$O$47,15,0),0)</f>
        <v>0</v>
      </c>
      <c r="BA57" s="232" t="n">
        <f aca="false">SUM(AZ57*1000)/48</f>
        <v>0</v>
      </c>
      <c r="BB57" s="90" t="n">
        <f aca="false">SUM(P57/2)+E57</f>
        <v>161.875</v>
      </c>
      <c r="BC57" s="90" t="n">
        <f aca="false">SUM(P57/2)+F57</f>
        <v>151.875</v>
      </c>
    </row>
    <row r="58" customFormat="false" ht="13.15" hidden="false" customHeight="false" outlineLevel="0" collapsed="false">
      <c r="A58" s="0" t="str">
        <f aca="false">[2]Sheet1!A58</f>
        <v>HRWN02_SEC_DD770_GH01</v>
      </c>
      <c r="B58" s="0" t="str">
        <f aca="false">[2]Sheet1!B58</f>
        <v>HRWN02;DC SYS01</v>
      </c>
      <c r="C58" s="44" t="str">
        <f aca="false">[2]Sheet1!C58</f>
        <v>HRWN02</v>
      </c>
      <c r="D58" s="44" t="s">
        <v>612</v>
      </c>
      <c r="E58" s="0" t="n">
        <f aca="false">[2]Sheet1!D58</f>
        <v>80</v>
      </c>
      <c r="F58" s="0" t="n">
        <f aca="false">[2]Sheet1!E58</f>
        <v>100</v>
      </c>
      <c r="G58" s="45" t="n">
        <f aca="false">[2]Sheet1!F58</f>
        <v>44105</v>
      </c>
      <c r="H58" s="0" t="n">
        <f aca="false">[2]Sheet1!G58</f>
        <v>300</v>
      </c>
      <c r="I58" s="0" t="n">
        <f aca="false">[2]Sheet1!H58</f>
        <v>300</v>
      </c>
      <c r="J58" s="0" t="n">
        <f aca="false">[2]Sheet1!I58</f>
        <v>1</v>
      </c>
      <c r="K58" s="0" t="n">
        <f aca="false">[2]Sheet1!J58</f>
        <v>0</v>
      </c>
      <c r="L58" s="0" t="n">
        <f aca="false">[2]Sheet1!K58</f>
        <v>0</v>
      </c>
      <c r="M58" s="0" t="n">
        <f aca="false">[2]Sheet1!L58</f>
        <v>11</v>
      </c>
      <c r="N58" s="0" t="n">
        <f aca="false">[2]Sheet1!M58</f>
        <v>9</v>
      </c>
      <c r="O58" s="0" t="n">
        <f aca="false">[2]Sheet1!N58</f>
        <v>0</v>
      </c>
      <c r="P58" s="226" t="n">
        <f aca="false">SUM(AY58+BA58)</f>
        <v>41.6666666666667</v>
      </c>
      <c r="Q58" s="170" t="s">
        <v>1218</v>
      </c>
      <c r="R58" s="234" t="n">
        <v>2</v>
      </c>
      <c r="S58" s="212"/>
      <c r="T58" s="221"/>
      <c r="U58" s="201"/>
      <c r="V58" s="71"/>
      <c r="W58" s="227"/>
      <c r="X58" s="71"/>
      <c r="Y58" s="201"/>
      <c r="Z58" s="71"/>
      <c r="AA58" s="227"/>
      <c r="AB58" s="71"/>
      <c r="AC58" s="201"/>
      <c r="AD58" s="71"/>
      <c r="AE58" s="227"/>
      <c r="AF58" s="71"/>
      <c r="AG58" s="201"/>
      <c r="AH58" s="71"/>
      <c r="AI58" s="227"/>
      <c r="AJ58" s="71"/>
      <c r="AK58" s="201"/>
      <c r="AL58" s="71"/>
      <c r="AM58" s="227"/>
      <c r="AN58" s="71"/>
      <c r="AO58" s="201"/>
      <c r="AP58" s="71"/>
      <c r="AQ58" s="227"/>
      <c r="AR58" s="71"/>
      <c r="AS58" s="227"/>
      <c r="AT58" s="228"/>
      <c r="AU58" s="227"/>
      <c r="AV58" s="228"/>
      <c r="AW58" s="227"/>
      <c r="AX58" s="229" t="n">
        <f aca="false">SUM(R58+T58+V58+X58+Z58+AB58+AD58+AF58+AH58+AJ58+AL58+AN58+AP58+AR58)</f>
        <v>2</v>
      </c>
      <c r="AY58" s="230" t="n">
        <f aca="false">SUM(AX58*1000)/48</f>
        <v>41.6666666666667</v>
      </c>
      <c r="AZ58" s="231" t="n">
        <f aca="false">IFERROR(VLOOKUP(A58,'Site check'!$A$14:$O$47,15,0),0)</f>
        <v>0</v>
      </c>
      <c r="BA58" s="232" t="n">
        <f aca="false">SUM(AZ58*1000)/48</f>
        <v>0</v>
      </c>
      <c r="BB58" s="90" t="n">
        <f aca="false">SUM(P58/2)+E58</f>
        <v>100.833333333333</v>
      </c>
      <c r="BC58" s="90" t="n">
        <f aca="false">SUM(P58/2)+F58</f>
        <v>120.833333333333</v>
      </c>
    </row>
    <row r="59" customFormat="false" ht="13.15" hidden="false" customHeight="false" outlineLevel="0" collapsed="false">
      <c r="A59" s="0" t="str">
        <f aca="false">[2]Sheet1!A59</f>
        <v>DCDB _C4.</v>
      </c>
      <c r="B59" s="0" t="str">
        <f aca="false">[2]Sheet1!B59</f>
        <v>IODN01;DC SYS01</v>
      </c>
      <c r="C59" s="44" t="str">
        <f aca="false">[2]Sheet1!C59</f>
        <v>IODN01</v>
      </c>
      <c r="D59" s="44" t="s">
        <v>622</v>
      </c>
      <c r="E59" s="0" t="n">
        <f aca="false">[2]Sheet1!D59</f>
        <v>105</v>
      </c>
      <c r="F59" s="0" t="n">
        <f aca="false">[2]Sheet1!E59</f>
        <v>95</v>
      </c>
      <c r="G59" s="45" t="n">
        <f aca="false">[2]Sheet1!F59</f>
        <v>44217</v>
      </c>
      <c r="H59" s="0" t="n">
        <f aca="false">[2]Sheet1!G59</f>
        <v>300</v>
      </c>
      <c r="I59" s="0" t="n">
        <f aca="false">[2]Sheet1!H59</f>
        <v>300</v>
      </c>
      <c r="J59" s="0" t="n">
        <f aca="false">[2]Sheet1!I59</f>
        <v>2</v>
      </c>
      <c r="K59" s="0" t="n">
        <f aca="false">[2]Sheet1!J59</f>
        <v>0</v>
      </c>
      <c r="L59" s="0" t="n">
        <f aca="false">[2]Sheet1!K59</f>
        <v>0</v>
      </c>
      <c r="M59" s="0" t="n">
        <f aca="false">[2]Sheet1!L59</f>
        <v>0</v>
      </c>
      <c r="N59" s="0" t="n">
        <f aca="false">[2]Sheet1!M59</f>
        <v>2</v>
      </c>
      <c r="O59" s="0" t="n">
        <f aca="false">[2]Sheet1!N59</f>
        <v>34</v>
      </c>
      <c r="P59" s="226" t="n">
        <f aca="false">SUM(AY59+BA59)</f>
        <v>0</v>
      </c>
      <c r="Q59" s="201"/>
      <c r="R59" s="71"/>
      <c r="S59" s="227"/>
      <c r="T59" s="71"/>
      <c r="U59" s="201"/>
      <c r="V59" s="71"/>
      <c r="W59" s="227"/>
      <c r="X59" s="71"/>
      <c r="Y59" s="201"/>
      <c r="Z59" s="71"/>
      <c r="AA59" s="227"/>
      <c r="AB59" s="71"/>
      <c r="AC59" s="201"/>
      <c r="AD59" s="71"/>
      <c r="AE59" s="227"/>
      <c r="AF59" s="71"/>
      <c r="AG59" s="201"/>
      <c r="AH59" s="71"/>
      <c r="AI59" s="227"/>
      <c r="AJ59" s="71"/>
      <c r="AK59" s="201"/>
      <c r="AL59" s="71"/>
      <c r="AM59" s="227"/>
      <c r="AN59" s="71"/>
      <c r="AO59" s="201"/>
      <c r="AP59" s="71"/>
      <c r="AQ59" s="227"/>
      <c r="AR59" s="71"/>
      <c r="AS59" s="227"/>
      <c r="AT59" s="228"/>
      <c r="AU59" s="227"/>
      <c r="AV59" s="228"/>
      <c r="AW59" s="227"/>
      <c r="AX59" s="229" t="n">
        <f aca="false">SUM(R59+T59+V59+X59+Z59+AB59+AD59+AF59+AH59+AJ59+AL59+AN59+AP59+AR59)</f>
        <v>0</v>
      </c>
      <c r="AY59" s="230" t="n">
        <f aca="false">SUM(AX59*1000)/48</f>
        <v>0</v>
      </c>
      <c r="AZ59" s="231" t="n">
        <f aca="false">IFERROR(VLOOKUP(A59,'Site check'!$A$14:$O$47,15,0),0)</f>
        <v>0</v>
      </c>
      <c r="BA59" s="232" t="n">
        <f aca="false">SUM(AZ59*1000)/48</f>
        <v>0</v>
      </c>
      <c r="BB59" s="90" t="n">
        <f aca="false">SUM(P59/2)+E59</f>
        <v>105</v>
      </c>
      <c r="BC59" s="90" t="n">
        <f aca="false">SUM(P59/2)+F59</f>
        <v>95</v>
      </c>
    </row>
    <row r="60" customFormat="false" ht="13.15" hidden="false" customHeight="false" outlineLevel="0" collapsed="false">
      <c r="A60" s="0" t="str">
        <f aca="false">[2]Sheet1!A60</f>
        <v>DCDB _E04</v>
      </c>
      <c r="B60" s="0" t="str">
        <f aca="false">[2]Sheet1!B60</f>
        <v>IODN01;DC SYS01</v>
      </c>
      <c r="C60" s="44" t="str">
        <f aca="false">[2]Sheet1!C60</f>
        <v>IODN01</v>
      </c>
      <c r="D60" s="44" t="s">
        <v>622</v>
      </c>
      <c r="E60" s="0" t="n">
        <f aca="false">[2]Sheet1!D60</f>
        <v>25</v>
      </c>
      <c r="F60" s="0" t="n">
        <f aca="false">[2]Sheet1!E60</f>
        <v>25</v>
      </c>
      <c r="G60" s="45" t="n">
        <f aca="false">[2]Sheet1!F60</f>
        <v>44161</v>
      </c>
      <c r="H60" s="0" t="n">
        <f aca="false">[2]Sheet1!G60</f>
        <v>300</v>
      </c>
      <c r="I60" s="0" t="n">
        <f aca="false">[2]Sheet1!H60</f>
        <v>300</v>
      </c>
      <c r="J60" s="0" t="n">
        <f aca="false">[2]Sheet1!I60</f>
        <v>2</v>
      </c>
      <c r="K60" s="0" t="n">
        <f aca="false">[2]Sheet1!J60</f>
        <v>0</v>
      </c>
      <c r="L60" s="0" t="n">
        <f aca="false">[2]Sheet1!K60</f>
        <v>0</v>
      </c>
      <c r="M60" s="0" t="n">
        <f aca="false">[2]Sheet1!L60</f>
        <v>2</v>
      </c>
      <c r="N60" s="0" t="n">
        <f aca="false">[2]Sheet1!M60</f>
        <v>2</v>
      </c>
      <c r="O60" s="0" t="n">
        <f aca="false">[2]Sheet1!N60</f>
        <v>55</v>
      </c>
      <c r="P60" s="226" t="n">
        <f aca="false">SUM(AY60+BA60)</f>
        <v>0</v>
      </c>
      <c r="Q60" s="201"/>
      <c r="R60" s="71"/>
      <c r="S60" s="227"/>
      <c r="T60" s="71"/>
      <c r="U60" s="201"/>
      <c r="V60" s="71"/>
      <c r="W60" s="227"/>
      <c r="X60" s="71"/>
      <c r="Y60" s="201"/>
      <c r="Z60" s="71"/>
      <c r="AA60" s="227"/>
      <c r="AB60" s="71"/>
      <c r="AC60" s="201"/>
      <c r="AD60" s="71"/>
      <c r="AE60" s="227"/>
      <c r="AF60" s="71"/>
      <c r="AG60" s="201"/>
      <c r="AH60" s="71"/>
      <c r="AI60" s="227"/>
      <c r="AJ60" s="71"/>
      <c r="AK60" s="201"/>
      <c r="AL60" s="71"/>
      <c r="AM60" s="227"/>
      <c r="AN60" s="71"/>
      <c r="AO60" s="201"/>
      <c r="AP60" s="71"/>
      <c r="AQ60" s="227"/>
      <c r="AR60" s="71"/>
      <c r="AS60" s="227"/>
      <c r="AT60" s="228"/>
      <c r="AU60" s="227"/>
      <c r="AV60" s="228"/>
      <c r="AW60" s="227"/>
      <c r="AX60" s="229" t="n">
        <f aca="false">SUM(R60+T60+V60+X60+Z60+AB60+AD60+AF60+AH60+AJ60+AL60+AN60+AP60+AR60)</f>
        <v>0</v>
      </c>
      <c r="AY60" s="230" t="n">
        <f aca="false">SUM(AX60*1000)/48</f>
        <v>0</v>
      </c>
      <c r="AZ60" s="231" t="n">
        <f aca="false">IFERROR(VLOOKUP(A60,'Site check'!$A$14:$O$47,15,0),0)</f>
        <v>0</v>
      </c>
      <c r="BA60" s="232" t="n">
        <f aca="false">SUM(AZ60*1000)/48</f>
        <v>0</v>
      </c>
      <c r="BB60" s="90" t="n">
        <f aca="false">SUM(P60/2)+E60</f>
        <v>25</v>
      </c>
      <c r="BC60" s="90" t="n">
        <f aca="false">SUM(P60/2)+F60</f>
        <v>25</v>
      </c>
    </row>
    <row r="61" customFormat="false" ht="13.15" hidden="false" customHeight="false" outlineLevel="0" collapsed="false">
      <c r="A61" s="0" t="str">
        <f aca="false">[2]Sheet1!A61</f>
        <v>DCDB _G04</v>
      </c>
      <c r="B61" s="0" t="str">
        <f aca="false">[2]Sheet1!B61</f>
        <v>IODN01;DC SYS01</v>
      </c>
      <c r="C61" s="44" t="str">
        <f aca="false">[2]Sheet1!C61</f>
        <v>IODN01</v>
      </c>
      <c r="D61" s="44" t="s">
        <v>1463</v>
      </c>
      <c r="E61" s="0" t="n">
        <f aca="false">[2]Sheet1!D61</f>
        <v>125</v>
      </c>
      <c r="F61" s="0" t="n">
        <f aca="false">[2]Sheet1!E61</f>
        <v>120</v>
      </c>
      <c r="G61" s="45" t="n">
        <f aca="false">[2]Sheet1!F61</f>
        <v>44161</v>
      </c>
      <c r="H61" s="0" t="n">
        <f aca="false">[2]Sheet1!G61</f>
        <v>300</v>
      </c>
      <c r="I61" s="0" t="n">
        <f aca="false">[2]Sheet1!H61</f>
        <v>300</v>
      </c>
      <c r="J61" s="0" t="n">
        <f aca="false">[2]Sheet1!I61</f>
        <v>2</v>
      </c>
      <c r="K61" s="0" t="n">
        <f aca="false">[2]Sheet1!J61</f>
        <v>0</v>
      </c>
      <c r="L61" s="0" t="n">
        <f aca="false">[2]Sheet1!K61</f>
        <v>0</v>
      </c>
      <c r="M61" s="0" t="n">
        <f aca="false">[2]Sheet1!L61</f>
        <v>1</v>
      </c>
      <c r="N61" s="0" t="n">
        <f aca="false">[2]Sheet1!M61</f>
        <v>2</v>
      </c>
      <c r="O61" s="0" t="n">
        <f aca="false">[2]Sheet1!N61</f>
        <v>37</v>
      </c>
      <c r="P61" s="226" t="n">
        <f aca="false">SUM(AY61+BA61)</f>
        <v>0</v>
      </c>
      <c r="Q61" s="201"/>
      <c r="R61" s="71"/>
      <c r="S61" s="227"/>
      <c r="T61" s="71"/>
      <c r="U61" s="201"/>
      <c r="V61" s="71"/>
      <c r="W61" s="227"/>
      <c r="X61" s="71"/>
      <c r="Y61" s="201"/>
      <c r="Z61" s="71"/>
      <c r="AA61" s="227"/>
      <c r="AB61" s="71"/>
      <c r="AC61" s="201"/>
      <c r="AD61" s="71"/>
      <c r="AE61" s="227"/>
      <c r="AF61" s="71"/>
      <c r="AG61" s="201"/>
      <c r="AH61" s="71"/>
      <c r="AI61" s="227"/>
      <c r="AJ61" s="71"/>
      <c r="AK61" s="201"/>
      <c r="AL61" s="71"/>
      <c r="AM61" s="227"/>
      <c r="AN61" s="71"/>
      <c r="AO61" s="201"/>
      <c r="AP61" s="71"/>
      <c r="AQ61" s="227"/>
      <c r="AR61" s="71"/>
      <c r="AS61" s="227"/>
      <c r="AT61" s="228"/>
      <c r="AU61" s="227"/>
      <c r="AV61" s="228"/>
      <c r="AW61" s="227"/>
      <c r="AX61" s="229" t="n">
        <f aca="false">SUM(R61+T61+V61+X61+Z61+AB61+AD61+AF61+AH61+AJ61+AL61+AN61+AP61+AR61)</f>
        <v>0</v>
      </c>
      <c r="AY61" s="230" t="n">
        <f aca="false">SUM(AX61*1000)/48</f>
        <v>0</v>
      </c>
      <c r="AZ61" s="231" t="n">
        <f aca="false">IFERROR(VLOOKUP(A61,'Site check'!$A$14:$O$47,15,0),0)</f>
        <v>0</v>
      </c>
      <c r="BA61" s="232" t="n">
        <f aca="false">SUM(AZ61*1000)/48</f>
        <v>0</v>
      </c>
      <c r="BB61" s="90" t="n">
        <f aca="false">SUM(P61/2)+E61</f>
        <v>125</v>
      </c>
      <c r="BC61" s="90" t="n">
        <f aca="false">SUM(P61/2)+F61</f>
        <v>120</v>
      </c>
    </row>
    <row r="62" customFormat="false" ht="13.15" hidden="false" customHeight="false" outlineLevel="0" collapsed="false">
      <c r="A62" s="0" t="str">
        <f aca="false">[2]Sheet1!A62</f>
        <v>DCDB _J04</v>
      </c>
      <c r="B62" s="0" t="str">
        <f aca="false">[2]Sheet1!B62</f>
        <v>IODN01;DC SYS01</v>
      </c>
      <c r="C62" s="44" t="str">
        <f aca="false">[2]Sheet1!C62</f>
        <v>IODN01</v>
      </c>
      <c r="D62" s="44" t="s">
        <v>622</v>
      </c>
      <c r="E62" s="0" t="n">
        <f aca="false">[2]Sheet1!D62</f>
        <v>5</v>
      </c>
      <c r="F62" s="0" t="n">
        <f aca="false">[2]Sheet1!E62</f>
        <v>25</v>
      </c>
      <c r="G62" s="45" t="n">
        <f aca="false">[2]Sheet1!F62</f>
        <v>44161</v>
      </c>
      <c r="H62" s="0" t="n">
        <f aca="false">[2]Sheet1!G62</f>
        <v>300</v>
      </c>
      <c r="I62" s="0" t="n">
        <f aca="false">[2]Sheet1!H62</f>
        <v>300</v>
      </c>
      <c r="J62" s="0" t="n">
        <f aca="false">[2]Sheet1!I62</f>
        <v>0</v>
      </c>
      <c r="K62" s="0" t="n">
        <f aca="false">[2]Sheet1!J62</f>
        <v>0</v>
      </c>
      <c r="L62" s="0" t="n">
        <f aca="false">[2]Sheet1!K62</f>
        <v>0</v>
      </c>
      <c r="M62" s="0" t="n">
        <f aca="false">[2]Sheet1!L62</f>
        <v>1</v>
      </c>
      <c r="N62" s="0" t="n">
        <f aca="false">[2]Sheet1!M62</f>
        <v>2</v>
      </c>
      <c r="O62" s="0" t="n">
        <f aca="false">[2]Sheet1!N62</f>
        <v>49</v>
      </c>
      <c r="P62" s="226" t="n">
        <f aca="false">SUM(AY62+BA62)</f>
        <v>416.666666666667</v>
      </c>
      <c r="Q62" s="170" t="s">
        <v>1230</v>
      </c>
      <c r="R62" s="234" t="n">
        <v>5</v>
      </c>
      <c r="S62" s="170" t="s">
        <v>1231</v>
      </c>
      <c r="T62" s="234" t="n">
        <v>4.5</v>
      </c>
      <c r="U62" s="170" t="s">
        <v>1464</v>
      </c>
      <c r="V62" s="234" t="n">
        <v>4.5</v>
      </c>
      <c r="W62" s="212" t="s">
        <v>1232</v>
      </c>
      <c r="X62" s="221" t="n">
        <v>1</v>
      </c>
      <c r="Y62" s="177" t="s">
        <v>1465</v>
      </c>
      <c r="Z62" s="235" t="n">
        <v>5</v>
      </c>
      <c r="AA62" s="227"/>
      <c r="AB62" s="71"/>
      <c r="AC62" s="201"/>
      <c r="AD62" s="71"/>
      <c r="AE62" s="227"/>
      <c r="AF62" s="71"/>
      <c r="AG62" s="201"/>
      <c r="AH62" s="71"/>
      <c r="AI62" s="227"/>
      <c r="AJ62" s="71"/>
      <c r="AK62" s="201"/>
      <c r="AL62" s="71"/>
      <c r="AM62" s="227"/>
      <c r="AN62" s="71"/>
      <c r="AO62" s="201"/>
      <c r="AP62" s="71"/>
      <c r="AQ62" s="227"/>
      <c r="AR62" s="71"/>
      <c r="AS62" s="227"/>
      <c r="AT62" s="228"/>
      <c r="AU62" s="227"/>
      <c r="AV62" s="228"/>
      <c r="AW62" s="227"/>
      <c r="AX62" s="229" t="n">
        <f aca="false">SUM(R62+T62+V62+X62+Z62+AB62+AD62+AF62+AH62+AJ62+AL62+AN62+AP62+AR62)</f>
        <v>20</v>
      </c>
      <c r="AY62" s="230" t="n">
        <f aca="false">SUM(AX62*1000)/48</f>
        <v>416.666666666667</v>
      </c>
      <c r="AZ62" s="231" t="n">
        <f aca="false">IFERROR(VLOOKUP(A62,'Site check'!$A$14:$O$47,15,0),0)</f>
        <v>0</v>
      </c>
      <c r="BA62" s="232" t="n">
        <f aca="false">SUM(AZ62*1000)/48</f>
        <v>0</v>
      </c>
      <c r="BB62" s="90" t="n">
        <f aca="false">SUM(P62/2)+E62</f>
        <v>213.333333333333</v>
      </c>
      <c r="BC62" s="90" t="n">
        <f aca="false">SUM(P62/2)+F62</f>
        <v>233.333333333333</v>
      </c>
    </row>
    <row r="63" customFormat="false" ht="13.15" hidden="false" customHeight="false" outlineLevel="0" collapsed="false">
      <c r="A63" s="0" t="str">
        <f aca="false">[2]Sheet1!A63</f>
        <v>IGNN01_SEC_CBDB_EF11</v>
      </c>
      <c r="B63" s="0" t="str">
        <f aca="false">[2]Sheet1!B63</f>
        <v>IGNN01;DC SYS01</v>
      </c>
      <c r="C63" s="44" t="str">
        <f aca="false">[2]Sheet1!C63</f>
        <v>IGNN01</v>
      </c>
      <c r="D63" s="44" t="s">
        <v>615</v>
      </c>
      <c r="E63" s="0" t="n">
        <f aca="false">[2]Sheet1!D63</f>
        <v>97</v>
      </c>
      <c r="F63" s="0" t="n">
        <f aca="false">[2]Sheet1!E63</f>
        <v>103</v>
      </c>
      <c r="G63" s="45" t="n">
        <f aca="false">[2]Sheet1!F63</f>
        <v>44229</v>
      </c>
      <c r="H63" s="0" t="n">
        <f aca="false">[2]Sheet1!G63</f>
        <v>300</v>
      </c>
      <c r="I63" s="0" t="n">
        <f aca="false">[2]Sheet1!H63</f>
        <v>300</v>
      </c>
      <c r="J63" s="0" t="n">
        <f aca="false">[2]Sheet1!I63</f>
        <v>0</v>
      </c>
      <c r="K63" s="0" t="n">
        <f aca="false">[2]Sheet1!J63</f>
        <v>0</v>
      </c>
      <c r="L63" s="0" t="n">
        <f aca="false">[2]Sheet1!K63</f>
        <v>0</v>
      </c>
      <c r="M63" s="0" t="n">
        <f aca="false">[2]Sheet1!L63</f>
        <v>0</v>
      </c>
      <c r="N63" s="0" t="n">
        <f aca="false">[2]Sheet1!M63</f>
        <v>3</v>
      </c>
      <c r="O63" s="0" t="n">
        <f aca="false">[2]Sheet1!N63</f>
        <v>0</v>
      </c>
      <c r="P63" s="226" t="n">
        <f aca="false">SUM(AY63+BA63)</f>
        <v>125</v>
      </c>
      <c r="Q63" s="170" t="s">
        <v>1223</v>
      </c>
      <c r="R63" s="234" t="n">
        <v>5</v>
      </c>
      <c r="S63" s="212" t="s">
        <v>1225</v>
      </c>
      <c r="T63" s="221" t="n">
        <v>1</v>
      </c>
      <c r="U63" s="201"/>
      <c r="V63" s="71"/>
      <c r="W63" s="227"/>
      <c r="X63" s="71"/>
      <c r="Y63" s="201"/>
      <c r="Z63" s="71"/>
      <c r="AA63" s="227"/>
      <c r="AB63" s="71"/>
      <c r="AC63" s="201"/>
      <c r="AD63" s="71"/>
      <c r="AE63" s="227"/>
      <c r="AF63" s="71"/>
      <c r="AG63" s="201"/>
      <c r="AH63" s="71"/>
      <c r="AI63" s="227"/>
      <c r="AJ63" s="71"/>
      <c r="AK63" s="201"/>
      <c r="AL63" s="71"/>
      <c r="AM63" s="227"/>
      <c r="AN63" s="71"/>
      <c r="AO63" s="201"/>
      <c r="AP63" s="71"/>
      <c r="AQ63" s="227"/>
      <c r="AR63" s="71"/>
      <c r="AS63" s="227"/>
      <c r="AT63" s="228"/>
      <c r="AU63" s="227"/>
      <c r="AV63" s="228"/>
      <c r="AW63" s="227"/>
      <c r="AX63" s="229" t="n">
        <f aca="false">SUM(R63+T63+V63+X63+Z63+AB63+AD63+AF63+AH63+AJ63+AL63+AN63+AP63+AR63)</f>
        <v>6</v>
      </c>
      <c r="AY63" s="230" t="n">
        <f aca="false">SUM(AX63*1000)/48</f>
        <v>125</v>
      </c>
      <c r="AZ63" s="231" t="n">
        <f aca="false">IFERROR(VLOOKUP(A63,'Site check'!$A$14:$O$47,15,0),0)</f>
        <v>0</v>
      </c>
      <c r="BA63" s="232" t="n">
        <f aca="false">SUM(AZ63*1000)/48</f>
        <v>0</v>
      </c>
      <c r="BB63" s="90" t="n">
        <f aca="false">SUM(P63/2)+E63</f>
        <v>159.5</v>
      </c>
      <c r="BC63" s="90" t="n">
        <f aca="false">SUM(P63/2)+F63</f>
        <v>165.5</v>
      </c>
    </row>
    <row r="64" customFormat="false" ht="13.15" hidden="false" customHeight="false" outlineLevel="0" collapsed="false">
      <c r="A64" s="0" t="str">
        <f aca="false">[2]Sheet1!A64</f>
        <v>IGNN01_SEC_DD770_ CD01</v>
      </c>
      <c r="B64" s="0" t="str">
        <f aca="false">[2]Sheet1!B64</f>
        <v>IGNN01;DC SYS01</v>
      </c>
      <c r="C64" s="44" t="str">
        <f aca="false">[2]Sheet1!C64</f>
        <v>IGNN01</v>
      </c>
      <c r="D64" s="44" t="s">
        <v>615</v>
      </c>
      <c r="E64" s="0" t="n">
        <f aca="false">[2]Sheet1!D64</f>
        <v>75</v>
      </c>
      <c r="F64" s="0" t="n">
        <f aca="false">[2]Sheet1!E64</f>
        <v>50</v>
      </c>
      <c r="G64" s="45" t="n">
        <f aca="false">[2]Sheet1!F64</f>
        <v>44384</v>
      </c>
      <c r="H64" s="0" t="n">
        <f aca="false">[2]Sheet1!G64</f>
        <v>300</v>
      </c>
      <c r="I64" s="0" t="n">
        <f aca="false">[2]Sheet1!H64</f>
        <v>300</v>
      </c>
      <c r="J64" s="0" t="n">
        <f aca="false">[2]Sheet1!I64</f>
        <v>6</v>
      </c>
      <c r="K64" s="0" t="n">
        <f aca="false">[2]Sheet1!J64</f>
        <v>6</v>
      </c>
      <c r="L64" s="0" t="n">
        <f aca="false">[2]Sheet1!K64</f>
        <v>0</v>
      </c>
      <c r="M64" s="0" t="n">
        <f aca="false">[2]Sheet1!L64</f>
        <v>12</v>
      </c>
      <c r="N64" s="0" t="n">
        <f aca="false">[2]Sheet1!M64</f>
        <v>12</v>
      </c>
      <c r="O64" s="0" t="n">
        <f aca="false">[2]Sheet1!N64</f>
        <v>0</v>
      </c>
      <c r="P64" s="226" t="n">
        <f aca="false">SUM(AY64+BA64)</f>
        <v>0</v>
      </c>
      <c r="Q64" s="201"/>
      <c r="R64" s="71"/>
      <c r="S64" s="227"/>
      <c r="T64" s="71"/>
      <c r="U64" s="201"/>
      <c r="V64" s="71"/>
      <c r="W64" s="227"/>
      <c r="X64" s="71"/>
      <c r="Y64" s="201"/>
      <c r="Z64" s="71"/>
      <c r="AA64" s="227"/>
      <c r="AB64" s="71"/>
      <c r="AC64" s="201"/>
      <c r="AD64" s="71"/>
      <c r="AE64" s="227"/>
      <c r="AF64" s="71"/>
      <c r="AG64" s="201"/>
      <c r="AH64" s="71"/>
      <c r="AI64" s="227"/>
      <c r="AJ64" s="71"/>
      <c r="AK64" s="201"/>
      <c r="AL64" s="71"/>
      <c r="AM64" s="227"/>
      <c r="AN64" s="71"/>
      <c r="AO64" s="201"/>
      <c r="AP64" s="71"/>
      <c r="AQ64" s="227"/>
      <c r="AR64" s="71"/>
      <c r="AS64" s="227"/>
      <c r="AT64" s="228"/>
      <c r="AU64" s="227"/>
      <c r="AV64" s="228"/>
      <c r="AW64" s="227"/>
      <c r="AX64" s="229" t="n">
        <f aca="false">SUM(R64+T64+V64+X64+Z64+AB64+AD64+AF64+AH64+AJ64+AL64+AN64+AP64+AR64)</f>
        <v>0</v>
      </c>
      <c r="AY64" s="230" t="n">
        <f aca="false">SUM(AX64*1000)/48</f>
        <v>0</v>
      </c>
      <c r="AZ64" s="231" t="n">
        <f aca="false">IFERROR(VLOOKUP(A64,'Site check'!$A$14:$O$47,15,0),0)</f>
        <v>0</v>
      </c>
      <c r="BA64" s="232" t="n">
        <f aca="false">SUM(AZ64*1000)/48</f>
        <v>0</v>
      </c>
      <c r="BB64" s="90" t="n">
        <f aca="false">SUM(P64/2)+E64</f>
        <v>75</v>
      </c>
      <c r="BC64" s="90" t="n">
        <f aca="false">SUM(P64/2)+F64</f>
        <v>50</v>
      </c>
    </row>
    <row r="65" customFormat="false" ht="13.15" hidden="false" customHeight="false" outlineLevel="0" collapsed="false">
      <c r="A65" s="0" t="str">
        <f aca="false">[2]Sheet1!A65</f>
        <v>IGNN01_SEC_DD770_ CD23</v>
      </c>
      <c r="B65" s="0" t="str">
        <f aca="false">[2]Sheet1!B65</f>
        <v>IGNN01;DC SYS01</v>
      </c>
      <c r="C65" s="44" t="str">
        <f aca="false">[2]Sheet1!C65</f>
        <v>IGNN01</v>
      </c>
      <c r="D65" s="44" t="s">
        <v>615</v>
      </c>
      <c r="E65" s="0" t="n">
        <f aca="false">[2]Sheet1!D65</f>
        <v>60</v>
      </c>
      <c r="F65" s="0" t="n">
        <f aca="false">[2]Sheet1!E65</f>
        <v>40</v>
      </c>
      <c r="G65" s="45" t="n">
        <f aca="false">[2]Sheet1!F65</f>
        <v>44229</v>
      </c>
      <c r="H65" s="0" t="n">
        <f aca="false">[2]Sheet1!G65</f>
        <v>300</v>
      </c>
      <c r="I65" s="0" t="n">
        <f aca="false">[2]Sheet1!H65</f>
        <v>300</v>
      </c>
      <c r="J65" s="0" t="n">
        <f aca="false">[2]Sheet1!I65</f>
        <v>6</v>
      </c>
      <c r="K65" s="0" t="n">
        <f aca="false">[2]Sheet1!J65</f>
        <v>4</v>
      </c>
      <c r="L65" s="0" t="n">
        <f aca="false">[2]Sheet1!K65</f>
        <v>4</v>
      </c>
      <c r="M65" s="0" t="n">
        <f aca="false">[2]Sheet1!L65</f>
        <v>20</v>
      </c>
      <c r="N65" s="0" t="n">
        <f aca="false">[2]Sheet1!M65</f>
        <v>12</v>
      </c>
      <c r="O65" s="0" t="n">
        <f aca="false">[2]Sheet1!N65</f>
        <v>0</v>
      </c>
      <c r="P65" s="226" t="n">
        <f aca="false">SUM(AY65+BA65)</f>
        <v>0</v>
      </c>
      <c r="Q65" s="201"/>
      <c r="R65" s="71"/>
      <c r="S65" s="227"/>
      <c r="T65" s="71"/>
      <c r="U65" s="201"/>
      <c r="V65" s="71"/>
      <c r="W65" s="227"/>
      <c r="X65" s="71"/>
      <c r="Y65" s="201"/>
      <c r="Z65" s="71"/>
      <c r="AA65" s="227"/>
      <c r="AB65" s="71"/>
      <c r="AC65" s="201"/>
      <c r="AD65" s="71"/>
      <c r="AE65" s="227"/>
      <c r="AF65" s="71"/>
      <c r="AG65" s="201"/>
      <c r="AH65" s="71"/>
      <c r="AI65" s="227"/>
      <c r="AJ65" s="71"/>
      <c r="AK65" s="201"/>
      <c r="AL65" s="71"/>
      <c r="AM65" s="227"/>
      <c r="AN65" s="71"/>
      <c r="AO65" s="201"/>
      <c r="AP65" s="71"/>
      <c r="AQ65" s="227"/>
      <c r="AR65" s="71"/>
      <c r="AS65" s="227"/>
      <c r="AT65" s="228"/>
      <c r="AU65" s="227"/>
      <c r="AV65" s="228"/>
      <c r="AW65" s="227"/>
      <c r="AX65" s="229" t="n">
        <f aca="false">SUM(R65+T65+V65+X65+Z65+AB65+AD65+AF65+AH65+AJ65+AL65+AN65+AP65+AR65)</f>
        <v>0</v>
      </c>
      <c r="AY65" s="230" t="n">
        <f aca="false">SUM(AX65*1000)/48</f>
        <v>0</v>
      </c>
      <c r="AZ65" s="231" t="n">
        <f aca="false">IFERROR(VLOOKUP(A65,'Site check'!$A$14:$O$47,15,0),0)</f>
        <v>0</v>
      </c>
      <c r="BA65" s="232" t="n">
        <f aca="false">SUM(AZ65*1000)/48</f>
        <v>0</v>
      </c>
      <c r="BB65" s="90" t="n">
        <f aca="false">SUM(P65/2)+E65</f>
        <v>60</v>
      </c>
      <c r="BC65" s="90" t="n">
        <f aca="false">SUM(P65/2)+F65</f>
        <v>40</v>
      </c>
    </row>
    <row r="66" customFormat="false" ht="13.15" hidden="false" customHeight="false" outlineLevel="0" collapsed="false">
      <c r="A66" s="0" t="str">
        <f aca="false">[2]Sheet1!A66</f>
        <v>IGNN01_SEC_DD770_ GH01</v>
      </c>
      <c r="B66" s="0" t="str">
        <f aca="false">[2]Sheet1!B66</f>
        <v>IGNN01;DC SYS01</v>
      </c>
      <c r="C66" s="44" t="str">
        <f aca="false">[2]Sheet1!C66</f>
        <v>IGNN01</v>
      </c>
      <c r="D66" s="44" t="s">
        <v>615</v>
      </c>
      <c r="E66" s="0" t="n">
        <f aca="false">[2]Sheet1!D66</f>
        <v>110</v>
      </c>
      <c r="F66" s="0" t="n">
        <f aca="false">[2]Sheet1!E66</f>
        <v>150</v>
      </c>
      <c r="G66" s="45" t="n">
        <f aca="false">[2]Sheet1!F66</f>
        <v>44229</v>
      </c>
      <c r="H66" s="0" t="n">
        <f aca="false">[2]Sheet1!G66</f>
        <v>300</v>
      </c>
      <c r="I66" s="0" t="n">
        <f aca="false">[2]Sheet1!H66</f>
        <v>300</v>
      </c>
      <c r="J66" s="0" t="n">
        <f aca="false">[2]Sheet1!I66</f>
        <v>6</v>
      </c>
      <c r="K66" s="0" t="n">
        <f aca="false">[2]Sheet1!J66</f>
        <v>0</v>
      </c>
      <c r="L66" s="0" t="n">
        <f aca="false">[2]Sheet1!K66</f>
        <v>1</v>
      </c>
      <c r="M66" s="0" t="n">
        <f aca="false">[2]Sheet1!L66</f>
        <v>9</v>
      </c>
      <c r="N66" s="0" t="n">
        <f aca="false">[2]Sheet1!M66</f>
        <v>12</v>
      </c>
      <c r="O66" s="0" t="n">
        <f aca="false">[2]Sheet1!N66</f>
        <v>0</v>
      </c>
      <c r="P66" s="226" t="n">
        <f aca="false">SUM(AY66+BA66)</f>
        <v>20.8333333333333</v>
      </c>
      <c r="Q66" s="170" t="s">
        <v>1224</v>
      </c>
      <c r="R66" s="234" t="n">
        <v>1</v>
      </c>
      <c r="S66" s="227"/>
      <c r="T66" s="71"/>
      <c r="U66" s="201"/>
      <c r="V66" s="71"/>
      <c r="W66" s="227"/>
      <c r="X66" s="71"/>
      <c r="Y66" s="201"/>
      <c r="Z66" s="71"/>
      <c r="AA66" s="227"/>
      <c r="AB66" s="71"/>
      <c r="AC66" s="201"/>
      <c r="AD66" s="71"/>
      <c r="AE66" s="227"/>
      <c r="AF66" s="71"/>
      <c r="AG66" s="201"/>
      <c r="AH66" s="71"/>
      <c r="AI66" s="227"/>
      <c r="AJ66" s="71"/>
      <c r="AK66" s="201"/>
      <c r="AL66" s="71"/>
      <c r="AM66" s="227"/>
      <c r="AN66" s="71"/>
      <c r="AO66" s="201"/>
      <c r="AP66" s="71"/>
      <c r="AQ66" s="227"/>
      <c r="AR66" s="71"/>
      <c r="AS66" s="227"/>
      <c r="AT66" s="228"/>
      <c r="AU66" s="227"/>
      <c r="AV66" s="228"/>
      <c r="AW66" s="227"/>
      <c r="AX66" s="229" t="n">
        <f aca="false">SUM(R66+T66+V66+X66+Z66+AB66+AD66+AF66+AH66+AJ66+AL66+AN66+AP66+AR66)</f>
        <v>1</v>
      </c>
      <c r="AY66" s="230" t="n">
        <f aca="false">SUM(AX66*1000)/48</f>
        <v>20.8333333333333</v>
      </c>
      <c r="AZ66" s="231" t="n">
        <f aca="false">IFERROR(VLOOKUP(A66,'Site check'!$A$14:$O$47,15,0),0)</f>
        <v>0</v>
      </c>
      <c r="BA66" s="232" t="n">
        <f aca="false">SUM(AZ66*1000)/48</f>
        <v>0</v>
      </c>
      <c r="BB66" s="90" t="n">
        <f aca="false">SUM(P66/2)+E66</f>
        <v>120.416666666667</v>
      </c>
      <c r="BC66" s="90" t="n">
        <f aca="false">SUM(P66/2)+F66</f>
        <v>160.416666666667</v>
      </c>
    </row>
    <row r="67" customFormat="false" ht="13.15" hidden="false" customHeight="false" outlineLevel="0" collapsed="false">
      <c r="A67" s="0" t="str">
        <f aca="false">[2]Sheet1!A67</f>
        <v>LSWN01_SEC_DD770_DE01_03</v>
      </c>
      <c r="B67" s="0" t="str">
        <f aca="false">[2]Sheet1!B67</f>
        <v>LSWN01;DC SYS01</v>
      </c>
      <c r="C67" s="44" t="str">
        <f aca="false">[2]Sheet1!C67</f>
        <v>LSWN01</v>
      </c>
      <c r="D67" s="44" t="s">
        <v>659</v>
      </c>
      <c r="E67" s="0" t="n">
        <f aca="false">[2]Sheet1!D67</f>
        <v>160</v>
      </c>
      <c r="F67" s="0" t="n">
        <f aca="false">[2]Sheet1!E67</f>
        <v>150</v>
      </c>
      <c r="G67" s="45" t="n">
        <f aca="false">[2]Sheet1!F67</f>
        <v>44294</v>
      </c>
      <c r="H67" s="0" t="n">
        <f aca="false">[2]Sheet1!G67</f>
        <v>300</v>
      </c>
      <c r="I67" s="0" t="n">
        <f aca="false">[2]Sheet1!H67</f>
        <v>300</v>
      </c>
      <c r="J67" s="0" t="n">
        <f aca="false">[2]Sheet1!I67</f>
        <v>2</v>
      </c>
      <c r="K67" s="0" t="n">
        <f aca="false">[2]Sheet1!J67</f>
        <v>3</v>
      </c>
      <c r="L67" s="0" t="n">
        <f aca="false">[2]Sheet1!K67</f>
        <v>0</v>
      </c>
      <c r="M67" s="0" t="n">
        <f aca="false">[2]Sheet1!L67</f>
        <v>19</v>
      </c>
      <c r="N67" s="0" t="n">
        <f aca="false">[2]Sheet1!M67</f>
        <v>9</v>
      </c>
      <c r="O67" s="0" t="n">
        <f aca="false">[2]Sheet1!N67</f>
        <v>0</v>
      </c>
      <c r="P67" s="226" t="n">
        <f aca="false">SUM(AY67+BA67)</f>
        <v>41.6666666666667</v>
      </c>
      <c r="Q67" s="177" t="s">
        <v>1274</v>
      </c>
      <c r="R67" s="235" t="n">
        <v>1</v>
      </c>
      <c r="S67" s="177" t="s">
        <v>1274</v>
      </c>
      <c r="T67" s="235" t="n">
        <v>1</v>
      </c>
      <c r="U67" s="201"/>
      <c r="V67" s="71"/>
      <c r="W67" s="227"/>
      <c r="X67" s="71"/>
      <c r="Y67" s="201"/>
      <c r="Z67" s="71"/>
      <c r="AA67" s="227"/>
      <c r="AB67" s="71"/>
      <c r="AC67" s="201"/>
      <c r="AD67" s="71"/>
      <c r="AE67" s="227"/>
      <c r="AF67" s="71"/>
      <c r="AG67" s="201"/>
      <c r="AH67" s="71"/>
      <c r="AI67" s="227"/>
      <c r="AJ67" s="71"/>
      <c r="AK67" s="201"/>
      <c r="AL67" s="71"/>
      <c r="AM67" s="227"/>
      <c r="AN67" s="71"/>
      <c r="AO67" s="201"/>
      <c r="AP67" s="71"/>
      <c r="AQ67" s="227"/>
      <c r="AR67" s="71"/>
      <c r="AS67" s="227"/>
      <c r="AT67" s="228"/>
      <c r="AU67" s="227"/>
      <c r="AV67" s="228"/>
      <c r="AW67" s="227"/>
      <c r="AX67" s="229" t="n">
        <f aca="false">SUM(R67+T67+V67+X67+Z67+AB67+AD67+AF67+AH67+AJ67+AL67+AN67+AP67+AR67)</f>
        <v>2</v>
      </c>
      <c r="AY67" s="230" t="n">
        <f aca="false">SUM(AX67*1000)/48</f>
        <v>41.6666666666667</v>
      </c>
      <c r="AZ67" s="231" t="n">
        <f aca="false">IFERROR(VLOOKUP(A67,'Site check'!$A$14:$O$47,15,0),0)</f>
        <v>0</v>
      </c>
      <c r="BA67" s="232" t="n">
        <f aca="false">SUM(AZ67*1000)/48</f>
        <v>0</v>
      </c>
      <c r="BB67" s="90" t="n">
        <f aca="false">SUM(P67/2)+E67</f>
        <v>180.833333333333</v>
      </c>
      <c r="BC67" s="90" t="n">
        <f aca="false">SUM(P67/2)+F67</f>
        <v>170.833333333333</v>
      </c>
    </row>
    <row r="68" customFormat="false" ht="13.15" hidden="false" customHeight="false" outlineLevel="0" collapsed="false">
      <c r="A68" s="0" t="str">
        <f aca="false">[2]Sheet1!A68</f>
        <v>LSWN01_SEC_DD770_FG01_02</v>
      </c>
      <c r="B68" s="0" t="str">
        <f aca="false">[2]Sheet1!B68</f>
        <v>LSWN01;DC SYS01</v>
      </c>
      <c r="C68" s="44" t="str">
        <f aca="false">[2]Sheet1!C68</f>
        <v>LSWN01</v>
      </c>
      <c r="D68" s="44" t="s">
        <v>659</v>
      </c>
      <c r="E68" s="0" t="n">
        <f aca="false">[2]Sheet1!D68</f>
        <v>40</v>
      </c>
      <c r="F68" s="0" t="n">
        <f aca="false">[2]Sheet1!E68</f>
        <v>40</v>
      </c>
      <c r="G68" s="45" t="n">
        <f aca="false">[2]Sheet1!F68</f>
        <v>45328</v>
      </c>
      <c r="H68" s="0" t="n">
        <f aca="false">[2]Sheet1!G68</f>
        <v>300</v>
      </c>
      <c r="I68" s="0" t="n">
        <f aca="false">[2]Sheet1!H68</f>
        <v>300</v>
      </c>
      <c r="J68" s="0" t="n">
        <f aca="false">[2]Sheet1!I68</f>
        <v>1</v>
      </c>
      <c r="K68" s="0" t="n">
        <f aca="false">[2]Sheet1!J68</f>
        <v>1</v>
      </c>
      <c r="L68" s="0" t="n">
        <f aca="false">[2]Sheet1!K68</f>
        <v>0</v>
      </c>
      <c r="M68" s="0" t="n">
        <f aca="false">[2]Sheet1!L68</f>
        <v>21</v>
      </c>
      <c r="N68" s="0" t="n">
        <f aca="false">[2]Sheet1!M68</f>
        <v>12</v>
      </c>
      <c r="O68" s="0" t="n">
        <f aca="false">[2]Sheet1!N68</f>
        <v>0</v>
      </c>
      <c r="P68" s="226" t="n">
        <f aca="false">SUM(AY68+BA68)</f>
        <v>135.416666666667</v>
      </c>
      <c r="Q68" s="201" t="s">
        <v>1466</v>
      </c>
      <c r="R68" s="71" t="n">
        <v>1</v>
      </c>
      <c r="S68" s="181" t="s">
        <v>1276</v>
      </c>
      <c r="T68" s="175" t="n">
        <v>5.5</v>
      </c>
      <c r="U68" s="201"/>
      <c r="V68" s="71"/>
      <c r="W68" s="227"/>
      <c r="X68" s="71"/>
      <c r="Y68" s="201"/>
      <c r="Z68" s="71"/>
      <c r="AA68" s="227"/>
      <c r="AB68" s="71"/>
      <c r="AC68" s="201"/>
      <c r="AD68" s="71"/>
      <c r="AE68" s="227"/>
      <c r="AF68" s="71"/>
      <c r="AG68" s="201"/>
      <c r="AH68" s="71"/>
      <c r="AI68" s="227"/>
      <c r="AJ68" s="71"/>
      <c r="AK68" s="201"/>
      <c r="AL68" s="71"/>
      <c r="AM68" s="227"/>
      <c r="AN68" s="71"/>
      <c r="AO68" s="201"/>
      <c r="AP68" s="71"/>
      <c r="AQ68" s="227"/>
      <c r="AR68" s="71"/>
      <c r="AS68" s="227"/>
      <c r="AT68" s="228"/>
      <c r="AU68" s="227"/>
      <c r="AV68" s="228"/>
      <c r="AW68" s="227"/>
      <c r="AX68" s="229" t="n">
        <f aca="false">SUM(R68+T68+V68+X68+Z68+AB68+AD68+AF68+AH68+AJ68+AL68+AN68+AP68+AR68)</f>
        <v>6.5</v>
      </c>
      <c r="AY68" s="230" t="n">
        <f aca="false">SUM(AX68*1000)/48</f>
        <v>135.416666666667</v>
      </c>
      <c r="AZ68" s="231" t="n">
        <f aca="false">IFERROR(VLOOKUP(A68,'Site check'!$A$14:$O$47,15,0),0)</f>
        <v>0</v>
      </c>
      <c r="BA68" s="232" t="n">
        <f aca="false">SUM(AZ68*1000)/48</f>
        <v>0</v>
      </c>
      <c r="BB68" s="90" t="n">
        <f aca="false">SUM(P68/2)+E68</f>
        <v>107.708333333333</v>
      </c>
      <c r="BC68" s="90" t="n">
        <f aca="false">SUM(P68/2)+F68</f>
        <v>107.708333333333</v>
      </c>
    </row>
    <row r="69" customFormat="false" ht="13.15" hidden="false" customHeight="false" outlineLevel="0" collapsed="false">
      <c r="A69" s="0" t="str">
        <f aca="false">[2]Sheet1!A69</f>
        <v>LSWN01_SEC_DD770_JH01_01</v>
      </c>
      <c r="B69" s="0" t="str">
        <f aca="false">[2]Sheet1!B69</f>
        <v>LSWN01;DC SYS01</v>
      </c>
      <c r="C69" s="44" t="str">
        <f aca="false">[2]Sheet1!C69</f>
        <v>LSWN01</v>
      </c>
      <c r="D69" s="44" t="s">
        <v>659</v>
      </c>
      <c r="E69" s="0" t="n">
        <f aca="false">[2]Sheet1!D69</f>
        <v>65</v>
      </c>
      <c r="F69" s="0" t="n">
        <f aca="false">[2]Sheet1!E69</f>
        <v>70</v>
      </c>
      <c r="G69" s="45" t="n">
        <f aca="false">[2]Sheet1!F69</f>
        <v>44294</v>
      </c>
      <c r="H69" s="0" t="n">
        <f aca="false">[2]Sheet1!G69</f>
        <v>300</v>
      </c>
      <c r="I69" s="0" t="n">
        <f aca="false">[2]Sheet1!H69</f>
        <v>300</v>
      </c>
      <c r="J69" s="0" t="n">
        <f aca="false">[2]Sheet1!I69</f>
        <v>6</v>
      </c>
      <c r="K69" s="0" t="n">
        <f aca="false">[2]Sheet1!J69</f>
        <v>0</v>
      </c>
      <c r="L69" s="0" t="n">
        <f aca="false">[2]Sheet1!K69</f>
        <v>0</v>
      </c>
      <c r="M69" s="0" t="n">
        <f aca="false">[2]Sheet1!L69</f>
        <v>16</v>
      </c>
      <c r="N69" s="0" t="n">
        <f aca="false">[2]Sheet1!M69</f>
        <v>6</v>
      </c>
      <c r="O69" s="0" t="n">
        <f aca="false">[2]Sheet1!N69</f>
        <v>0</v>
      </c>
      <c r="P69" s="226" t="n">
        <f aca="false">SUM(AY69+BA69)</f>
        <v>83.3333333333333</v>
      </c>
      <c r="Q69" s="204" t="s">
        <v>1467</v>
      </c>
      <c r="R69" s="241" t="n">
        <v>2</v>
      </c>
      <c r="S69" s="212" t="s">
        <v>1272</v>
      </c>
      <c r="T69" s="241" t="n">
        <v>2</v>
      </c>
      <c r="U69" s="201"/>
      <c r="V69" s="71"/>
      <c r="W69" s="227"/>
      <c r="X69" s="71"/>
      <c r="Y69" s="201"/>
      <c r="Z69" s="71"/>
      <c r="AA69" s="227"/>
      <c r="AB69" s="71"/>
      <c r="AC69" s="201"/>
      <c r="AD69" s="71"/>
      <c r="AE69" s="227"/>
      <c r="AF69" s="71"/>
      <c r="AG69" s="201"/>
      <c r="AH69" s="71"/>
      <c r="AI69" s="227"/>
      <c r="AJ69" s="71"/>
      <c r="AK69" s="201"/>
      <c r="AL69" s="71"/>
      <c r="AM69" s="227"/>
      <c r="AN69" s="71"/>
      <c r="AO69" s="201"/>
      <c r="AP69" s="71"/>
      <c r="AQ69" s="227"/>
      <c r="AR69" s="71"/>
      <c r="AS69" s="227"/>
      <c r="AT69" s="228"/>
      <c r="AU69" s="227"/>
      <c r="AV69" s="228"/>
      <c r="AW69" s="227"/>
      <c r="AX69" s="229" t="n">
        <f aca="false">SUM(R69+T69+V69+X69+Z69+AB69+AD69+AF69+AH69+AJ69+AL69+AN69+AP69+AR69)</f>
        <v>4</v>
      </c>
      <c r="AY69" s="230" t="n">
        <f aca="false">SUM(AX69*1000)/48</f>
        <v>83.3333333333333</v>
      </c>
      <c r="AZ69" s="231" t="n">
        <f aca="false">IFERROR(VLOOKUP(A69,'Site check'!$A$14:$O$47,15,0),0)</f>
        <v>0</v>
      </c>
      <c r="BA69" s="232" t="n">
        <f aca="false">SUM(AZ69*1000)/48</f>
        <v>0</v>
      </c>
      <c r="BB69" s="90" t="n">
        <f aca="false">SUM(P69/2)+E69</f>
        <v>106.666666666667</v>
      </c>
      <c r="BC69" s="90" t="n">
        <f aca="false">SUM(P69/2)+F69</f>
        <v>111.666666666667</v>
      </c>
    </row>
    <row r="70" customFormat="false" ht="13.15" hidden="false" customHeight="false" outlineLevel="0" collapsed="false">
      <c r="A70" s="0" t="str">
        <f aca="false">[2]Sheet1!A70</f>
        <v>LSWN01_SEC_DD770_PQ01_04</v>
      </c>
      <c r="B70" s="0" t="str">
        <f aca="false">[2]Sheet1!B70</f>
        <v>LSWN01;DC SYS01</v>
      </c>
      <c r="C70" s="44" t="str">
        <f aca="false">[2]Sheet1!C70</f>
        <v>LSWN01</v>
      </c>
      <c r="D70" s="44" t="s">
        <v>659</v>
      </c>
      <c r="E70" s="0" t="n">
        <f aca="false">[2]Sheet1!D70</f>
        <v>140</v>
      </c>
      <c r="F70" s="0" t="n">
        <f aca="false">[2]Sheet1!E70</f>
        <v>140</v>
      </c>
      <c r="G70" s="45" t="n">
        <f aca="false">[2]Sheet1!F70</f>
        <v>44294</v>
      </c>
      <c r="H70" s="0" t="n">
        <f aca="false">[2]Sheet1!G70</f>
        <v>300</v>
      </c>
      <c r="I70" s="0" t="n">
        <f aca="false">[2]Sheet1!H70</f>
        <v>300</v>
      </c>
      <c r="J70" s="0" t="n">
        <f aca="false">[2]Sheet1!I70</f>
        <v>0</v>
      </c>
      <c r="K70" s="0" t="n">
        <f aca="false">[2]Sheet1!J70</f>
        <v>0</v>
      </c>
      <c r="L70" s="0" t="n">
        <f aca="false">[2]Sheet1!K70</f>
        <v>0</v>
      </c>
      <c r="M70" s="0" t="n">
        <f aca="false">[2]Sheet1!L70</f>
        <v>3</v>
      </c>
      <c r="N70" s="0" t="n">
        <f aca="false">[2]Sheet1!M70</f>
        <v>7</v>
      </c>
      <c r="O70" s="0" t="n">
        <f aca="false">[2]Sheet1!N70</f>
        <v>0</v>
      </c>
      <c r="P70" s="226" t="n">
        <f aca="false">SUM(AY70+BA70)</f>
        <v>0</v>
      </c>
      <c r="Q70" s="201"/>
      <c r="R70" s="71"/>
      <c r="S70" s="227"/>
      <c r="T70" s="71"/>
      <c r="U70" s="201"/>
      <c r="V70" s="71"/>
      <c r="W70" s="227"/>
      <c r="X70" s="71"/>
      <c r="Y70" s="201"/>
      <c r="Z70" s="71"/>
      <c r="AA70" s="227"/>
      <c r="AB70" s="71"/>
      <c r="AC70" s="201"/>
      <c r="AD70" s="71"/>
      <c r="AE70" s="227"/>
      <c r="AF70" s="71"/>
      <c r="AG70" s="201"/>
      <c r="AH70" s="71"/>
      <c r="AI70" s="227"/>
      <c r="AJ70" s="71"/>
      <c r="AK70" s="201"/>
      <c r="AL70" s="71"/>
      <c r="AM70" s="227"/>
      <c r="AN70" s="71"/>
      <c r="AO70" s="201"/>
      <c r="AP70" s="71"/>
      <c r="AQ70" s="227"/>
      <c r="AR70" s="71"/>
      <c r="AS70" s="227"/>
      <c r="AT70" s="228"/>
      <c r="AU70" s="227"/>
      <c r="AV70" s="228"/>
      <c r="AW70" s="227"/>
      <c r="AX70" s="229" t="n">
        <f aca="false">SUM(R70+T70+V70+X70+Z70+AB70+AD70+AF70+AH70+AJ70+AL70+AN70+AP70+AR70)</f>
        <v>0</v>
      </c>
      <c r="AY70" s="230" t="n">
        <f aca="false">SUM(AX70*1000)/48</f>
        <v>0</v>
      </c>
      <c r="AZ70" s="231" t="n">
        <f aca="false">IFERROR(VLOOKUP(A70,'Site check'!$A$14:$O$47,15,0),0)</f>
        <v>0</v>
      </c>
      <c r="BA70" s="232" t="n">
        <f aca="false">SUM(AZ70*1000)/48</f>
        <v>0</v>
      </c>
      <c r="BB70" s="90" t="n">
        <f aca="false">SUM(P70/2)+E70</f>
        <v>140</v>
      </c>
      <c r="BC70" s="90" t="n">
        <f aca="false">SUM(P70/2)+F70</f>
        <v>140</v>
      </c>
    </row>
    <row r="71" customFormat="false" ht="13.15" hidden="false" customHeight="false" outlineLevel="0" collapsed="false">
      <c r="A71" s="0" t="str">
        <f aca="false">[2]Sheet1!A71</f>
        <v>LSWN02_SEC_DCDB_DC01</v>
      </c>
      <c r="B71" s="0" t="str">
        <f aca="false">[2]Sheet1!B71</f>
        <v>LSWN01;DC SYS01</v>
      </c>
      <c r="C71" s="44" t="str">
        <f aca="false">[2]Sheet1!C71</f>
        <v>LSWN02</v>
      </c>
      <c r="D71" s="44" t="s">
        <v>1468</v>
      </c>
      <c r="E71" s="0" t="n">
        <f aca="false">[2]Sheet1!D71</f>
        <v>0</v>
      </c>
      <c r="F71" s="0" t="n">
        <f aca="false">[2]Sheet1!E71</f>
        <v>0</v>
      </c>
      <c r="G71" s="45" t="n">
        <f aca="false">[2]Sheet1!F71</f>
        <v>0</v>
      </c>
      <c r="H71" s="0" t="n">
        <f aca="false">[2]Sheet1!G71</f>
        <v>300</v>
      </c>
      <c r="I71" s="0" t="n">
        <f aca="false">[2]Sheet1!H71</f>
        <v>300</v>
      </c>
      <c r="J71" s="0" t="n">
        <f aca="false">[2]Sheet1!I71</f>
        <v>0</v>
      </c>
      <c r="K71" s="0" t="n">
        <f aca="false">[2]Sheet1!J71</f>
        <v>0</v>
      </c>
      <c r="L71" s="0" t="n">
        <f aca="false">[2]Sheet1!K71</f>
        <v>0</v>
      </c>
      <c r="M71" s="0" t="n">
        <f aca="false">[2]Sheet1!L71</f>
        <v>6</v>
      </c>
      <c r="N71" s="0" t="n">
        <f aca="false">[2]Sheet1!M71</f>
        <v>6</v>
      </c>
      <c r="O71" s="0" t="n">
        <f aca="false">[2]Sheet1!N71</f>
        <v>39</v>
      </c>
      <c r="P71" s="226" t="n">
        <f aca="false">SUM(AY71+BA71)</f>
        <v>0</v>
      </c>
      <c r="Q71" s="201"/>
      <c r="R71" s="71"/>
      <c r="S71" s="227"/>
      <c r="T71" s="71"/>
      <c r="U71" s="201"/>
      <c r="V71" s="71"/>
      <c r="W71" s="227"/>
      <c r="X71" s="71"/>
      <c r="Y71" s="201"/>
      <c r="Z71" s="71"/>
      <c r="AA71" s="227"/>
      <c r="AB71" s="71"/>
      <c r="AC71" s="201"/>
      <c r="AD71" s="71"/>
      <c r="AE71" s="227"/>
      <c r="AF71" s="71"/>
      <c r="AG71" s="201"/>
      <c r="AH71" s="71"/>
      <c r="AI71" s="227"/>
      <c r="AJ71" s="71"/>
      <c r="AK71" s="201"/>
      <c r="AL71" s="71"/>
      <c r="AM71" s="227"/>
      <c r="AN71" s="71"/>
      <c r="AO71" s="201"/>
      <c r="AP71" s="71"/>
      <c r="AQ71" s="227"/>
      <c r="AR71" s="71"/>
      <c r="AS71" s="227"/>
      <c r="AT71" s="228"/>
      <c r="AU71" s="227"/>
      <c r="AV71" s="228"/>
      <c r="AW71" s="227"/>
      <c r="AX71" s="229" t="n">
        <f aca="false">SUM(R71+T71+V71+X71+Z71+AB71+AD71+AF71+AH71+AJ71+AL71+AN71+AP71+AR71)</f>
        <v>0</v>
      </c>
      <c r="AY71" s="230" t="n">
        <f aca="false">SUM(AX71*1000)/48</f>
        <v>0</v>
      </c>
      <c r="AZ71" s="231" t="n">
        <f aca="false">IFERROR(VLOOKUP(A71,'Site check'!$A$14:$O$47,15,0),0)</f>
        <v>0</v>
      </c>
      <c r="BA71" s="232" t="n">
        <f aca="false">SUM(AZ71*1000)/48</f>
        <v>0</v>
      </c>
      <c r="BB71" s="90" t="n">
        <f aca="false">SUM(P71/2)+E71</f>
        <v>0</v>
      </c>
      <c r="BC71" s="90" t="n">
        <f aca="false">SUM(P71/2)+F71</f>
        <v>0</v>
      </c>
    </row>
    <row r="72" customFormat="false" ht="13.15" hidden="false" customHeight="false" outlineLevel="0" collapsed="false">
      <c r="A72" s="0" t="str">
        <f aca="false">[2]Sheet1!A72</f>
        <v>LSWN02_SEC_DCDB_EF01</v>
      </c>
      <c r="B72" s="0" t="str">
        <f aca="false">[2]Sheet1!B72</f>
        <v>LSWN01;DC SYS01</v>
      </c>
      <c r="C72" s="44" t="str">
        <f aca="false">[2]Sheet1!C72</f>
        <v>LSWN02</v>
      </c>
      <c r="D72" s="44" t="s">
        <v>1468</v>
      </c>
      <c r="E72" s="0" t="n">
        <f aca="false">[2]Sheet1!D72</f>
        <v>0</v>
      </c>
      <c r="F72" s="0" t="n">
        <f aca="false">[2]Sheet1!E72</f>
        <v>0</v>
      </c>
      <c r="G72" s="45" t="n">
        <f aca="false">[2]Sheet1!F72</f>
        <v>0</v>
      </c>
      <c r="H72" s="0" t="n">
        <f aca="false">[2]Sheet1!G72</f>
        <v>300</v>
      </c>
      <c r="I72" s="0" t="n">
        <f aca="false">[2]Sheet1!H72</f>
        <v>300</v>
      </c>
      <c r="J72" s="0" t="n">
        <f aca="false">[2]Sheet1!I72</f>
        <v>0</v>
      </c>
      <c r="K72" s="0" t="n">
        <f aca="false">[2]Sheet1!J72</f>
        <v>0</v>
      </c>
      <c r="L72" s="0" t="n">
        <f aca="false">[2]Sheet1!K72</f>
        <v>3</v>
      </c>
      <c r="M72" s="0" t="n">
        <f aca="false">[2]Sheet1!L72</f>
        <v>6</v>
      </c>
      <c r="N72" s="0" t="n">
        <f aca="false">[2]Sheet1!M72</f>
        <v>6</v>
      </c>
      <c r="O72" s="0" t="n">
        <f aca="false">[2]Sheet1!N72</f>
        <v>42</v>
      </c>
      <c r="P72" s="226" t="n">
        <f aca="false">SUM(AY72+BA72)</f>
        <v>0</v>
      </c>
      <c r="Q72" s="201"/>
      <c r="R72" s="71"/>
      <c r="S72" s="227"/>
      <c r="T72" s="71"/>
      <c r="U72" s="201"/>
      <c r="V72" s="71"/>
      <c r="W72" s="227"/>
      <c r="X72" s="71"/>
      <c r="Y72" s="201"/>
      <c r="Z72" s="71"/>
      <c r="AA72" s="227"/>
      <c r="AB72" s="71"/>
      <c r="AC72" s="201"/>
      <c r="AD72" s="71"/>
      <c r="AE72" s="227"/>
      <c r="AF72" s="71"/>
      <c r="AG72" s="201"/>
      <c r="AH72" s="71"/>
      <c r="AI72" s="227"/>
      <c r="AJ72" s="71"/>
      <c r="AK72" s="201"/>
      <c r="AL72" s="71"/>
      <c r="AM72" s="227"/>
      <c r="AN72" s="71"/>
      <c r="AO72" s="201"/>
      <c r="AP72" s="71"/>
      <c r="AQ72" s="227"/>
      <c r="AR72" s="71"/>
      <c r="AS72" s="227"/>
      <c r="AT72" s="228"/>
      <c r="AU72" s="227"/>
      <c r="AV72" s="228"/>
      <c r="AW72" s="227"/>
      <c r="AX72" s="229" t="n">
        <f aca="false">SUM(R72+T72+V72+X72+Z72+AB72+AD72+AF72+AH72+AJ72+AL72+AN72+AP72+AR72)</f>
        <v>0</v>
      </c>
      <c r="AY72" s="230" t="n">
        <f aca="false">SUM(AX72*1000)/48</f>
        <v>0</v>
      </c>
      <c r="AZ72" s="231" t="n">
        <f aca="false">IFERROR(VLOOKUP(A72,'Site check'!$A$14:$O$47,15,0),0)</f>
        <v>0</v>
      </c>
      <c r="BA72" s="232" t="n">
        <f aca="false">SUM(AZ72*1000)/48</f>
        <v>0</v>
      </c>
      <c r="BB72" s="90" t="n">
        <f aca="false">SUM(P72/2)+E72</f>
        <v>0</v>
      </c>
      <c r="BC72" s="90" t="n">
        <f aca="false">SUM(P72/2)+F72</f>
        <v>0</v>
      </c>
    </row>
    <row r="73" customFormat="false" ht="13.15" hidden="false" customHeight="false" outlineLevel="0" collapsed="false">
      <c r="A73" s="0" t="str">
        <f aca="false">[2]Sheet1!A73</f>
        <v>PRLN02;DC DB;SUITE G</v>
      </c>
      <c r="B73" s="0" t="str">
        <f aca="false">[2]Sheet1!B73</f>
        <v>PRLN02;DC SYS01</v>
      </c>
      <c r="C73" s="44" t="str">
        <f aca="false">[2]Sheet1!C73</f>
        <v>PRLN02</v>
      </c>
      <c r="D73" s="44" t="s">
        <v>724</v>
      </c>
      <c r="E73" s="0" t="n">
        <f aca="false">[2]Sheet1!D73</f>
        <v>150</v>
      </c>
      <c r="F73" s="0" t="n">
        <f aca="false">[2]Sheet1!E73</f>
        <v>98</v>
      </c>
      <c r="G73" s="45" t="n">
        <f aca="false">[2]Sheet1!F73</f>
        <v>44042</v>
      </c>
      <c r="H73" s="0" t="n">
        <f aca="false">[2]Sheet1!G73</f>
        <v>0</v>
      </c>
      <c r="I73" s="0" t="n">
        <f aca="false">[2]Sheet1!H73</f>
        <v>0</v>
      </c>
      <c r="J73" s="0" t="n">
        <f aca="false">[2]Sheet1!I73</f>
        <v>0</v>
      </c>
      <c r="K73" s="0" t="n">
        <f aca="false">[2]Sheet1!J73</f>
        <v>0</v>
      </c>
      <c r="L73" s="0" t="n">
        <f aca="false">[2]Sheet1!K73</f>
        <v>1</v>
      </c>
      <c r="M73" s="0" t="n">
        <f aca="false">[2]Sheet1!L73</f>
        <v>0</v>
      </c>
      <c r="N73" s="0" t="n">
        <f aca="false">[2]Sheet1!M73</f>
        <v>0</v>
      </c>
      <c r="O73" s="0" t="n">
        <f aca="false">[2]Sheet1!N73</f>
        <v>24</v>
      </c>
      <c r="P73" s="226" t="n">
        <f aca="false">SUM(AY73+BA73)</f>
        <v>158.333333333333</v>
      </c>
      <c r="Q73" s="170" t="s">
        <v>1341</v>
      </c>
      <c r="R73" s="234" t="n">
        <v>4</v>
      </c>
      <c r="S73" s="179" t="s">
        <v>1342</v>
      </c>
      <c r="T73" s="180" t="n">
        <v>1.4</v>
      </c>
      <c r="U73" s="179" t="s">
        <v>1343</v>
      </c>
      <c r="V73" s="233" t="n">
        <v>2.2</v>
      </c>
      <c r="W73" s="227"/>
      <c r="X73" s="71"/>
      <c r="Y73" s="201"/>
      <c r="Z73" s="71"/>
      <c r="AA73" s="227"/>
      <c r="AB73" s="71"/>
      <c r="AC73" s="201"/>
      <c r="AD73" s="71"/>
      <c r="AE73" s="227"/>
      <c r="AF73" s="71"/>
      <c r="AG73" s="201"/>
      <c r="AH73" s="71"/>
      <c r="AI73" s="227"/>
      <c r="AJ73" s="71"/>
      <c r="AK73" s="201"/>
      <c r="AL73" s="71"/>
      <c r="AM73" s="227"/>
      <c r="AN73" s="71"/>
      <c r="AO73" s="201"/>
      <c r="AP73" s="71"/>
      <c r="AQ73" s="227"/>
      <c r="AR73" s="71"/>
      <c r="AS73" s="227"/>
      <c r="AT73" s="228"/>
      <c r="AU73" s="227"/>
      <c r="AV73" s="228"/>
      <c r="AW73" s="227"/>
      <c r="AX73" s="229" t="n">
        <f aca="false">SUM(R73+T73+V73+X73+Z73+AB73+AD73+AF73+AH73+AJ73+AL73+AN73+AP73+AR73)</f>
        <v>7.6</v>
      </c>
      <c r="AY73" s="230" t="n">
        <f aca="false">SUM(AX73*1000)/48</f>
        <v>158.333333333333</v>
      </c>
      <c r="AZ73" s="231" t="n">
        <f aca="false">IFERROR(VLOOKUP(A73,'Site check'!$A$14:$O$47,15,0),0)</f>
        <v>0</v>
      </c>
      <c r="BA73" s="232" t="n">
        <f aca="false">SUM(AZ73*1000)/48</f>
        <v>0</v>
      </c>
      <c r="BB73" s="90" t="n">
        <f aca="false">SUM(P73/2)+E73</f>
        <v>229.166666666667</v>
      </c>
      <c r="BC73" s="90" t="n">
        <f aca="false">SUM(P73/2)+F73</f>
        <v>177.166666666667</v>
      </c>
    </row>
    <row r="74" customFormat="false" ht="13.15" hidden="false" customHeight="false" outlineLevel="0" collapsed="false">
      <c r="A74" s="0" t="str">
        <f aca="false">[2]Sheet1!A74</f>
        <v>RFDN11_SEC_CBDB_ CD01</v>
      </c>
      <c r="B74" s="0" t="str">
        <f aca="false">[2]Sheet1!B74</f>
        <v>RFDN11;DC SYS01</v>
      </c>
      <c r="C74" s="44" t="str">
        <f aca="false">[2]Sheet1!C74</f>
        <v>RFDN11</v>
      </c>
      <c r="D74" s="44" t="s">
        <v>745</v>
      </c>
      <c r="E74" s="0" t="n">
        <f aca="false">[2]Sheet1!D74</f>
        <v>16</v>
      </c>
      <c r="F74" s="0" t="n">
        <f aca="false">[2]Sheet1!E74</f>
        <v>14</v>
      </c>
      <c r="G74" s="45" t="n">
        <f aca="false">[2]Sheet1!F74</f>
        <v>44111</v>
      </c>
      <c r="H74" s="0" t="n">
        <f aca="false">[2]Sheet1!G74</f>
        <v>300</v>
      </c>
      <c r="I74" s="0" t="n">
        <f aca="false">[2]Sheet1!H74</f>
        <v>300</v>
      </c>
      <c r="J74" s="0" t="n">
        <f aca="false">[2]Sheet1!I74</f>
        <v>8</v>
      </c>
      <c r="K74" s="0" t="n">
        <f aca="false">[2]Sheet1!J74</f>
        <v>12</v>
      </c>
      <c r="L74" s="0" t="n">
        <f aca="false">[2]Sheet1!K74</f>
        <v>1</v>
      </c>
      <c r="M74" s="0" t="n">
        <f aca="false">[2]Sheet1!L74</f>
        <v>0</v>
      </c>
      <c r="N74" s="0" t="n">
        <f aca="false">[2]Sheet1!M74</f>
        <v>0</v>
      </c>
      <c r="O74" s="0" t="n">
        <f aca="false">[2]Sheet1!N74</f>
        <v>20</v>
      </c>
      <c r="P74" s="226" t="n">
        <f aca="false">SUM(AY74+BA74)</f>
        <v>0</v>
      </c>
      <c r="Q74" s="201"/>
      <c r="R74" s="71"/>
      <c r="S74" s="227"/>
      <c r="T74" s="71"/>
      <c r="U74" s="201"/>
      <c r="V74" s="71"/>
      <c r="W74" s="227"/>
      <c r="X74" s="71"/>
      <c r="Y74" s="201"/>
      <c r="Z74" s="71"/>
      <c r="AA74" s="227"/>
      <c r="AB74" s="71"/>
      <c r="AC74" s="201"/>
      <c r="AD74" s="71"/>
      <c r="AE74" s="227"/>
      <c r="AF74" s="71"/>
      <c r="AG74" s="201"/>
      <c r="AH74" s="71"/>
      <c r="AI74" s="227"/>
      <c r="AJ74" s="71"/>
      <c r="AK74" s="201"/>
      <c r="AL74" s="71"/>
      <c r="AM74" s="227"/>
      <c r="AN74" s="71"/>
      <c r="AO74" s="201"/>
      <c r="AP74" s="71"/>
      <c r="AQ74" s="227"/>
      <c r="AR74" s="71"/>
      <c r="AS74" s="227"/>
      <c r="AT74" s="228"/>
      <c r="AU74" s="227"/>
      <c r="AV74" s="228"/>
      <c r="AW74" s="227"/>
      <c r="AX74" s="229" t="n">
        <f aca="false">SUM(R74+T74+V74+X74+Z74+AB74+AD74+AF74+AH74+AJ74+AL74+AN74+AP74+AR74)</f>
        <v>0</v>
      </c>
      <c r="AY74" s="230" t="n">
        <f aca="false">SUM(AX74*1000)/48</f>
        <v>0</v>
      </c>
      <c r="AZ74" s="231" t="n">
        <f aca="false">IFERROR(VLOOKUP(A74,'Site check'!$A$14:$O$47,15,0),0)</f>
        <v>0</v>
      </c>
      <c r="BA74" s="232" t="n">
        <f aca="false">SUM(AZ74*1000)/48</f>
        <v>0</v>
      </c>
      <c r="BB74" s="90" t="n">
        <f aca="false">SUM(P74/2)+E74</f>
        <v>16</v>
      </c>
      <c r="BC74" s="90" t="n">
        <f aca="false">SUM(P74/2)+F74</f>
        <v>14</v>
      </c>
    </row>
    <row r="75" customFormat="false" ht="13.15" hidden="false" customHeight="false" outlineLevel="0" collapsed="false">
      <c r="A75" s="0" t="str">
        <f aca="false">[2]Sheet1!A75</f>
        <v>SMHN02_SEC_DD770_JK01_02</v>
      </c>
      <c r="B75" s="0" t="str">
        <f aca="false">[2]Sheet1!B75</f>
        <v>SMHN02;DC SYS01</v>
      </c>
      <c r="C75" s="44" t="str">
        <f aca="false">[2]Sheet1!C75</f>
        <v>SMHN02</v>
      </c>
      <c r="D75" s="44" t="s">
        <v>764</v>
      </c>
      <c r="E75" s="0" t="n">
        <f aca="false">[2]Sheet1!D75</f>
        <v>140</v>
      </c>
      <c r="F75" s="0" t="n">
        <f aca="false">[2]Sheet1!E75</f>
        <v>140</v>
      </c>
      <c r="G75" s="45" t="n">
        <f aca="false">[2]Sheet1!F75</f>
        <v>44251</v>
      </c>
      <c r="H75" s="0" t="n">
        <f aca="false">[2]Sheet1!G75</f>
        <v>300</v>
      </c>
      <c r="I75" s="0" t="n">
        <f aca="false">[2]Sheet1!H75</f>
        <v>300</v>
      </c>
      <c r="J75" s="0" t="n">
        <f aca="false">[2]Sheet1!I75</f>
        <v>5</v>
      </c>
      <c r="K75" s="0" t="n">
        <f aca="false">[2]Sheet1!J75</f>
        <v>6</v>
      </c>
      <c r="L75" s="0" t="n">
        <f aca="false">[2]Sheet1!K75</f>
        <v>9</v>
      </c>
      <c r="M75" s="0" t="n">
        <f aca="false">[2]Sheet1!L75</f>
        <v>0</v>
      </c>
      <c r="N75" s="0" t="n">
        <f aca="false">[2]Sheet1!M75</f>
        <v>8</v>
      </c>
      <c r="O75" s="0" t="n">
        <f aca="false">[2]Sheet1!N75</f>
        <v>0</v>
      </c>
      <c r="P75" s="226" t="n">
        <f aca="false">SUM(AY75+BA75)</f>
        <v>0</v>
      </c>
      <c r="Q75" s="201"/>
      <c r="R75" s="71"/>
      <c r="S75" s="227"/>
      <c r="T75" s="71"/>
      <c r="U75" s="201"/>
      <c r="V75" s="71"/>
      <c r="W75" s="227"/>
      <c r="X75" s="71"/>
      <c r="Y75" s="201"/>
      <c r="Z75" s="71"/>
      <c r="AA75" s="227"/>
      <c r="AB75" s="71"/>
      <c r="AC75" s="201"/>
      <c r="AD75" s="71"/>
      <c r="AE75" s="227"/>
      <c r="AF75" s="71"/>
      <c r="AG75" s="201"/>
      <c r="AH75" s="71"/>
      <c r="AI75" s="227"/>
      <c r="AJ75" s="71"/>
      <c r="AK75" s="201"/>
      <c r="AL75" s="71"/>
      <c r="AM75" s="227"/>
      <c r="AN75" s="71"/>
      <c r="AO75" s="201"/>
      <c r="AP75" s="71"/>
      <c r="AQ75" s="227"/>
      <c r="AR75" s="71"/>
      <c r="AS75" s="227"/>
      <c r="AT75" s="228"/>
      <c r="AU75" s="227"/>
      <c r="AV75" s="228"/>
      <c r="AW75" s="227"/>
      <c r="AX75" s="229" t="n">
        <f aca="false">SUM(R75+T75+V75+X75+Z75+AB75+AD75+AF75+AH75+AJ75+AL75+AN75+AP75+AR75)</f>
        <v>0</v>
      </c>
      <c r="AY75" s="230" t="n">
        <f aca="false">SUM(AX75*1000)/48</f>
        <v>0</v>
      </c>
      <c r="AZ75" s="231" t="n">
        <f aca="false">IFERROR(VLOOKUP(A75,'Site check'!$A$14:$O$47,15,0),0)</f>
        <v>0</v>
      </c>
      <c r="BA75" s="232" t="n">
        <f aca="false">SUM(AZ75*1000)/48</f>
        <v>0</v>
      </c>
      <c r="BB75" s="90" t="n">
        <f aca="false">SUM(P75/2)+E75</f>
        <v>140</v>
      </c>
      <c r="BC75" s="90" t="n">
        <f aca="false">SUM(P75/2)+F75</f>
        <v>140</v>
      </c>
    </row>
    <row r="76" customFormat="false" ht="13.15" hidden="false" customHeight="false" outlineLevel="0" collapsed="false">
      <c r="A76" s="0" t="str">
        <f aca="false">[2]Sheet1!A76</f>
        <v>SMHN02_SEC_DD770_LM01_01</v>
      </c>
      <c r="B76" s="0" t="str">
        <f aca="false">[2]Sheet1!B76</f>
        <v>SMHN02;DC SYS01</v>
      </c>
      <c r="C76" s="44" t="str">
        <f aca="false">[2]Sheet1!C76</f>
        <v>SMHN02</v>
      </c>
      <c r="D76" s="44" t="s">
        <v>764</v>
      </c>
      <c r="E76" s="0" t="n">
        <f aca="false">[2]Sheet1!D76</f>
        <v>140</v>
      </c>
      <c r="F76" s="0" t="n">
        <f aca="false">[2]Sheet1!E76</f>
        <v>140</v>
      </c>
      <c r="G76" s="45" t="n">
        <f aca="false">[2]Sheet1!F76</f>
        <v>44251</v>
      </c>
      <c r="H76" s="0" t="n">
        <f aca="false">[2]Sheet1!G76</f>
        <v>300</v>
      </c>
      <c r="I76" s="0" t="n">
        <f aca="false">[2]Sheet1!H76</f>
        <v>300</v>
      </c>
      <c r="J76" s="0" t="n">
        <f aca="false">[2]Sheet1!I76</f>
        <v>5</v>
      </c>
      <c r="K76" s="0" t="n">
        <f aca="false">[2]Sheet1!J76</f>
        <v>2</v>
      </c>
      <c r="L76" s="0" t="n">
        <f aca="false">[2]Sheet1!K76</f>
        <v>12</v>
      </c>
      <c r="M76" s="0" t="n">
        <f aca="false">[2]Sheet1!L76</f>
        <v>2</v>
      </c>
      <c r="N76" s="0" t="n">
        <f aca="false">[2]Sheet1!M76</f>
        <v>11</v>
      </c>
      <c r="O76" s="0" t="n">
        <f aca="false">[2]Sheet1!N76</f>
        <v>0</v>
      </c>
      <c r="P76" s="226" t="n">
        <f aca="false">SUM(AY76+BA76)</f>
        <v>0</v>
      </c>
      <c r="Q76" s="201"/>
      <c r="R76" s="71"/>
      <c r="S76" s="227"/>
      <c r="T76" s="71"/>
      <c r="U76" s="201"/>
      <c r="V76" s="71"/>
      <c r="W76" s="227"/>
      <c r="X76" s="71"/>
      <c r="Y76" s="201"/>
      <c r="Z76" s="71"/>
      <c r="AA76" s="227"/>
      <c r="AB76" s="71"/>
      <c r="AC76" s="201"/>
      <c r="AD76" s="71"/>
      <c r="AE76" s="227"/>
      <c r="AF76" s="71"/>
      <c r="AG76" s="201"/>
      <c r="AH76" s="71"/>
      <c r="AI76" s="227"/>
      <c r="AJ76" s="71"/>
      <c r="AK76" s="201"/>
      <c r="AL76" s="71"/>
      <c r="AM76" s="227"/>
      <c r="AN76" s="71"/>
      <c r="AO76" s="201"/>
      <c r="AP76" s="71"/>
      <c r="AQ76" s="227"/>
      <c r="AR76" s="71"/>
      <c r="AS76" s="227"/>
      <c r="AT76" s="228"/>
      <c r="AU76" s="227"/>
      <c r="AV76" s="228"/>
      <c r="AW76" s="227"/>
      <c r="AX76" s="229" t="n">
        <f aca="false">SUM(R76+T76+V76+X76+Z76+AB76+AD76+AF76+AH76+AJ76+AL76+AN76+AP76+AR76)</f>
        <v>0</v>
      </c>
      <c r="AY76" s="230" t="n">
        <f aca="false">SUM(AX76*1000)/48</f>
        <v>0</v>
      </c>
      <c r="AZ76" s="231" t="n">
        <f aca="false">IFERROR(VLOOKUP(A76,'Site check'!$A$14:$O$47,15,0),0)</f>
        <v>0</v>
      </c>
      <c r="BA76" s="232" t="n">
        <f aca="false">SUM(AZ76*1000)/48</f>
        <v>0</v>
      </c>
      <c r="BB76" s="90" t="n">
        <f aca="false">SUM(P76/2)+E76</f>
        <v>140</v>
      </c>
      <c r="BC76" s="90" t="n">
        <f aca="false">SUM(P76/2)+F76</f>
        <v>140</v>
      </c>
    </row>
    <row r="77" customFormat="false" ht="13.15" hidden="false" customHeight="false" outlineLevel="0" collapsed="false">
      <c r="A77" s="0" t="str">
        <f aca="false">[2]Sheet1!A77</f>
        <v>SQYN01_SEC_DD770_BC1</v>
      </c>
      <c r="B77" s="0" t="str">
        <f aca="false">[2]Sheet1!B77</f>
        <v>SQYN01;DC SYS02</v>
      </c>
      <c r="C77" s="44" t="str">
        <f aca="false">[2]Sheet1!C77</f>
        <v>SQYN01</v>
      </c>
      <c r="D77" s="44" t="s">
        <v>774</v>
      </c>
      <c r="E77" s="0" t="n">
        <f aca="false">[2]Sheet1!D77</f>
        <v>200</v>
      </c>
      <c r="F77" s="0" t="n">
        <f aca="false">[2]Sheet1!E77</f>
        <v>250</v>
      </c>
      <c r="G77" s="45" t="n">
        <f aca="false">[2]Sheet1!F77</f>
        <v>44980</v>
      </c>
      <c r="H77" s="0" t="n">
        <f aca="false">[2]Sheet1!G77</f>
        <v>300</v>
      </c>
      <c r="I77" s="0" t="n">
        <f aca="false">[2]Sheet1!H77</f>
        <v>300</v>
      </c>
      <c r="J77" s="0" t="n">
        <f aca="false">[2]Sheet1!I77</f>
        <v>2</v>
      </c>
      <c r="K77" s="0" t="n">
        <f aca="false">[2]Sheet1!J77</f>
        <v>1</v>
      </c>
      <c r="L77" s="0" t="n">
        <f aca="false">[2]Sheet1!K77</f>
        <v>0</v>
      </c>
      <c r="M77" s="0" t="n">
        <f aca="false">[2]Sheet1!L77</f>
        <v>4</v>
      </c>
      <c r="N77" s="0" t="n">
        <f aca="false">[2]Sheet1!M77</f>
        <v>7</v>
      </c>
      <c r="O77" s="0" t="n">
        <f aca="false">[2]Sheet1!N77</f>
        <v>0</v>
      </c>
      <c r="P77" s="226" t="n">
        <f aca="false">SUM(AY77+BA77)</f>
        <v>83.3333333333333</v>
      </c>
      <c r="Q77" s="177" t="s">
        <v>1386</v>
      </c>
      <c r="R77" s="235" t="n">
        <v>2</v>
      </c>
      <c r="S77" s="177" t="s">
        <v>1387</v>
      </c>
      <c r="T77" s="235" t="n">
        <v>2</v>
      </c>
      <c r="U77" s="201"/>
      <c r="V77" s="71"/>
      <c r="W77" s="227"/>
      <c r="X77" s="71"/>
      <c r="Y77" s="201"/>
      <c r="Z77" s="71"/>
      <c r="AA77" s="227"/>
      <c r="AB77" s="71"/>
      <c r="AC77" s="201"/>
      <c r="AD77" s="71"/>
      <c r="AE77" s="227"/>
      <c r="AF77" s="71"/>
      <c r="AG77" s="201"/>
      <c r="AH77" s="71"/>
      <c r="AI77" s="227"/>
      <c r="AJ77" s="71"/>
      <c r="AK77" s="201"/>
      <c r="AL77" s="71"/>
      <c r="AM77" s="227"/>
      <c r="AN77" s="71"/>
      <c r="AO77" s="201"/>
      <c r="AP77" s="71"/>
      <c r="AQ77" s="227"/>
      <c r="AR77" s="71"/>
      <c r="AS77" s="227"/>
      <c r="AT77" s="228"/>
      <c r="AU77" s="227"/>
      <c r="AV77" s="228"/>
      <c r="AW77" s="227"/>
      <c r="AX77" s="229" t="n">
        <f aca="false">SUM(R77+T77+V77+X77+Z77+AB77+AD77+AF77+AH77+AJ77+AL77+AN77+AP77+AR77)</f>
        <v>4</v>
      </c>
      <c r="AY77" s="230" t="n">
        <f aca="false">SUM(AX77*1000)/48</f>
        <v>83.3333333333333</v>
      </c>
      <c r="AZ77" s="231" t="n">
        <f aca="false">IFERROR(VLOOKUP(A77,'Site check'!$A$14:$O$47,15,0),0)</f>
        <v>0</v>
      </c>
      <c r="BA77" s="232" t="n">
        <f aca="false">SUM(AZ77*1000)/48</f>
        <v>0</v>
      </c>
      <c r="BB77" s="90" t="n">
        <f aca="false">SUM(P77/2)+E77</f>
        <v>241.666666666667</v>
      </c>
      <c r="BC77" s="90" t="n">
        <f aca="false">SUM(P77/2)+F77</f>
        <v>291.666666666667</v>
      </c>
    </row>
    <row r="78" customFormat="false" ht="13.15" hidden="false" customHeight="false" outlineLevel="0" collapsed="false">
      <c r="A78" s="0" t="str">
        <f aca="false">[2]Sheet1!A78</f>
        <v>SQYN01_SEC_DD770_BL1</v>
      </c>
      <c r="B78" s="0" t="str">
        <f aca="false">[2]Sheet1!B78</f>
        <v>SQYN01;DC SYS03</v>
      </c>
      <c r="C78" s="44" t="str">
        <f aca="false">[2]Sheet1!C78</f>
        <v>SQYN01</v>
      </c>
      <c r="D78" s="44" t="s">
        <v>774</v>
      </c>
      <c r="E78" s="0" t="n">
        <f aca="false">[2]Sheet1!D78</f>
        <v>80</v>
      </c>
      <c r="F78" s="0" t="n">
        <f aca="false">[2]Sheet1!E78</f>
        <v>80</v>
      </c>
      <c r="G78" s="45" t="n">
        <f aca="false">[2]Sheet1!F78</f>
        <v>44980</v>
      </c>
      <c r="H78" s="0" t="n">
        <f aca="false">[2]Sheet1!G78</f>
        <v>300</v>
      </c>
      <c r="I78" s="0" t="n">
        <f aca="false">[2]Sheet1!H78</f>
        <v>300</v>
      </c>
      <c r="J78" s="0" t="n">
        <f aca="false">[2]Sheet1!I78</f>
        <v>6</v>
      </c>
      <c r="K78" s="0" t="n">
        <f aca="false">[2]Sheet1!J78</f>
        <v>6</v>
      </c>
      <c r="L78" s="0" t="n">
        <f aca="false">[2]Sheet1!K78</f>
        <v>0</v>
      </c>
      <c r="M78" s="0" t="n">
        <f aca="false">[2]Sheet1!L78</f>
        <v>6</v>
      </c>
      <c r="N78" s="0" t="n">
        <f aca="false">[2]Sheet1!M78</f>
        <v>11</v>
      </c>
      <c r="O78" s="0" t="n">
        <f aca="false">[2]Sheet1!N78</f>
        <v>0</v>
      </c>
      <c r="P78" s="226" t="n">
        <f aca="false">SUM(AY78+BA78)</f>
        <v>0</v>
      </c>
      <c r="Q78" s="201"/>
      <c r="R78" s="71"/>
      <c r="S78" s="227"/>
      <c r="T78" s="71"/>
      <c r="U78" s="201"/>
      <c r="V78" s="71"/>
      <c r="W78" s="227"/>
      <c r="X78" s="71"/>
      <c r="Y78" s="201"/>
      <c r="Z78" s="71"/>
      <c r="AA78" s="227"/>
      <c r="AB78" s="71"/>
      <c r="AC78" s="201"/>
      <c r="AD78" s="71"/>
      <c r="AE78" s="227"/>
      <c r="AF78" s="71"/>
      <c r="AG78" s="201"/>
      <c r="AH78" s="71"/>
      <c r="AI78" s="227"/>
      <c r="AJ78" s="71"/>
      <c r="AK78" s="201"/>
      <c r="AL78" s="71"/>
      <c r="AM78" s="227"/>
      <c r="AN78" s="71"/>
      <c r="AO78" s="201"/>
      <c r="AP78" s="71"/>
      <c r="AQ78" s="227"/>
      <c r="AR78" s="71"/>
      <c r="AS78" s="227"/>
      <c r="AT78" s="228"/>
      <c r="AU78" s="227"/>
      <c r="AV78" s="228"/>
      <c r="AW78" s="227"/>
      <c r="AX78" s="229" t="n">
        <f aca="false">SUM(R78+T78+V78+X78+Z78+AB78+AD78+AF78+AH78+AJ78+AL78+AN78+AP78+AR78)</f>
        <v>0</v>
      </c>
      <c r="AY78" s="230" t="n">
        <f aca="false">SUM(AX78*1000)/48</f>
        <v>0</v>
      </c>
      <c r="AZ78" s="231" t="n">
        <f aca="false">IFERROR(VLOOKUP(A78,'Site check'!$A$14:$O$47,15,0),0)</f>
        <v>0</v>
      </c>
      <c r="BA78" s="232" t="n">
        <f aca="false">SUM(AZ78*1000)/48</f>
        <v>0</v>
      </c>
      <c r="BB78" s="90" t="n">
        <f aca="false">SUM(P78/2)+E78</f>
        <v>80</v>
      </c>
      <c r="BC78" s="90" t="n">
        <f aca="false">SUM(P78/2)+F78</f>
        <v>80</v>
      </c>
    </row>
    <row r="79" customFormat="false" ht="13.15" hidden="false" customHeight="false" outlineLevel="0" collapsed="false">
      <c r="A79" s="0" t="str">
        <f aca="false">[2]Sheet1!A79</f>
        <v>SQYN01_SEC_DD770_BN1</v>
      </c>
      <c r="B79" s="0" t="str">
        <f aca="false">[2]Sheet1!B79</f>
        <v>SQYN01;DC SYS03</v>
      </c>
      <c r="C79" s="44" t="str">
        <f aca="false">[2]Sheet1!C79</f>
        <v>SQYN01</v>
      </c>
      <c r="D79" s="44" t="s">
        <v>774</v>
      </c>
      <c r="E79" s="0" t="n">
        <f aca="false">[2]Sheet1!D79</f>
        <v>80</v>
      </c>
      <c r="F79" s="0" t="n">
        <f aca="false">[2]Sheet1!E79</f>
        <v>80</v>
      </c>
      <c r="G79" s="45" t="n">
        <f aca="false">[2]Sheet1!F79</f>
        <v>44980</v>
      </c>
      <c r="H79" s="0" t="n">
        <f aca="false">[2]Sheet1!G79</f>
        <v>300</v>
      </c>
      <c r="I79" s="0" t="n">
        <f aca="false">[2]Sheet1!H79</f>
        <v>300</v>
      </c>
      <c r="J79" s="0" t="n">
        <f aca="false">[2]Sheet1!I79</f>
        <v>6</v>
      </c>
      <c r="K79" s="0" t="n">
        <f aca="false">[2]Sheet1!J79</f>
        <v>6</v>
      </c>
      <c r="L79" s="0" t="n">
        <f aca="false">[2]Sheet1!K79</f>
        <v>0</v>
      </c>
      <c r="M79" s="0" t="n">
        <f aca="false">[2]Sheet1!L79</f>
        <v>12</v>
      </c>
      <c r="N79" s="0" t="n">
        <f aca="false">[2]Sheet1!M79</f>
        <v>11</v>
      </c>
      <c r="O79" s="0" t="n">
        <f aca="false">[2]Sheet1!N79</f>
        <v>0</v>
      </c>
      <c r="P79" s="226" t="n">
        <f aca="false">SUM(AY79+BA79)</f>
        <v>0</v>
      </c>
      <c r="Q79" s="201"/>
      <c r="R79" s="71"/>
      <c r="S79" s="227"/>
      <c r="T79" s="71"/>
      <c r="U79" s="201"/>
      <c r="V79" s="71"/>
      <c r="W79" s="227"/>
      <c r="X79" s="71"/>
      <c r="Y79" s="201"/>
      <c r="Z79" s="71"/>
      <c r="AA79" s="227"/>
      <c r="AB79" s="71"/>
      <c r="AC79" s="201"/>
      <c r="AD79" s="71"/>
      <c r="AE79" s="227"/>
      <c r="AF79" s="71"/>
      <c r="AG79" s="201"/>
      <c r="AH79" s="71"/>
      <c r="AI79" s="227"/>
      <c r="AJ79" s="71"/>
      <c r="AK79" s="201"/>
      <c r="AL79" s="71"/>
      <c r="AM79" s="227"/>
      <c r="AN79" s="71"/>
      <c r="AO79" s="201"/>
      <c r="AP79" s="71"/>
      <c r="AQ79" s="227"/>
      <c r="AR79" s="71"/>
      <c r="AS79" s="227"/>
      <c r="AT79" s="228"/>
      <c r="AU79" s="227"/>
      <c r="AV79" s="228"/>
      <c r="AW79" s="227"/>
      <c r="AX79" s="229" t="n">
        <f aca="false">SUM(R79+T79+V79+X79+Z79+AB79+AD79+AF79+AH79+AJ79+AL79+AN79+AP79+AR79)</f>
        <v>0</v>
      </c>
      <c r="AY79" s="230" t="n">
        <f aca="false">SUM(AX79*1000)/48</f>
        <v>0</v>
      </c>
      <c r="AZ79" s="231" t="n">
        <f aca="false">IFERROR(VLOOKUP(A79,'Site check'!$A$14:$O$47,15,0),0)</f>
        <v>0</v>
      </c>
      <c r="BA79" s="232" t="n">
        <f aca="false">SUM(AZ79*1000)/48</f>
        <v>0</v>
      </c>
      <c r="BB79" s="90" t="n">
        <f aca="false">SUM(P79/2)+E79</f>
        <v>80</v>
      </c>
      <c r="BC79" s="90" t="n">
        <f aca="false">SUM(P79/2)+F79</f>
        <v>80</v>
      </c>
    </row>
    <row r="80" customFormat="false" ht="13.15" hidden="false" customHeight="false" outlineLevel="0" collapsed="false">
      <c r="A80" s="0" t="str">
        <f aca="false">[2]Sheet1!A80</f>
        <v>SQYN01_SEC_DD770_BQ1</v>
      </c>
      <c r="B80" s="0" t="str">
        <f aca="false">[2]Sheet1!B80</f>
        <v>SQYN01;DC SYS02</v>
      </c>
      <c r="C80" s="44" t="str">
        <f aca="false">[2]Sheet1!C80</f>
        <v>SQYN01</v>
      </c>
      <c r="D80" s="44" t="s">
        <v>774</v>
      </c>
      <c r="E80" s="0" t="n">
        <f aca="false">[2]Sheet1!D80</f>
        <v>180</v>
      </c>
      <c r="F80" s="0" t="n">
        <f aca="false">[2]Sheet1!E80</f>
        <v>180</v>
      </c>
      <c r="G80" s="45" t="n">
        <f aca="false">[2]Sheet1!F80</f>
        <v>44980</v>
      </c>
      <c r="H80" s="0" t="n">
        <f aca="false">[2]Sheet1!G80</f>
        <v>300</v>
      </c>
      <c r="I80" s="0" t="n">
        <f aca="false">[2]Sheet1!H80</f>
        <v>300</v>
      </c>
      <c r="J80" s="0" t="n">
        <f aca="false">[2]Sheet1!I80</f>
        <v>6</v>
      </c>
      <c r="K80" s="0" t="n">
        <f aca="false">[2]Sheet1!J80</f>
        <v>7</v>
      </c>
      <c r="L80" s="0" t="n">
        <f aca="false">[2]Sheet1!K80</f>
        <v>0</v>
      </c>
      <c r="M80" s="0" t="n">
        <f aca="false">[2]Sheet1!L80</f>
        <v>6</v>
      </c>
      <c r="N80" s="0" t="n">
        <f aca="false">[2]Sheet1!M80</f>
        <v>11</v>
      </c>
      <c r="O80" s="0" t="n">
        <f aca="false">[2]Sheet1!N80</f>
        <v>0</v>
      </c>
      <c r="P80" s="226" t="n">
        <f aca="false">SUM(AY80+BA80)</f>
        <v>0</v>
      </c>
      <c r="Q80" s="201"/>
      <c r="R80" s="71"/>
      <c r="S80" s="227"/>
      <c r="T80" s="71"/>
      <c r="U80" s="201"/>
      <c r="V80" s="71"/>
      <c r="W80" s="227"/>
      <c r="X80" s="71"/>
      <c r="Y80" s="201"/>
      <c r="Z80" s="71"/>
      <c r="AA80" s="227"/>
      <c r="AB80" s="71"/>
      <c r="AC80" s="201"/>
      <c r="AD80" s="71"/>
      <c r="AE80" s="227"/>
      <c r="AF80" s="71"/>
      <c r="AG80" s="201"/>
      <c r="AH80" s="71"/>
      <c r="AI80" s="227"/>
      <c r="AJ80" s="71"/>
      <c r="AK80" s="201"/>
      <c r="AL80" s="71"/>
      <c r="AM80" s="227"/>
      <c r="AN80" s="71"/>
      <c r="AO80" s="201"/>
      <c r="AP80" s="71"/>
      <c r="AQ80" s="227"/>
      <c r="AR80" s="71"/>
      <c r="AS80" s="227"/>
      <c r="AT80" s="228"/>
      <c r="AU80" s="227"/>
      <c r="AV80" s="228"/>
      <c r="AW80" s="227"/>
      <c r="AX80" s="229" t="n">
        <f aca="false">SUM(R80+T80+V80+X80+Z80+AB80+AD80+AF80+AH80+AJ80+AL80+AN80+AP80+AR80)</f>
        <v>0</v>
      </c>
      <c r="AY80" s="230" t="n">
        <f aca="false">SUM(AX80*1000)/48</f>
        <v>0</v>
      </c>
      <c r="AZ80" s="231" t="n">
        <f aca="false">IFERROR(VLOOKUP(A80,'Site check'!$A$14:$O$47,15,0),0)</f>
        <v>0</v>
      </c>
      <c r="BA80" s="232" t="n">
        <f aca="false">SUM(AZ80*1000)/48</f>
        <v>0</v>
      </c>
      <c r="BB80" s="90" t="n">
        <f aca="false">SUM(P80/2)+E80</f>
        <v>180</v>
      </c>
      <c r="BC80" s="90" t="n">
        <f aca="false">SUM(P80/2)+F80</f>
        <v>180</v>
      </c>
    </row>
    <row r="81" customFormat="false" ht="13.15" hidden="false" customHeight="false" outlineLevel="0" collapsed="false">
      <c r="A81" s="0" t="str">
        <f aca="false">[2]Sheet1!A81</f>
        <v>SQYN01_SEC_DD770_BS1</v>
      </c>
      <c r="B81" s="0" t="str">
        <f aca="false">[2]Sheet1!B81</f>
        <v>SQYN01;DC SYS02</v>
      </c>
      <c r="C81" s="44" t="str">
        <f aca="false">[2]Sheet1!C81</f>
        <v>SQYN01</v>
      </c>
      <c r="D81" s="44" t="s">
        <v>774</v>
      </c>
      <c r="E81" s="0" t="n">
        <f aca="false">[2]Sheet1!D81</f>
        <v>20</v>
      </c>
      <c r="F81" s="0" t="n">
        <f aca="false">[2]Sheet1!E81</f>
        <v>20</v>
      </c>
      <c r="G81" s="45" t="n">
        <f aca="false">[2]Sheet1!F81</f>
        <v>44980</v>
      </c>
      <c r="H81" s="0" t="n">
        <f aca="false">[2]Sheet1!G81</f>
        <v>300</v>
      </c>
      <c r="I81" s="0" t="n">
        <f aca="false">[2]Sheet1!H81</f>
        <v>300</v>
      </c>
      <c r="J81" s="0" t="n">
        <f aca="false">[2]Sheet1!I81</f>
        <v>6</v>
      </c>
      <c r="K81" s="0" t="n">
        <f aca="false">[2]Sheet1!J81</f>
        <v>12</v>
      </c>
      <c r="L81" s="0" t="n">
        <f aca="false">[2]Sheet1!K81</f>
        <v>0</v>
      </c>
      <c r="M81" s="0" t="n">
        <f aca="false">[2]Sheet1!L81</f>
        <v>20</v>
      </c>
      <c r="N81" s="0" t="n">
        <f aca="false">[2]Sheet1!M81</f>
        <v>8</v>
      </c>
      <c r="O81" s="0" t="n">
        <f aca="false">[2]Sheet1!N81</f>
        <v>0</v>
      </c>
      <c r="P81" s="226" t="n">
        <f aca="false">SUM(AY81+BA81)</f>
        <v>0</v>
      </c>
      <c r="Q81" s="201"/>
      <c r="R81" s="71"/>
      <c r="S81" s="227"/>
      <c r="T81" s="71"/>
      <c r="U81" s="201"/>
      <c r="V81" s="71"/>
      <c r="W81" s="227"/>
      <c r="X81" s="71"/>
      <c r="Y81" s="201"/>
      <c r="Z81" s="71"/>
      <c r="AA81" s="227"/>
      <c r="AB81" s="71"/>
      <c r="AC81" s="201"/>
      <c r="AD81" s="71"/>
      <c r="AE81" s="227"/>
      <c r="AF81" s="71"/>
      <c r="AG81" s="201"/>
      <c r="AH81" s="71"/>
      <c r="AI81" s="227"/>
      <c r="AJ81" s="71"/>
      <c r="AK81" s="201"/>
      <c r="AL81" s="71"/>
      <c r="AM81" s="227"/>
      <c r="AN81" s="71"/>
      <c r="AO81" s="201"/>
      <c r="AP81" s="71"/>
      <c r="AQ81" s="227"/>
      <c r="AR81" s="71"/>
      <c r="AS81" s="227"/>
      <c r="AT81" s="228"/>
      <c r="AU81" s="227"/>
      <c r="AV81" s="228"/>
      <c r="AW81" s="227"/>
      <c r="AX81" s="229" t="n">
        <f aca="false">SUM(R81+T81+V81+X81+Z81+AB81+AD81+AF81+AH81+AJ81+AL81+AN81+AP81+AR81)</f>
        <v>0</v>
      </c>
      <c r="AY81" s="230" t="n">
        <f aca="false">SUM(AX81*1000)/48</f>
        <v>0</v>
      </c>
      <c r="AZ81" s="231" t="n">
        <f aca="false">IFERROR(VLOOKUP(A81,'Site check'!$A$14:$O$47,15,0),0)</f>
        <v>0</v>
      </c>
      <c r="BA81" s="232" t="n">
        <f aca="false">SUM(AZ81*1000)/48</f>
        <v>0</v>
      </c>
      <c r="BB81" s="90" t="n">
        <f aca="false">SUM(P81/2)+E81</f>
        <v>20</v>
      </c>
      <c r="BC81" s="90" t="n">
        <f aca="false">SUM(P81/2)+F81</f>
        <v>20</v>
      </c>
    </row>
    <row r="82" customFormat="false" ht="13.15" hidden="false" customHeight="false" outlineLevel="0" collapsed="false">
      <c r="A82" s="0" t="str">
        <f aca="false">[2]Sheet1!A82</f>
        <v>SQYN01_SEC_DD770_BV1</v>
      </c>
      <c r="B82" s="0" t="str">
        <f aca="false">[2]Sheet1!B82</f>
        <v>SQYN01;DC SYS03</v>
      </c>
      <c r="C82" s="44" t="str">
        <f aca="false">[2]Sheet1!C82</f>
        <v>SQYN01</v>
      </c>
      <c r="D82" s="44" t="s">
        <v>774</v>
      </c>
      <c r="E82" s="0" t="n">
        <f aca="false">[2]Sheet1!D82</f>
        <v>80</v>
      </c>
      <c r="F82" s="0" t="n">
        <f aca="false">[2]Sheet1!E82</f>
        <v>80</v>
      </c>
      <c r="G82" s="45" t="n">
        <f aca="false">[2]Sheet1!F82</f>
        <v>44980</v>
      </c>
      <c r="H82" s="0" t="n">
        <f aca="false">[2]Sheet1!G82</f>
        <v>300</v>
      </c>
      <c r="I82" s="0" t="n">
        <f aca="false">[2]Sheet1!H82</f>
        <v>300</v>
      </c>
      <c r="J82" s="0" t="n">
        <f aca="false">[2]Sheet1!I82</f>
        <v>4</v>
      </c>
      <c r="K82" s="0" t="n">
        <f aca="false">[2]Sheet1!J82</f>
        <v>8</v>
      </c>
      <c r="L82" s="0" t="n">
        <f aca="false">[2]Sheet1!K82</f>
        <v>0</v>
      </c>
      <c r="M82" s="0" t="n">
        <f aca="false">[2]Sheet1!L82</f>
        <v>9</v>
      </c>
      <c r="N82" s="0" t="n">
        <f aca="false">[2]Sheet1!M82</f>
        <v>11</v>
      </c>
      <c r="O82" s="0" t="n">
        <f aca="false">[2]Sheet1!N82</f>
        <v>0</v>
      </c>
      <c r="P82" s="226" t="n">
        <f aca="false">SUM(AY82+BA82)</f>
        <v>0</v>
      </c>
      <c r="Q82" s="201"/>
      <c r="R82" s="71"/>
      <c r="S82" s="227"/>
      <c r="T82" s="71"/>
      <c r="U82" s="201"/>
      <c r="V82" s="71"/>
      <c r="W82" s="227"/>
      <c r="X82" s="71"/>
      <c r="Y82" s="201"/>
      <c r="Z82" s="71"/>
      <c r="AA82" s="227"/>
      <c r="AB82" s="71"/>
      <c r="AC82" s="201"/>
      <c r="AD82" s="71"/>
      <c r="AE82" s="227"/>
      <c r="AF82" s="71"/>
      <c r="AG82" s="201"/>
      <c r="AH82" s="71"/>
      <c r="AI82" s="227"/>
      <c r="AJ82" s="71"/>
      <c r="AK82" s="201"/>
      <c r="AL82" s="71"/>
      <c r="AM82" s="227"/>
      <c r="AN82" s="71"/>
      <c r="AO82" s="201"/>
      <c r="AP82" s="71"/>
      <c r="AQ82" s="227"/>
      <c r="AR82" s="71"/>
      <c r="AS82" s="227"/>
      <c r="AT82" s="228"/>
      <c r="AU82" s="227"/>
      <c r="AV82" s="228"/>
      <c r="AW82" s="227"/>
      <c r="AX82" s="229" t="n">
        <f aca="false">SUM(R82+T82+V82+X82+Z82+AB82+AD82+AF82+AH82+AJ82+AL82+AN82+AP82+AR82)</f>
        <v>0</v>
      </c>
      <c r="AY82" s="230" t="n">
        <f aca="false">SUM(AX82*1000)/48</f>
        <v>0</v>
      </c>
      <c r="AZ82" s="231" t="n">
        <f aca="false">IFERROR(VLOOKUP(A82,'Site check'!$A$14:$O$47,15,0),0)</f>
        <v>0</v>
      </c>
      <c r="BA82" s="232" t="n">
        <f aca="false">SUM(AZ82*1000)/48</f>
        <v>0</v>
      </c>
      <c r="BB82" s="90" t="n">
        <f aca="false">SUM(P82/2)+E82</f>
        <v>80</v>
      </c>
      <c r="BC82" s="90" t="n">
        <f aca="false">SUM(P82/2)+F82</f>
        <v>80</v>
      </c>
    </row>
    <row r="83" customFormat="false" ht="13.15" hidden="false" customHeight="false" outlineLevel="0" collapsed="false">
      <c r="A83" s="0" t="str">
        <f aca="false">[2]Sheet1!A83</f>
        <v>SQYN01_SEC_DD770_BW1</v>
      </c>
      <c r="B83" s="0" t="str">
        <f aca="false">[2]Sheet1!B83</f>
        <v>SQYN01;DC SYS01</v>
      </c>
      <c r="C83" s="44" t="str">
        <f aca="false">[2]Sheet1!C83</f>
        <v>SQYN01</v>
      </c>
      <c r="D83" s="44" t="s">
        <v>774</v>
      </c>
      <c r="E83" s="0" t="n">
        <f aca="false">[2]Sheet1!D83</f>
        <v>40</v>
      </c>
      <c r="F83" s="0" t="n">
        <f aca="false">[2]Sheet1!E83</f>
        <v>40</v>
      </c>
      <c r="G83" s="45" t="n">
        <f aca="false">[2]Sheet1!F83</f>
        <v>44980</v>
      </c>
      <c r="H83" s="0" t="n">
        <f aca="false">[2]Sheet1!G83</f>
        <v>300</v>
      </c>
      <c r="I83" s="0" t="n">
        <f aca="false">[2]Sheet1!H83</f>
        <v>300</v>
      </c>
      <c r="J83" s="0" t="n">
        <f aca="false">[2]Sheet1!I83</f>
        <v>4</v>
      </c>
      <c r="K83" s="0" t="n">
        <f aca="false">[2]Sheet1!J83</f>
        <v>10</v>
      </c>
      <c r="L83" s="0" t="n">
        <f aca="false">[2]Sheet1!K83</f>
        <v>0</v>
      </c>
      <c r="M83" s="0" t="n">
        <f aca="false">[2]Sheet1!L83</f>
        <v>19</v>
      </c>
      <c r="N83" s="0" t="n">
        <f aca="false">[2]Sheet1!M83</f>
        <v>10</v>
      </c>
      <c r="O83" s="0" t="n">
        <f aca="false">[2]Sheet1!N83</f>
        <v>0</v>
      </c>
      <c r="P83" s="226" t="n">
        <f aca="false">SUM(AY83+BA83)</f>
        <v>0</v>
      </c>
      <c r="Q83" s="201"/>
      <c r="R83" s="71"/>
      <c r="S83" s="227"/>
      <c r="T83" s="71"/>
      <c r="U83" s="201"/>
      <c r="V83" s="71"/>
      <c r="W83" s="227"/>
      <c r="X83" s="71"/>
      <c r="Y83" s="201"/>
      <c r="Z83" s="71"/>
      <c r="AA83" s="227"/>
      <c r="AB83" s="71"/>
      <c r="AC83" s="201"/>
      <c r="AD83" s="71"/>
      <c r="AE83" s="227"/>
      <c r="AF83" s="71"/>
      <c r="AG83" s="201"/>
      <c r="AH83" s="71"/>
      <c r="AI83" s="227"/>
      <c r="AJ83" s="71"/>
      <c r="AK83" s="201"/>
      <c r="AL83" s="71"/>
      <c r="AM83" s="227"/>
      <c r="AN83" s="71"/>
      <c r="AO83" s="201"/>
      <c r="AP83" s="71"/>
      <c r="AQ83" s="227"/>
      <c r="AR83" s="71"/>
      <c r="AS83" s="227"/>
      <c r="AT83" s="228"/>
      <c r="AU83" s="227"/>
      <c r="AV83" s="228"/>
      <c r="AW83" s="227"/>
      <c r="AX83" s="229" t="n">
        <f aca="false">SUM(R83+T83+V83+X83+Z83+AB83+AD83+AF83+AH83+AJ83+AL83+AN83+AP83+AR83)</f>
        <v>0</v>
      </c>
      <c r="AY83" s="230" t="n">
        <f aca="false">SUM(AX83*1000)/48</f>
        <v>0</v>
      </c>
      <c r="AZ83" s="231" t="n">
        <f aca="false">IFERROR(VLOOKUP(A83,'Site check'!$A$14:$O$47,15,0),0)</f>
        <v>0</v>
      </c>
      <c r="BA83" s="232" t="n">
        <f aca="false">SUM(AZ83*1000)/48</f>
        <v>0</v>
      </c>
      <c r="BB83" s="90" t="n">
        <f aca="false">SUM(P83/2)+E83</f>
        <v>40</v>
      </c>
      <c r="BC83" s="90" t="n">
        <f aca="false">SUM(P83/2)+F83</f>
        <v>40</v>
      </c>
    </row>
    <row r="84" customFormat="false" ht="13.15" hidden="false" customHeight="false" outlineLevel="0" collapsed="false">
      <c r="A84" s="0" t="str">
        <f aca="false">[2]Sheet1!A84</f>
        <v>SQYN01_SEC_DD770_BY1</v>
      </c>
      <c r="B84" s="0" t="str">
        <f aca="false">[2]Sheet1!B84</f>
        <v>SQYN01;DC SYS01</v>
      </c>
      <c r="C84" s="44" t="str">
        <f aca="false">[2]Sheet1!C84</f>
        <v>SQYN01</v>
      </c>
      <c r="D84" s="44" t="s">
        <v>774</v>
      </c>
      <c r="E84" s="0" t="n">
        <f aca="false">[2]Sheet1!D84</f>
        <v>40</v>
      </c>
      <c r="F84" s="0" t="n">
        <f aca="false">[2]Sheet1!E84</f>
        <v>0</v>
      </c>
      <c r="G84" s="45" t="n">
        <f aca="false">[2]Sheet1!F84</f>
        <v>44980</v>
      </c>
      <c r="H84" s="0" t="n">
        <f aca="false">[2]Sheet1!G84</f>
        <v>300</v>
      </c>
      <c r="I84" s="0" t="n">
        <f aca="false">[2]Sheet1!H84</f>
        <v>300</v>
      </c>
      <c r="J84" s="0" t="n">
        <f aca="false">[2]Sheet1!I84</f>
        <v>3</v>
      </c>
      <c r="K84" s="0" t="n">
        <f aca="false">[2]Sheet1!J84</f>
        <v>4</v>
      </c>
      <c r="L84" s="0" t="n">
        <f aca="false">[2]Sheet1!K84</f>
        <v>0</v>
      </c>
      <c r="M84" s="0" t="n">
        <f aca="false">[2]Sheet1!L84</f>
        <v>10</v>
      </c>
      <c r="N84" s="0" t="n">
        <f aca="false">[2]Sheet1!M84</f>
        <v>12</v>
      </c>
      <c r="O84" s="0" t="n">
        <f aca="false">[2]Sheet1!N84</f>
        <v>0</v>
      </c>
      <c r="P84" s="226" t="n">
        <f aca="false">SUM(AY84+BA84)</f>
        <v>0</v>
      </c>
      <c r="Q84" s="201"/>
      <c r="R84" s="71"/>
      <c r="S84" s="227"/>
      <c r="T84" s="71"/>
      <c r="U84" s="201"/>
      <c r="V84" s="71"/>
      <c r="W84" s="227"/>
      <c r="X84" s="71"/>
      <c r="Y84" s="201"/>
      <c r="Z84" s="71"/>
      <c r="AA84" s="227"/>
      <c r="AB84" s="71"/>
      <c r="AC84" s="201"/>
      <c r="AD84" s="71"/>
      <c r="AE84" s="227"/>
      <c r="AF84" s="71"/>
      <c r="AG84" s="201"/>
      <c r="AH84" s="71"/>
      <c r="AI84" s="227"/>
      <c r="AJ84" s="71"/>
      <c r="AK84" s="201"/>
      <c r="AL84" s="71"/>
      <c r="AM84" s="227"/>
      <c r="AN84" s="71"/>
      <c r="AO84" s="201"/>
      <c r="AP84" s="71"/>
      <c r="AQ84" s="227"/>
      <c r="AR84" s="71"/>
      <c r="AS84" s="227"/>
      <c r="AT84" s="228"/>
      <c r="AU84" s="227"/>
      <c r="AV84" s="228"/>
      <c r="AW84" s="227"/>
      <c r="AX84" s="229" t="n">
        <f aca="false">SUM(R84+T84+V84+X84+Z84+AB84+AD84+AF84+AH84+AJ84+AL84+AN84+AP84+AR84)</f>
        <v>0</v>
      </c>
      <c r="AY84" s="230" t="n">
        <f aca="false">SUM(AX84*1000)/48</f>
        <v>0</v>
      </c>
      <c r="AZ84" s="231" t="n">
        <f aca="false">IFERROR(VLOOKUP(A84,'Site check'!$A$14:$O$47,15,0),0)</f>
        <v>0</v>
      </c>
      <c r="BA84" s="232" t="n">
        <f aca="false">SUM(AZ84*1000)/48</f>
        <v>0</v>
      </c>
      <c r="BB84" s="90" t="n">
        <f aca="false">SUM(P84/2)+E84</f>
        <v>40</v>
      </c>
      <c r="BC84" s="90" t="n">
        <f aca="false">SUM(P84/2)+F84</f>
        <v>0</v>
      </c>
    </row>
    <row r="85" customFormat="false" ht="13.15" hidden="false" customHeight="false" outlineLevel="0" collapsed="false">
      <c r="A85" s="0" t="str">
        <f aca="false">[2]Sheet1!A85</f>
        <v>SQYN01_SEC_DD770_DE1</v>
      </c>
      <c r="B85" s="0" t="str">
        <f aca="false">[2]Sheet1!B85</f>
        <v>SQYN01;DC SYS03</v>
      </c>
      <c r="C85" s="44" t="str">
        <f aca="false">[2]Sheet1!C85</f>
        <v>SQYN01</v>
      </c>
      <c r="D85" s="44" t="s">
        <v>774</v>
      </c>
      <c r="E85" s="0" t="n">
        <f aca="false">[2]Sheet1!D85</f>
        <v>210</v>
      </c>
      <c r="F85" s="0" t="n">
        <f aca="false">[2]Sheet1!E85</f>
        <v>210</v>
      </c>
      <c r="G85" s="45" t="n">
        <f aca="false">[2]Sheet1!F85</f>
        <v>44980</v>
      </c>
      <c r="H85" s="0" t="n">
        <f aca="false">[2]Sheet1!G85</f>
        <v>300</v>
      </c>
      <c r="I85" s="0" t="n">
        <f aca="false">[2]Sheet1!H85</f>
        <v>300</v>
      </c>
      <c r="J85" s="0" t="n">
        <f aca="false">[2]Sheet1!I85</f>
        <v>2</v>
      </c>
      <c r="K85" s="0" t="n">
        <f aca="false">[2]Sheet1!J85</f>
        <v>0</v>
      </c>
      <c r="L85" s="0" t="n">
        <f aca="false">[2]Sheet1!K85</f>
        <v>0</v>
      </c>
      <c r="M85" s="0" t="n">
        <f aca="false">[2]Sheet1!L85</f>
        <v>2</v>
      </c>
      <c r="N85" s="0" t="n">
        <f aca="false">[2]Sheet1!M85</f>
        <v>10</v>
      </c>
      <c r="O85" s="0" t="n">
        <f aca="false">[2]Sheet1!N85</f>
        <v>0</v>
      </c>
      <c r="P85" s="226" t="n">
        <f aca="false">SUM(AY85+BA85)</f>
        <v>0</v>
      </c>
      <c r="Q85" s="201"/>
      <c r="R85" s="71"/>
      <c r="S85" s="227"/>
      <c r="T85" s="71"/>
      <c r="U85" s="201"/>
      <c r="V85" s="71"/>
      <c r="W85" s="227"/>
      <c r="X85" s="71"/>
      <c r="Y85" s="201"/>
      <c r="Z85" s="71"/>
      <c r="AA85" s="227"/>
      <c r="AB85" s="71"/>
      <c r="AC85" s="201"/>
      <c r="AD85" s="71"/>
      <c r="AE85" s="227"/>
      <c r="AF85" s="71"/>
      <c r="AG85" s="201"/>
      <c r="AH85" s="71"/>
      <c r="AI85" s="227"/>
      <c r="AJ85" s="71"/>
      <c r="AK85" s="201"/>
      <c r="AL85" s="71"/>
      <c r="AM85" s="227"/>
      <c r="AN85" s="71"/>
      <c r="AO85" s="201"/>
      <c r="AP85" s="71"/>
      <c r="AQ85" s="227"/>
      <c r="AR85" s="71"/>
      <c r="AS85" s="227"/>
      <c r="AT85" s="228"/>
      <c r="AU85" s="227"/>
      <c r="AV85" s="228"/>
      <c r="AW85" s="227"/>
      <c r="AX85" s="229" t="n">
        <f aca="false">SUM(R85+T85+V85+X85+Z85+AB85+AD85+AF85+AH85+AJ85+AL85+AN85+AP85+AR85)</f>
        <v>0</v>
      </c>
      <c r="AY85" s="230" t="n">
        <f aca="false">SUM(AX85*1000)/48</f>
        <v>0</v>
      </c>
      <c r="AZ85" s="231" t="n">
        <f aca="false">IFERROR(VLOOKUP(A85,'Site check'!$A$14:$O$47,15,0),0)</f>
        <v>0</v>
      </c>
      <c r="BA85" s="232" t="n">
        <f aca="false">SUM(AZ85*1000)/48</f>
        <v>0</v>
      </c>
      <c r="BB85" s="90" t="n">
        <f aca="false">SUM(P85/2)+E85</f>
        <v>210</v>
      </c>
      <c r="BC85" s="90" t="n">
        <f aca="false">SUM(P85/2)+F85</f>
        <v>210</v>
      </c>
    </row>
    <row r="86" customFormat="false" ht="13.15" hidden="false" customHeight="false" outlineLevel="0" collapsed="false">
      <c r="A86" s="0" t="str">
        <f aca="false">[2]Sheet1!A86</f>
        <v>SQYN01_SEC_DD770_DN1</v>
      </c>
      <c r="B86" s="0" t="str">
        <f aca="false">[2]Sheet1!B86</f>
        <v>SQYN01;DC SYS01</v>
      </c>
      <c r="C86" s="44" t="str">
        <f aca="false">[2]Sheet1!C86</f>
        <v>SQYN01</v>
      </c>
      <c r="D86" s="44" t="s">
        <v>774</v>
      </c>
      <c r="E86" s="0" t="n">
        <f aca="false">[2]Sheet1!D86</f>
        <v>60</v>
      </c>
      <c r="F86" s="0" t="n">
        <f aca="false">[2]Sheet1!E86</f>
        <v>60</v>
      </c>
      <c r="G86" s="45" t="n">
        <f aca="false">[2]Sheet1!F86</f>
        <v>44980</v>
      </c>
      <c r="H86" s="0" t="n">
        <f aca="false">[2]Sheet1!G86</f>
        <v>300</v>
      </c>
      <c r="I86" s="0" t="n">
        <f aca="false">[2]Sheet1!H86</f>
        <v>300</v>
      </c>
      <c r="J86" s="0" t="n">
        <f aca="false">[2]Sheet1!I86</f>
        <v>6</v>
      </c>
      <c r="K86" s="0" t="n">
        <f aca="false">[2]Sheet1!J86</f>
        <v>4</v>
      </c>
      <c r="L86" s="0" t="n">
        <f aca="false">[2]Sheet1!K86</f>
        <v>6</v>
      </c>
      <c r="M86" s="0" t="n">
        <f aca="false">[2]Sheet1!L86</f>
        <v>22</v>
      </c>
      <c r="N86" s="0" t="n">
        <f aca="false">[2]Sheet1!M86</f>
        <v>2</v>
      </c>
      <c r="O86" s="0" t="n">
        <f aca="false">[2]Sheet1!N86</f>
        <v>0</v>
      </c>
      <c r="P86" s="226" t="n">
        <f aca="false">SUM(AY86+BA86)</f>
        <v>0</v>
      </c>
      <c r="Q86" s="201"/>
      <c r="R86" s="71"/>
      <c r="S86" s="227"/>
      <c r="T86" s="71"/>
      <c r="U86" s="201"/>
      <c r="V86" s="71"/>
      <c r="W86" s="227"/>
      <c r="X86" s="71"/>
      <c r="Y86" s="201"/>
      <c r="Z86" s="71"/>
      <c r="AA86" s="227"/>
      <c r="AB86" s="71"/>
      <c r="AC86" s="201"/>
      <c r="AD86" s="71"/>
      <c r="AE86" s="227"/>
      <c r="AF86" s="71"/>
      <c r="AG86" s="201"/>
      <c r="AH86" s="71"/>
      <c r="AI86" s="227"/>
      <c r="AJ86" s="71"/>
      <c r="AK86" s="201"/>
      <c r="AL86" s="71"/>
      <c r="AM86" s="227"/>
      <c r="AN86" s="71"/>
      <c r="AO86" s="201"/>
      <c r="AP86" s="71"/>
      <c r="AQ86" s="227"/>
      <c r="AR86" s="71"/>
      <c r="AS86" s="227"/>
      <c r="AT86" s="228"/>
      <c r="AU86" s="227"/>
      <c r="AV86" s="228"/>
      <c r="AW86" s="227"/>
      <c r="AX86" s="229" t="n">
        <f aca="false">SUM(R86+T86+V86+X86+Z86+AB86+AD86+AF86+AH86+AJ86+AL86+AN86+AP86+AR86)</f>
        <v>0</v>
      </c>
      <c r="AY86" s="230" t="n">
        <f aca="false">SUM(AX86*1000)/48</f>
        <v>0</v>
      </c>
      <c r="AZ86" s="231" t="n">
        <f aca="false">IFERROR(VLOOKUP(A86,'Site check'!$A$14:$O$47,15,0),0)</f>
        <v>0</v>
      </c>
      <c r="BA86" s="232" t="n">
        <f aca="false">SUM(AZ86*1000)/48</f>
        <v>0</v>
      </c>
      <c r="BB86" s="90" t="n">
        <f aca="false">SUM(P86/2)+E86</f>
        <v>60</v>
      </c>
      <c r="BC86" s="90" t="n">
        <f aca="false">SUM(P86/2)+F86</f>
        <v>60</v>
      </c>
    </row>
    <row r="87" customFormat="false" ht="13.15" hidden="false" customHeight="false" outlineLevel="0" collapsed="false">
      <c r="A87" s="0" t="str">
        <f aca="false">[2]Sheet1!A87</f>
        <v>SQYN02_PDU1A_B</v>
      </c>
      <c r="B87" s="0" t="str">
        <f aca="false">[2]Sheet1!B87</f>
        <v>SQYN02;DC SYS08A</v>
      </c>
      <c r="C87" s="44" t="str">
        <f aca="false">[2]Sheet1!C87</f>
        <v>SQYN02</v>
      </c>
      <c r="D87" s="44" t="s">
        <v>776</v>
      </c>
      <c r="E87" s="0" t="n">
        <f aca="false">[2]Sheet1!D87</f>
        <v>267.52</v>
      </c>
      <c r="F87" s="0" t="n">
        <f aca="false">[2]Sheet1!E87</f>
        <v>292.13</v>
      </c>
      <c r="G87" s="45" t="n">
        <f aca="false">[2]Sheet1!F87</f>
        <v>45631</v>
      </c>
      <c r="H87" s="0" t="n">
        <f aca="false">[2]Sheet1!G87</f>
        <v>600</v>
      </c>
      <c r="I87" s="0" t="n">
        <f aca="false">[2]Sheet1!H87</f>
        <v>600</v>
      </c>
      <c r="J87" s="0" t="n">
        <f aca="false">[2]Sheet1!I87</f>
        <v>0</v>
      </c>
      <c r="K87" s="0" t="n">
        <f aca="false">[2]Sheet1!J87</f>
        <v>0</v>
      </c>
      <c r="L87" s="0" t="n">
        <f aca="false">[2]Sheet1!K87</f>
        <v>0</v>
      </c>
      <c r="M87" s="0" t="n">
        <f aca="false">[2]Sheet1!L87</f>
        <v>0</v>
      </c>
      <c r="N87" s="0" t="n">
        <f aca="false">[2]Sheet1!M87</f>
        <v>0</v>
      </c>
      <c r="O87" s="0" t="n">
        <f aca="false">[2]Sheet1!N87</f>
        <v>0</v>
      </c>
      <c r="P87" s="226" t="n">
        <f aca="false">SUM(AY87+BA87)</f>
        <v>379.166666666667</v>
      </c>
      <c r="Q87" s="170" t="s">
        <v>1469</v>
      </c>
      <c r="R87" s="234" t="n">
        <v>2.2</v>
      </c>
      <c r="S87" s="170" t="s">
        <v>1470</v>
      </c>
      <c r="T87" s="234"/>
      <c r="U87" s="170" t="s">
        <v>1389</v>
      </c>
      <c r="V87" s="234" t="n">
        <v>2.4</v>
      </c>
      <c r="W87" s="170" t="s">
        <v>1391</v>
      </c>
      <c r="X87" s="234" t="n">
        <v>2</v>
      </c>
      <c r="Y87" s="170" t="s">
        <v>1392</v>
      </c>
      <c r="Z87" s="234" t="n">
        <v>1.9</v>
      </c>
      <c r="AA87" s="181" t="s">
        <v>1393</v>
      </c>
      <c r="AB87" s="237" t="n">
        <v>0.8</v>
      </c>
      <c r="AC87" s="201" t="s">
        <v>1396</v>
      </c>
      <c r="AD87" s="71" t="n">
        <v>3</v>
      </c>
      <c r="AE87" s="202" t="s">
        <v>1394</v>
      </c>
      <c r="AF87" s="242" t="n">
        <v>3.9</v>
      </c>
      <c r="AG87" s="177" t="s">
        <v>1471</v>
      </c>
      <c r="AH87" s="242" t="n">
        <v>2</v>
      </c>
      <c r="AI87" s="212"/>
      <c r="AJ87" s="71"/>
      <c r="AK87" s="201"/>
      <c r="AL87" s="71"/>
      <c r="AM87" s="227"/>
      <c r="AN87" s="71"/>
      <c r="AO87" s="201"/>
      <c r="AP87" s="71"/>
      <c r="AQ87" s="227"/>
      <c r="AR87" s="71"/>
      <c r="AS87" s="227"/>
      <c r="AT87" s="228"/>
      <c r="AU87" s="227"/>
      <c r="AV87" s="228"/>
      <c r="AW87" s="227"/>
      <c r="AX87" s="229" t="n">
        <f aca="false">SUM(R87+T87+V87+X87+Z87+AB87+AD87+AF87+AH87+AJ87+AL87+AN87+AP87+AR87)</f>
        <v>18.2</v>
      </c>
      <c r="AY87" s="230" t="n">
        <f aca="false">SUM(AX87*1000)/48</f>
        <v>379.166666666667</v>
      </c>
      <c r="AZ87" s="231" t="n">
        <f aca="false">IFERROR(VLOOKUP(A87,'Site check'!$A$14:$O$47,15,0),0)</f>
        <v>0</v>
      </c>
      <c r="BA87" s="232" t="n">
        <f aca="false">SUM(AZ87*1000)/48</f>
        <v>0</v>
      </c>
      <c r="BB87" s="90" t="n">
        <f aca="false">SUM(P87/2)+E87</f>
        <v>457.103333333333</v>
      </c>
      <c r="BC87" s="90" t="n">
        <f aca="false">SUM(P87/2)+F87</f>
        <v>481.713333333333</v>
      </c>
    </row>
    <row r="88" customFormat="false" ht="13.15" hidden="false" customHeight="false" outlineLevel="0" collapsed="false">
      <c r="A88" s="0" t="str">
        <f aca="false">[2]Sheet1!A88</f>
        <v>SQYN02_SEC_DCDB_JJJK07</v>
      </c>
      <c r="B88" s="0" t="str">
        <f aca="false">[2]Sheet1!B88</f>
        <v>SQYN02;DC SYS09A</v>
      </c>
      <c r="C88" s="44" t="str">
        <f aca="false">[2]Sheet1!C88</f>
        <v>SQYN02</v>
      </c>
      <c r="D88" s="44" t="s">
        <v>776</v>
      </c>
      <c r="E88" s="0" t="n">
        <f aca="false">[2]Sheet1!D88</f>
        <v>284</v>
      </c>
      <c r="F88" s="0" t="n">
        <f aca="false">[2]Sheet1!E88</f>
        <v>275</v>
      </c>
      <c r="G88" s="45" t="n">
        <f aca="false">[2]Sheet1!F88</f>
        <v>45078</v>
      </c>
      <c r="H88" s="0" t="n">
        <f aca="false">[2]Sheet1!G88</f>
        <v>300</v>
      </c>
      <c r="I88" s="0" t="n">
        <f aca="false">[2]Sheet1!H88</f>
        <v>300</v>
      </c>
      <c r="J88" s="0" t="n">
        <f aca="false">[2]Sheet1!I88</f>
        <v>0</v>
      </c>
      <c r="K88" s="0" t="n">
        <f aca="false">[2]Sheet1!J88</f>
        <v>1</v>
      </c>
      <c r="L88" s="0" t="n">
        <f aca="false">[2]Sheet1!K88</f>
        <v>1</v>
      </c>
      <c r="M88" s="0" t="n">
        <f aca="false">[2]Sheet1!L88</f>
        <v>1</v>
      </c>
      <c r="N88" s="0" t="n">
        <f aca="false">[2]Sheet1!M88</f>
        <v>0</v>
      </c>
      <c r="O88" s="0" t="n">
        <f aca="false">[2]Sheet1!N88</f>
        <v>17</v>
      </c>
      <c r="P88" s="226" t="n">
        <f aca="false">SUM(AY88+BA88)</f>
        <v>0</v>
      </c>
      <c r="Q88" s="201"/>
      <c r="R88" s="71"/>
      <c r="S88" s="227"/>
      <c r="T88" s="71"/>
      <c r="U88" s="201"/>
      <c r="V88" s="71"/>
      <c r="W88" s="227"/>
      <c r="X88" s="71"/>
      <c r="Y88" s="201"/>
      <c r="Z88" s="71"/>
      <c r="AA88" s="227"/>
      <c r="AB88" s="71"/>
      <c r="AC88" s="201"/>
      <c r="AD88" s="71"/>
      <c r="AE88" s="227"/>
      <c r="AF88" s="71"/>
      <c r="AG88" s="201"/>
      <c r="AH88" s="71"/>
      <c r="AI88" s="227"/>
      <c r="AJ88" s="71"/>
      <c r="AK88" s="201"/>
      <c r="AL88" s="71"/>
      <c r="AM88" s="227"/>
      <c r="AN88" s="71"/>
      <c r="AO88" s="201"/>
      <c r="AP88" s="71"/>
      <c r="AQ88" s="227"/>
      <c r="AR88" s="71"/>
      <c r="AS88" s="227"/>
      <c r="AT88" s="228"/>
      <c r="AU88" s="227"/>
      <c r="AV88" s="228"/>
      <c r="AW88" s="227"/>
      <c r="AX88" s="229" t="n">
        <f aca="false">SUM(R88+T88+V88+X88+Z88+AB88+AD88+AF88+AH88+AJ88+AL88+AN88+AP88+AR88)</f>
        <v>0</v>
      </c>
      <c r="AY88" s="230" t="n">
        <f aca="false">SUM(AX88*1000)/48</f>
        <v>0</v>
      </c>
      <c r="AZ88" s="231" t="n">
        <f aca="false">IFERROR(VLOOKUP(A88,'Site check'!$A$14:$O$47,15,0),0)</f>
        <v>0</v>
      </c>
      <c r="BA88" s="232" t="n">
        <f aca="false">SUM(AZ88*1000)/48</f>
        <v>0</v>
      </c>
      <c r="BB88" s="90" t="n">
        <f aca="false">SUM(P88/2)+E88</f>
        <v>284</v>
      </c>
      <c r="BC88" s="90" t="n">
        <f aca="false">SUM(P88/2)+F88</f>
        <v>275</v>
      </c>
    </row>
    <row r="89" customFormat="false" ht="13.15" hidden="false" customHeight="false" outlineLevel="0" collapsed="false">
      <c r="A89" s="0" t="str">
        <f aca="false">[2]Sheet1!A89</f>
        <v>SQYN02_SEC_DD770_FA1</v>
      </c>
      <c r="B89" s="0" t="str">
        <f aca="false">[2]Sheet1!B89</f>
        <v>SQYN02;DC SYS08A</v>
      </c>
      <c r="C89" s="44" t="str">
        <f aca="false">[2]Sheet1!C89</f>
        <v>SQYN02</v>
      </c>
      <c r="D89" s="44" t="s">
        <v>776</v>
      </c>
      <c r="E89" s="0" t="n">
        <f aca="false">[2]Sheet1!D89</f>
        <v>70</v>
      </c>
      <c r="F89" s="0" t="n">
        <f aca="false">[2]Sheet1!E89</f>
        <v>100</v>
      </c>
      <c r="G89" s="45" t="n">
        <f aca="false">[2]Sheet1!F89</f>
        <v>45034</v>
      </c>
      <c r="H89" s="0" t="n">
        <f aca="false">[2]Sheet1!G89</f>
        <v>300</v>
      </c>
      <c r="I89" s="0" t="n">
        <f aca="false">[2]Sheet1!H89</f>
        <v>300</v>
      </c>
      <c r="J89" s="0" t="n">
        <f aca="false">[2]Sheet1!I89</f>
        <v>6</v>
      </c>
      <c r="K89" s="0" t="n">
        <f aca="false">[2]Sheet1!J89</f>
        <v>2</v>
      </c>
      <c r="L89" s="0" t="n">
        <f aca="false">[2]Sheet1!K89</f>
        <v>0</v>
      </c>
      <c r="M89" s="0" t="n">
        <f aca="false">[2]Sheet1!L89</f>
        <v>19</v>
      </c>
      <c r="N89" s="0" t="n">
        <f aca="false">[2]Sheet1!M89</f>
        <v>11</v>
      </c>
      <c r="O89" s="0" t="n">
        <f aca="false">[2]Sheet1!N89</f>
        <v>0</v>
      </c>
      <c r="P89" s="226" t="n">
        <f aca="false">SUM(AY89+BA89)</f>
        <v>0</v>
      </c>
      <c r="Q89" s="201"/>
      <c r="R89" s="71"/>
      <c r="S89" s="227"/>
      <c r="T89" s="71"/>
      <c r="U89" s="201"/>
      <c r="V89" s="71"/>
      <c r="W89" s="227"/>
      <c r="X89" s="71"/>
      <c r="Y89" s="201"/>
      <c r="Z89" s="71"/>
      <c r="AA89" s="227"/>
      <c r="AB89" s="71"/>
      <c r="AC89" s="201"/>
      <c r="AD89" s="71"/>
      <c r="AE89" s="227"/>
      <c r="AF89" s="71"/>
      <c r="AG89" s="201"/>
      <c r="AH89" s="71"/>
      <c r="AI89" s="227"/>
      <c r="AJ89" s="71"/>
      <c r="AK89" s="201"/>
      <c r="AL89" s="71"/>
      <c r="AM89" s="227"/>
      <c r="AN89" s="71"/>
      <c r="AO89" s="201"/>
      <c r="AP89" s="71"/>
      <c r="AQ89" s="227"/>
      <c r="AR89" s="71"/>
      <c r="AS89" s="227"/>
      <c r="AT89" s="228"/>
      <c r="AU89" s="227"/>
      <c r="AV89" s="228"/>
      <c r="AW89" s="227"/>
      <c r="AX89" s="229" t="n">
        <f aca="false">SUM(R89+T89+V89+X89+Z89+AB89+AD89+AF89+AH89+AJ89+AL89+AN89+AP89+AR89)</f>
        <v>0</v>
      </c>
      <c r="AY89" s="230" t="n">
        <f aca="false">SUM(AX89*1000)/48</f>
        <v>0</v>
      </c>
      <c r="AZ89" s="231" t="n">
        <f aca="false">IFERROR(VLOOKUP(A89,'Site check'!$A$14:$O$47,15,0),0)</f>
        <v>0</v>
      </c>
      <c r="BA89" s="232" t="n">
        <f aca="false">SUM(AZ89*1000)/48</f>
        <v>0</v>
      </c>
      <c r="BB89" s="90" t="n">
        <f aca="false">SUM(P89/2)+E89</f>
        <v>70</v>
      </c>
      <c r="BC89" s="90" t="n">
        <f aca="false">SUM(P89/2)+F89</f>
        <v>100</v>
      </c>
    </row>
    <row r="90" customFormat="false" ht="13.15" hidden="false" customHeight="false" outlineLevel="0" collapsed="false">
      <c r="A90" s="0" t="str">
        <f aca="false">[2]Sheet1!A90</f>
        <v>SQYN02_SEC_DD770_FE1</v>
      </c>
      <c r="B90" s="0" t="str">
        <f aca="false">[2]Sheet1!B90</f>
        <v>SQYN02;DC SYS08A</v>
      </c>
      <c r="C90" s="44" t="str">
        <f aca="false">[2]Sheet1!C90</f>
        <v>SQYN02</v>
      </c>
      <c r="D90" s="44" t="s">
        <v>776</v>
      </c>
      <c r="E90" s="0" t="n">
        <f aca="false">[2]Sheet1!D90</f>
        <v>145</v>
      </c>
      <c r="F90" s="0" t="n">
        <f aca="false">[2]Sheet1!E90</f>
        <v>165</v>
      </c>
      <c r="G90" s="45" t="n">
        <f aca="false">[2]Sheet1!F90</f>
        <v>45034</v>
      </c>
      <c r="H90" s="0" t="n">
        <f aca="false">[2]Sheet1!G90</f>
        <v>300</v>
      </c>
      <c r="I90" s="0" t="n">
        <f aca="false">[2]Sheet1!H90</f>
        <v>300</v>
      </c>
      <c r="J90" s="0" t="n">
        <f aca="false">[2]Sheet1!I90</f>
        <v>6</v>
      </c>
      <c r="K90" s="0" t="n">
        <f aca="false">[2]Sheet1!J90</f>
        <v>0</v>
      </c>
      <c r="L90" s="0" t="n">
        <f aca="false">[2]Sheet1!K90</f>
        <v>0</v>
      </c>
      <c r="M90" s="0" t="n">
        <f aca="false">[2]Sheet1!L90</f>
        <v>19</v>
      </c>
      <c r="N90" s="0" t="n">
        <f aca="false">[2]Sheet1!M90</f>
        <v>11</v>
      </c>
      <c r="O90" s="0" t="n">
        <f aca="false">[2]Sheet1!N90</f>
        <v>0</v>
      </c>
      <c r="P90" s="226" t="n">
        <f aca="false">SUM(AY90+BA90)</f>
        <v>0</v>
      </c>
      <c r="Q90" s="201"/>
      <c r="R90" s="71"/>
      <c r="S90" s="227"/>
      <c r="T90" s="71"/>
      <c r="U90" s="201"/>
      <c r="V90" s="71"/>
      <c r="W90" s="227"/>
      <c r="X90" s="71"/>
      <c r="Y90" s="201"/>
      <c r="Z90" s="71"/>
      <c r="AA90" s="227"/>
      <c r="AB90" s="71"/>
      <c r="AC90" s="201"/>
      <c r="AD90" s="71"/>
      <c r="AE90" s="227"/>
      <c r="AF90" s="71"/>
      <c r="AG90" s="201"/>
      <c r="AH90" s="71"/>
      <c r="AI90" s="227"/>
      <c r="AJ90" s="71"/>
      <c r="AK90" s="201"/>
      <c r="AL90" s="71"/>
      <c r="AM90" s="227"/>
      <c r="AN90" s="71"/>
      <c r="AO90" s="201"/>
      <c r="AP90" s="71"/>
      <c r="AQ90" s="227"/>
      <c r="AR90" s="71"/>
      <c r="AS90" s="227"/>
      <c r="AT90" s="228"/>
      <c r="AU90" s="227"/>
      <c r="AV90" s="228"/>
      <c r="AW90" s="227"/>
      <c r="AX90" s="229" t="n">
        <f aca="false">SUM(R90+T90+V90+X90+Z90+AB90+AD90+AF90+AH90+AJ90+AL90+AN90+AP90+AR90)</f>
        <v>0</v>
      </c>
      <c r="AY90" s="230" t="n">
        <f aca="false">SUM(AX90*1000)/48</f>
        <v>0</v>
      </c>
      <c r="AZ90" s="231" t="n">
        <f aca="false">IFERROR(VLOOKUP(A90,'Site check'!$A$14:$O$47,15,0),0)</f>
        <v>0</v>
      </c>
      <c r="BA90" s="232" t="n">
        <f aca="false">SUM(AZ90*1000)/48</f>
        <v>0</v>
      </c>
      <c r="BB90" s="90" t="n">
        <f aca="false">SUM(P90/2)+E90</f>
        <v>145</v>
      </c>
      <c r="BC90" s="90" t="n">
        <f aca="false">SUM(P90/2)+F90</f>
        <v>165</v>
      </c>
    </row>
    <row r="91" customFormat="false" ht="13.15" hidden="false" customHeight="false" outlineLevel="0" collapsed="false">
      <c r="A91" s="0" t="str">
        <f aca="false">[2]Sheet1!A91</f>
        <v>SQYN02_SEC_DD770_GL1</v>
      </c>
      <c r="B91" s="0" t="str">
        <f aca="false">[2]Sheet1!B91</f>
        <v>SQYN02;DC SYS08A</v>
      </c>
      <c r="C91" s="44" t="str">
        <f aca="false">[2]Sheet1!C91</f>
        <v>SQYN02</v>
      </c>
      <c r="D91" s="44" t="s">
        <v>776</v>
      </c>
      <c r="E91" s="0" t="n">
        <f aca="false">[2]Sheet1!D91</f>
        <v>90</v>
      </c>
      <c r="F91" s="0" t="n">
        <f aca="false">[2]Sheet1!E91</f>
        <v>90</v>
      </c>
      <c r="G91" s="45" t="n">
        <f aca="false">[2]Sheet1!F91</f>
        <v>45034</v>
      </c>
      <c r="H91" s="0" t="n">
        <f aca="false">[2]Sheet1!G91</f>
        <v>300</v>
      </c>
      <c r="I91" s="0" t="n">
        <f aca="false">[2]Sheet1!H91</f>
        <v>300</v>
      </c>
      <c r="J91" s="0" t="n">
        <f aca="false">[2]Sheet1!I91</f>
        <v>6</v>
      </c>
      <c r="K91" s="0" t="n">
        <f aca="false">[2]Sheet1!J91</f>
        <v>5</v>
      </c>
      <c r="L91" s="0" t="n">
        <f aca="false">[2]Sheet1!K91</f>
        <v>0</v>
      </c>
      <c r="M91" s="0" t="n">
        <f aca="false">[2]Sheet1!L91</f>
        <v>17</v>
      </c>
      <c r="N91" s="0" t="n">
        <f aca="false">[2]Sheet1!M91</f>
        <v>11</v>
      </c>
      <c r="O91" s="0" t="n">
        <f aca="false">[2]Sheet1!N91</f>
        <v>0</v>
      </c>
      <c r="P91" s="226" t="n">
        <f aca="false">SUM(AY91+BA91)</f>
        <v>0</v>
      </c>
      <c r="Q91" s="201"/>
      <c r="R91" s="71"/>
      <c r="S91" s="227"/>
      <c r="T91" s="71"/>
      <c r="U91" s="201"/>
      <c r="V91" s="71"/>
      <c r="W91" s="227"/>
      <c r="X91" s="71"/>
      <c r="Y91" s="201"/>
      <c r="Z91" s="71"/>
      <c r="AA91" s="227"/>
      <c r="AB91" s="71"/>
      <c r="AC91" s="201"/>
      <c r="AD91" s="71"/>
      <c r="AE91" s="227"/>
      <c r="AF91" s="71"/>
      <c r="AG91" s="201"/>
      <c r="AH91" s="71"/>
      <c r="AI91" s="227"/>
      <c r="AJ91" s="71"/>
      <c r="AK91" s="201"/>
      <c r="AL91" s="71"/>
      <c r="AM91" s="227"/>
      <c r="AN91" s="71"/>
      <c r="AO91" s="201"/>
      <c r="AP91" s="71"/>
      <c r="AQ91" s="227"/>
      <c r="AR91" s="71"/>
      <c r="AS91" s="227"/>
      <c r="AT91" s="228"/>
      <c r="AU91" s="227"/>
      <c r="AV91" s="228"/>
      <c r="AW91" s="227"/>
      <c r="AX91" s="229" t="n">
        <f aca="false">SUM(R91+T91+V91+X91+Z91+AB91+AD91+AF91+AH91+AJ91+AL91+AN91+AP91+AR91)</f>
        <v>0</v>
      </c>
      <c r="AY91" s="230" t="n">
        <f aca="false">SUM(AX91*1000)/48</f>
        <v>0</v>
      </c>
      <c r="AZ91" s="231" t="n">
        <f aca="false">IFERROR(VLOOKUP(A91,'Site check'!$A$14:$O$47,15,0),0)</f>
        <v>0</v>
      </c>
      <c r="BA91" s="232" t="n">
        <f aca="false">SUM(AZ91*1000)/48</f>
        <v>0</v>
      </c>
      <c r="BB91" s="90" t="n">
        <f aca="false">SUM(P91/2)+E91</f>
        <v>90</v>
      </c>
      <c r="BC91" s="90" t="n">
        <f aca="false">SUM(P91/2)+F91</f>
        <v>90</v>
      </c>
    </row>
    <row r="92" customFormat="false" ht="13.15" hidden="false" customHeight="false" outlineLevel="0" collapsed="false">
      <c r="A92" s="0" t="str">
        <f aca="false">[2]Sheet1!A92</f>
        <v>SQYN02_SEC_DD770_GR1</v>
      </c>
      <c r="B92" s="0" t="str">
        <f aca="false">[2]Sheet1!B92</f>
        <v>SQYN02;DC SYS08A</v>
      </c>
      <c r="C92" s="44" t="str">
        <f aca="false">[2]Sheet1!C92</f>
        <v>SQYN02</v>
      </c>
      <c r="D92" s="44" t="s">
        <v>776</v>
      </c>
      <c r="E92" s="0" t="n">
        <f aca="false">[2]Sheet1!D92</f>
        <v>130</v>
      </c>
      <c r="F92" s="0" t="n">
        <f aca="false">[2]Sheet1!E92</f>
        <v>140</v>
      </c>
      <c r="G92" s="45" t="n">
        <f aca="false">[2]Sheet1!F92</f>
        <v>45034</v>
      </c>
      <c r="H92" s="0" t="n">
        <f aca="false">[2]Sheet1!G92</f>
        <v>300</v>
      </c>
      <c r="I92" s="0" t="n">
        <f aca="false">[2]Sheet1!H92</f>
        <v>300</v>
      </c>
      <c r="J92" s="0" t="n">
        <f aca="false">[2]Sheet1!I92</f>
        <v>0</v>
      </c>
      <c r="K92" s="0" t="n">
        <f aca="false">[2]Sheet1!J92</f>
        <v>6</v>
      </c>
      <c r="L92" s="0" t="n">
        <f aca="false">[2]Sheet1!K92</f>
        <v>0</v>
      </c>
      <c r="M92" s="0" t="n">
        <f aca="false">[2]Sheet1!L92</f>
        <v>16</v>
      </c>
      <c r="N92" s="0" t="n">
        <f aca="false">[2]Sheet1!M92</f>
        <v>0</v>
      </c>
      <c r="O92" s="0" t="n">
        <f aca="false">[2]Sheet1!N92</f>
        <v>0</v>
      </c>
      <c r="P92" s="226" t="n">
        <f aca="false">SUM(AY92+BA92)</f>
        <v>83.3333333333333</v>
      </c>
      <c r="Q92" s="201" t="s">
        <v>1397</v>
      </c>
      <c r="R92" s="71" t="n">
        <v>4</v>
      </c>
      <c r="S92" s="227"/>
      <c r="T92" s="71"/>
      <c r="U92" s="201"/>
      <c r="V92" s="71"/>
      <c r="W92" s="227"/>
      <c r="X92" s="71"/>
      <c r="Y92" s="201"/>
      <c r="Z92" s="71"/>
      <c r="AA92" s="227"/>
      <c r="AB92" s="71"/>
      <c r="AC92" s="201"/>
      <c r="AD92" s="71"/>
      <c r="AE92" s="227"/>
      <c r="AF92" s="71"/>
      <c r="AG92" s="201"/>
      <c r="AH92" s="71"/>
      <c r="AI92" s="227"/>
      <c r="AJ92" s="71"/>
      <c r="AK92" s="201"/>
      <c r="AL92" s="71"/>
      <c r="AM92" s="227"/>
      <c r="AN92" s="71"/>
      <c r="AO92" s="201"/>
      <c r="AP92" s="71"/>
      <c r="AQ92" s="227"/>
      <c r="AR92" s="71"/>
      <c r="AS92" s="227"/>
      <c r="AT92" s="228"/>
      <c r="AU92" s="227"/>
      <c r="AV92" s="228"/>
      <c r="AW92" s="227"/>
      <c r="AX92" s="229" t="n">
        <f aca="false">SUM(R92+T92+V92+X92+Z92+AB92+AD92+AF92+AH92+AJ92+AL92+AN92+AP92+AR92)</f>
        <v>4</v>
      </c>
      <c r="AY92" s="230" t="n">
        <f aca="false">SUM(AX92*1000)/48</f>
        <v>83.3333333333333</v>
      </c>
      <c r="AZ92" s="231" t="n">
        <f aca="false">IFERROR(VLOOKUP(A92,'Site check'!$A$14:$O$47,15,0),0)</f>
        <v>0</v>
      </c>
      <c r="BA92" s="232" t="n">
        <f aca="false">SUM(AZ92*1000)/48</f>
        <v>0</v>
      </c>
      <c r="BB92" s="90" t="n">
        <f aca="false">SUM(P92/2)+E92</f>
        <v>171.666666666667</v>
      </c>
      <c r="BC92" s="90" t="n">
        <f aca="false">SUM(P92/2)+F92</f>
        <v>181.666666666667</v>
      </c>
    </row>
    <row r="93" customFormat="false" ht="13.15" hidden="false" customHeight="false" outlineLevel="0" collapsed="false">
      <c r="A93" s="0" t="str">
        <f aca="false">[2]Sheet1!A93</f>
        <v>SQYN02_SEC_DD770_HM13</v>
      </c>
      <c r="B93" s="0" t="str">
        <f aca="false">[2]Sheet1!B93</f>
        <v>SQYN02;DC SYS09A</v>
      </c>
      <c r="C93" s="44" t="str">
        <f aca="false">[2]Sheet1!C93</f>
        <v>SQYN02</v>
      </c>
      <c r="D93" s="44" t="s">
        <v>776</v>
      </c>
      <c r="E93" s="0" t="n">
        <f aca="false">[2]Sheet1!D93</f>
        <v>260</v>
      </c>
      <c r="F93" s="0" t="n">
        <f aca="false">[2]Sheet1!E93</f>
        <v>290</v>
      </c>
      <c r="G93" s="45" t="n">
        <f aca="false">[2]Sheet1!F93</f>
        <v>45034</v>
      </c>
      <c r="H93" s="0" t="n">
        <f aca="false">[2]Sheet1!G93</f>
        <v>300</v>
      </c>
      <c r="I93" s="0" t="n">
        <f aca="false">[2]Sheet1!H93</f>
        <v>300</v>
      </c>
      <c r="J93" s="0" t="n">
        <f aca="false">[2]Sheet1!I93</f>
        <v>4</v>
      </c>
      <c r="K93" s="0" t="n">
        <f aca="false">[2]Sheet1!J93</f>
        <v>4</v>
      </c>
      <c r="L93" s="0" t="n">
        <f aca="false">[2]Sheet1!K93</f>
        <v>0</v>
      </c>
      <c r="M93" s="0" t="n">
        <f aca="false">[2]Sheet1!L93</f>
        <v>8</v>
      </c>
      <c r="N93" s="0" t="n">
        <f aca="false">[2]Sheet1!M93</f>
        <v>8</v>
      </c>
      <c r="O93" s="0" t="n">
        <f aca="false">[2]Sheet1!N93</f>
        <v>0</v>
      </c>
      <c r="P93" s="226" t="n">
        <f aca="false">SUM(AY93+BA93)</f>
        <v>0</v>
      </c>
      <c r="Q93" s="201"/>
      <c r="R93" s="71"/>
      <c r="S93" s="227"/>
      <c r="T93" s="71"/>
      <c r="U93" s="201"/>
      <c r="V93" s="71"/>
      <c r="W93" s="227"/>
      <c r="X93" s="71"/>
      <c r="Y93" s="201"/>
      <c r="Z93" s="71"/>
      <c r="AA93" s="227"/>
      <c r="AB93" s="71"/>
      <c r="AC93" s="201"/>
      <c r="AD93" s="71"/>
      <c r="AE93" s="227"/>
      <c r="AF93" s="71"/>
      <c r="AG93" s="201"/>
      <c r="AH93" s="71"/>
      <c r="AI93" s="227"/>
      <c r="AJ93" s="71"/>
      <c r="AK93" s="201"/>
      <c r="AL93" s="71"/>
      <c r="AM93" s="227"/>
      <c r="AN93" s="71"/>
      <c r="AO93" s="201"/>
      <c r="AP93" s="71"/>
      <c r="AQ93" s="227"/>
      <c r="AR93" s="71"/>
      <c r="AS93" s="227"/>
      <c r="AT93" s="228"/>
      <c r="AU93" s="227"/>
      <c r="AV93" s="228"/>
      <c r="AW93" s="227"/>
      <c r="AX93" s="229" t="n">
        <f aca="false">SUM(R93+T93+V93+X93+Z93+AB93+AD93+AF93+AH93+AJ93+AL93+AN93+AP93+AR93)</f>
        <v>0</v>
      </c>
      <c r="AY93" s="230" t="n">
        <f aca="false">SUM(AX93*1000)/48</f>
        <v>0</v>
      </c>
      <c r="AZ93" s="231" t="n">
        <f aca="false">IFERROR(VLOOKUP(A93,'Site check'!$A$14:$O$47,15,0),0)</f>
        <v>0</v>
      </c>
      <c r="BA93" s="232" t="n">
        <f aca="false">SUM(AZ93*1000)/48</f>
        <v>0</v>
      </c>
      <c r="BB93" s="90" t="n">
        <f aca="false">SUM(P93/2)+E93</f>
        <v>260</v>
      </c>
      <c r="BC93" s="90" t="n">
        <f aca="false">SUM(P93/2)+F93</f>
        <v>290</v>
      </c>
    </row>
    <row r="94" customFormat="false" ht="13.15" hidden="false" customHeight="false" outlineLevel="0" collapsed="false">
      <c r="A94" s="0" t="str">
        <f aca="false">[2]Sheet1!A94</f>
        <v>SQYN02_SEC_DD770_HP1</v>
      </c>
      <c r="B94" s="0" t="str">
        <f aca="false">[2]Sheet1!B94</f>
        <v>SQYN02;DC SYS09A</v>
      </c>
      <c r="C94" s="44" t="str">
        <f aca="false">[2]Sheet1!C94</f>
        <v>SQYN02</v>
      </c>
      <c r="D94" s="44" t="s">
        <v>776</v>
      </c>
      <c r="E94" s="0" t="n">
        <f aca="false">[2]Sheet1!D94</f>
        <v>180</v>
      </c>
      <c r="F94" s="0" t="n">
        <f aca="false">[2]Sheet1!E94</f>
        <v>60</v>
      </c>
      <c r="G94" s="45" t="n">
        <f aca="false">[2]Sheet1!F94</f>
        <v>45034</v>
      </c>
      <c r="H94" s="0" t="n">
        <f aca="false">[2]Sheet1!G94</f>
        <v>300</v>
      </c>
      <c r="I94" s="0" t="n">
        <f aca="false">[2]Sheet1!H94</f>
        <v>300</v>
      </c>
      <c r="J94" s="0" t="n">
        <f aca="false">[2]Sheet1!I94</f>
        <v>2</v>
      </c>
      <c r="K94" s="0" t="n">
        <f aca="false">[2]Sheet1!J94</f>
        <v>0</v>
      </c>
      <c r="L94" s="0" t="n">
        <f aca="false">[2]Sheet1!K94</f>
        <v>0</v>
      </c>
      <c r="M94" s="0" t="n">
        <f aca="false">[2]Sheet1!L94</f>
        <v>22</v>
      </c>
      <c r="N94" s="0" t="n">
        <f aca="false">[2]Sheet1!M94</f>
        <v>8</v>
      </c>
      <c r="O94" s="0" t="n">
        <f aca="false">[2]Sheet1!N94</f>
        <v>0</v>
      </c>
      <c r="P94" s="226" t="n">
        <f aca="false">SUM(AY94+BA94)</f>
        <v>66.6666666666667</v>
      </c>
      <c r="Q94" s="204" t="s">
        <v>1399</v>
      </c>
      <c r="R94" s="221" t="n">
        <v>1</v>
      </c>
      <c r="S94" s="204" t="s">
        <v>1472</v>
      </c>
      <c r="T94" s="221" t="n">
        <v>2.2</v>
      </c>
      <c r="U94" s="201"/>
      <c r="V94" s="71"/>
      <c r="W94" s="227"/>
      <c r="X94" s="71"/>
      <c r="Y94" s="201"/>
      <c r="Z94" s="71"/>
      <c r="AA94" s="227"/>
      <c r="AB94" s="71"/>
      <c r="AC94" s="201"/>
      <c r="AD94" s="71"/>
      <c r="AE94" s="227"/>
      <c r="AF94" s="71"/>
      <c r="AG94" s="201"/>
      <c r="AH94" s="71"/>
      <c r="AI94" s="227"/>
      <c r="AJ94" s="71"/>
      <c r="AK94" s="201"/>
      <c r="AL94" s="71"/>
      <c r="AM94" s="227"/>
      <c r="AN94" s="71"/>
      <c r="AO94" s="201"/>
      <c r="AP94" s="71"/>
      <c r="AQ94" s="227"/>
      <c r="AR94" s="71"/>
      <c r="AS94" s="227"/>
      <c r="AT94" s="228"/>
      <c r="AU94" s="227"/>
      <c r="AV94" s="228"/>
      <c r="AW94" s="227"/>
      <c r="AX94" s="229" t="n">
        <f aca="false">SUM(R94+T94+V94+X94+Z94+AB94+AD94+AF94+AH94+AJ94+AL94+AN94+AP94+AR94)</f>
        <v>3.2</v>
      </c>
      <c r="AY94" s="230" t="n">
        <f aca="false">SUM(AX94*1000)/48</f>
        <v>66.6666666666667</v>
      </c>
      <c r="AZ94" s="231" t="n">
        <f aca="false">IFERROR(VLOOKUP(A94,'Site check'!$A$14:$O$47,15,0),0)</f>
        <v>0</v>
      </c>
      <c r="BA94" s="232" t="n">
        <f aca="false">SUM(AZ94*1000)/48</f>
        <v>0</v>
      </c>
      <c r="BB94" s="90" t="n">
        <f aca="false">SUM(P94/2)+E94</f>
        <v>213.333333333333</v>
      </c>
      <c r="BC94" s="90" t="n">
        <f aca="false">SUM(P94/2)+F94</f>
        <v>93.3333333333333</v>
      </c>
    </row>
    <row r="95" customFormat="false" ht="13.15" hidden="false" customHeight="false" outlineLevel="0" collapsed="false">
      <c r="A95" s="0" t="str">
        <f aca="false">[2]Sheet1!A95</f>
        <v>SQYN02_SEC_DD770_HS1</v>
      </c>
      <c r="B95" s="0" t="str">
        <f aca="false">[2]Sheet1!B95</f>
        <v>SQYN02;DC SYS09A</v>
      </c>
      <c r="C95" s="44" t="str">
        <f aca="false">[2]Sheet1!C95</f>
        <v>SQYN02</v>
      </c>
      <c r="D95" s="44" t="s">
        <v>776</v>
      </c>
      <c r="E95" s="0" t="n">
        <f aca="false">[2]Sheet1!D95</f>
        <v>190</v>
      </c>
      <c r="F95" s="0" t="n">
        <f aca="false">[2]Sheet1!E95</f>
        <v>200</v>
      </c>
      <c r="G95" s="45" t="n">
        <f aca="false">[2]Sheet1!F95</f>
        <v>45034</v>
      </c>
      <c r="H95" s="0" t="n">
        <f aca="false">[2]Sheet1!G95</f>
        <v>300</v>
      </c>
      <c r="I95" s="0" t="n">
        <f aca="false">[2]Sheet1!H95</f>
        <v>300</v>
      </c>
      <c r="J95" s="0" t="n">
        <f aca="false">[2]Sheet1!I95</f>
        <v>1</v>
      </c>
      <c r="K95" s="0" t="n">
        <f aca="false">[2]Sheet1!J95</f>
        <v>0</v>
      </c>
      <c r="L95" s="0" t="n">
        <f aca="false">[2]Sheet1!K95</f>
        <v>0</v>
      </c>
      <c r="M95" s="0" t="n">
        <f aca="false">[2]Sheet1!L95</f>
        <v>19</v>
      </c>
      <c r="N95" s="0" t="n">
        <f aca="false">[2]Sheet1!M95</f>
        <v>10</v>
      </c>
      <c r="O95" s="0" t="n">
        <f aca="false">[2]Sheet1!N95</f>
        <v>0</v>
      </c>
      <c r="P95" s="226" t="n">
        <f aca="false">SUM(AY95+BA95)</f>
        <v>0</v>
      </c>
      <c r="Q95" s="204"/>
      <c r="R95" s="221"/>
      <c r="S95" s="227"/>
      <c r="T95" s="71"/>
      <c r="U95" s="201"/>
      <c r="V95" s="71"/>
      <c r="W95" s="227"/>
      <c r="X95" s="71"/>
      <c r="Y95" s="201"/>
      <c r="Z95" s="71"/>
      <c r="AA95" s="227"/>
      <c r="AB95" s="71"/>
      <c r="AC95" s="201"/>
      <c r="AD95" s="71"/>
      <c r="AE95" s="227"/>
      <c r="AF95" s="71"/>
      <c r="AG95" s="201"/>
      <c r="AH95" s="71"/>
      <c r="AI95" s="227"/>
      <c r="AJ95" s="71"/>
      <c r="AK95" s="201"/>
      <c r="AL95" s="71"/>
      <c r="AM95" s="227"/>
      <c r="AN95" s="71"/>
      <c r="AO95" s="201"/>
      <c r="AP95" s="71"/>
      <c r="AQ95" s="227"/>
      <c r="AR95" s="71"/>
      <c r="AS95" s="227"/>
      <c r="AT95" s="228"/>
      <c r="AU95" s="227"/>
      <c r="AV95" s="228"/>
      <c r="AW95" s="227"/>
      <c r="AX95" s="229" t="n">
        <f aca="false">SUM(R95+T95+V95+X95+Z95+AB95+AD95+AF95+AH95+AJ95+AL95+AN95+AP95+AR95)</f>
        <v>0</v>
      </c>
      <c r="AY95" s="230" t="n">
        <f aca="false">SUM(AX95*1000)/48</f>
        <v>0</v>
      </c>
      <c r="AZ95" s="231" t="n">
        <f aca="false">IFERROR(VLOOKUP(A95,'Site check'!$A$14:$O$47,15,0),0)</f>
        <v>0</v>
      </c>
      <c r="BA95" s="232" t="n">
        <f aca="false">SUM(AZ95*1000)/48</f>
        <v>0</v>
      </c>
      <c r="BB95" s="90" t="n">
        <f aca="false">SUM(P95/2)+E95</f>
        <v>190</v>
      </c>
      <c r="BC95" s="90" t="n">
        <f aca="false">SUM(P95/2)+F95</f>
        <v>200</v>
      </c>
    </row>
    <row r="96" customFormat="false" ht="13.15" hidden="false" customHeight="false" outlineLevel="0" collapsed="false">
      <c r="A96" s="0" t="str">
        <f aca="false">[2]Sheet1!A96</f>
        <v>DCDB PER A.</v>
      </c>
      <c r="B96" s="0" t="str">
        <f aca="false">[2]Sheet1!B96</f>
        <v>TELHS2;DC SYS01</v>
      </c>
      <c r="C96" s="44" t="str">
        <f aca="false">[2]Sheet1!C96</f>
        <v>TELHS2</v>
      </c>
      <c r="D96" s="44" t="s">
        <v>791</v>
      </c>
      <c r="E96" s="0" t="n">
        <f aca="false">[2]Sheet1!D96</f>
        <v>100</v>
      </c>
      <c r="F96" s="0" t="n">
        <f aca="false">[2]Sheet1!E96</f>
        <v>0</v>
      </c>
      <c r="G96" s="45" t="n">
        <f aca="false">[2]Sheet1!F96</f>
        <v>44271</v>
      </c>
      <c r="H96" s="0" t="n">
        <f aca="false">[2]Sheet1!G96</f>
        <v>100</v>
      </c>
      <c r="I96" s="0" t="n">
        <f aca="false">[2]Sheet1!H96</f>
        <v>0</v>
      </c>
      <c r="J96" s="0" t="n">
        <f aca="false">[2]Sheet1!I96</f>
        <v>0</v>
      </c>
      <c r="K96" s="0" t="n">
        <f aca="false">[2]Sheet1!J96</f>
        <v>0</v>
      </c>
      <c r="L96" s="0" t="n">
        <f aca="false">[2]Sheet1!K96</f>
        <v>0</v>
      </c>
      <c r="M96" s="0" t="n">
        <f aca="false">[2]Sheet1!L96</f>
        <v>0</v>
      </c>
      <c r="N96" s="0" t="n">
        <f aca="false">[2]Sheet1!M96</f>
        <v>0</v>
      </c>
      <c r="O96" s="0" t="n">
        <f aca="false">[2]Sheet1!N96</f>
        <v>1</v>
      </c>
      <c r="P96" s="226" t="n">
        <f aca="false">SUM(AY96+BA96)</f>
        <v>0</v>
      </c>
      <c r="Q96" s="201"/>
      <c r="R96" s="71"/>
      <c r="S96" s="227"/>
      <c r="T96" s="71"/>
      <c r="U96" s="201"/>
      <c r="V96" s="71"/>
      <c r="W96" s="227"/>
      <c r="X96" s="71"/>
      <c r="Y96" s="201"/>
      <c r="Z96" s="71"/>
      <c r="AA96" s="227"/>
      <c r="AB96" s="71"/>
      <c r="AC96" s="201"/>
      <c r="AD96" s="71"/>
      <c r="AE96" s="227"/>
      <c r="AF96" s="71"/>
      <c r="AG96" s="201"/>
      <c r="AH96" s="71"/>
      <c r="AI96" s="227"/>
      <c r="AJ96" s="71"/>
      <c r="AK96" s="201"/>
      <c r="AL96" s="71"/>
      <c r="AM96" s="227"/>
      <c r="AN96" s="71"/>
      <c r="AO96" s="201"/>
      <c r="AP96" s="71"/>
      <c r="AQ96" s="227"/>
      <c r="AR96" s="71"/>
      <c r="AS96" s="227"/>
      <c r="AT96" s="228"/>
      <c r="AU96" s="227"/>
      <c r="AV96" s="228"/>
      <c r="AW96" s="227"/>
      <c r="AX96" s="229" t="n">
        <f aca="false">SUM(R96+T96+V96+X96+Z96+AB96+AD96+AF96+AH96+AJ96+AL96+AN96+AP96+AR96)</f>
        <v>0</v>
      </c>
      <c r="AY96" s="230" t="n">
        <f aca="false">SUM(AX96*1000)/48</f>
        <v>0</v>
      </c>
      <c r="AZ96" s="231" t="n">
        <f aca="false">IFERROR(VLOOKUP(A96,'Site check'!$A$14:$O$47,15,0),0)</f>
        <v>0</v>
      </c>
      <c r="BA96" s="232" t="n">
        <f aca="false">SUM(AZ96*1000)/48</f>
        <v>0</v>
      </c>
      <c r="BB96" s="90" t="n">
        <f aca="false">SUM(P96/2)+E96</f>
        <v>100</v>
      </c>
      <c r="BC96" s="90" t="n">
        <f aca="false">SUM(P96/2)+F96</f>
        <v>0</v>
      </c>
    </row>
    <row r="97" customFormat="false" ht="13.15" hidden="false" customHeight="false" outlineLevel="0" collapsed="false">
      <c r="A97" s="0" t="str">
        <f aca="false">[2]Sheet1!A97</f>
        <v>DCDB PER B.</v>
      </c>
      <c r="B97" s="0" t="str">
        <f aca="false">[2]Sheet1!B97</f>
        <v>TELHS2;DC SYS01</v>
      </c>
      <c r="C97" s="44" t="str">
        <f aca="false">[2]Sheet1!C97</f>
        <v>TELHS2</v>
      </c>
      <c r="D97" s="44" t="s">
        <v>791</v>
      </c>
      <c r="E97" s="0" t="n">
        <f aca="false">[2]Sheet1!D97</f>
        <v>100</v>
      </c>
      <c r="F97" s="0" t="n">
        <f aca="false">[2]Sheet1!E97</f>
        <v>0</v>
      </c>
      <c r="G97" s="45" t="n">
        <f aca="false">[2]Sheet1!F97</f>
        <v>44271</v>
      </c>
      <c r="H97" s="0" t="n">
        <f aca="false">[2]Sheet1!G97</f>
        <v>100</v>
      </c>
      <c r="I97" s="0" t="n">
        <f aca="false">[2]Sheet1!H97</f>
        <v>0</v>
      </c>
      <c r="J97" s="0" t="n">
        <f aca="false">[2]Sheet1!I97</f>
        <v>0</v>
      </c>
      <c r="K97" s="0" t="n">
        <f aca="false">[2]Sheet1!J97</f>
        <v>0</v>
      </c>
      <c r="L97" s="0" t="n">
        <f aca="false">[2]Sheet1!K97</f>
        <v>0</v>
      </c>
      <c r="M97" s="0" t="n">
        <f aca="false">[2]Sheet1!L97</f>
        <v>0</v>
      </c>
      <c r="N97" s="0" t="n">
        <f aca="false">[2]Sheet1!M97</f>
        <v>0</v>
      </c>
      <c r="O97" s="0" t="n">
        <f aca="false">[2]Sheet1!N97</f>
        <v>1</v>
      </c>
      <c r="P97" s="226" t="n">
        <f aca="false">SUM(AY97+BA97)</f>
        <v>0</v>
      </c>
      <c r="Q97" s="201"/>
      <c r="R97" s="71"/>
      <c r="S97" s="227"/>
      <c r="T97" s="71"/>
      <c r="U97" s="201"/>
      <c r="V97" s="71"/>
      <c r="W97" s="227"/>
      <c r="X97" s="71"/>
      <c r="Y97" s="201"/>
      <c r="Z97" s="71"/>
      <c r="AA97" s="227"/>
      <c r="AB97" s="71"/>
      <c r="AC97" s="201"/>
      <c r="AD97" s="71"/>
      <c r="AE97" s="227"/>
      <c r="AF97" s="71"/>
      <c r="AG97" s="201"/>
      <c r="AH97" s="71"/>
      <c r="AI97" s="227"/>
      <c r="AJ97" s="71"/>
      <c r="AK97" s="201"/>
      <c r="AL97" s="71"/>
      <c r="AM97" s="227"/>
      <c r="AN97" s="71"/>
      <c r="AO97" s="201"/>
      <c r="AP97" s="71"/>
      <c r="AQ97" s="227"/>
      <c r="AR97" s="71"/>
      <c r="AS97" s="227"/>
      <c r="AT97" s="228"/>
      <c r="AU97" s="227"/>
      <c r="AV97" s="228"/>
      <c r="AW97" s="227"/>
      <c r="AX97" s="229" t="n">
        <f aca="false">SUM(R97+T97+V97+X97+Z97+AB97+AD97+AF97+AH97+AJ97+AL97+AN97+AP97+AR97)</f>
        <v>0</v>
      </c>
      <c r="AY97" s="230" t="n">
        <f aca="false">SUM(AX97*1000)/48</f>
        <v>0</v>
      </c>
      <c r="AZ97" s="231" t="n">
        <f aca="false">IFERROR(VLOOKUP(A97,'Site check'!$A$14:$O$47,15,0),0)</f>
        <v>0</v>
      </c>
      <c r="BA97" s="232" t="n">
        <f aca="false">SUM(AZ97*1000)/48</f>
        <v>0</v>
      </c>
      <c r="BB97" s="90" t="n">
        <f aca="false">SUM(P97/2)+E97</f>
        <v>100</v>
      </c>
      <c r="BC97" s="90" t="n">
        <f aca="false">SUM(P97/2)+F97</f>
        <v>0</v>
      </c>
    </row>
    <row r="98" customFormat="false" ht="13.15" hidden="false" customHeight="false" outlineLevel="0" collapsed="false">
      <c r="A98" s="0" t="str">
        <f aca="false">[2]Sheet1!A98</f>
        <v>TELHS1_EXP_SEC_DCDB_14_15_D</v>
      </c>
      <c r="B98" s="0" t="str">
        <f aca="false">[2]Sheet1!B98</f>
        <v>TELHS1;DC SYS A;EXT ROOM</v>
      </c>
      <c r="C98" s="44" t="str">
        <f aca="false">[2]Sheet1!C98</f>
        <v>TELHS1</v>
      </c>
      <c r="D98" s="44" t="s">
        <v>788</v>
      </c>
      <c r="E98" s="0" t="n">
        <f aca="false">[2]Sheet1!D98</f>
        <v>140</v>
      </c>
      <c r="F98" s="0" t="n">
        <f aca="false">[2]Sheet1!E98</f>
        <v>89</v>
      </c>
      <c r="G98" s="45" t="n">
        <f aca="false">[2]Sheet1!F98</f>
        <v>45040</v>
      </c>
      <c r="H98" s="0" t="n">
        <f aca="false">[2]Sheet1!G98</f>
        <v>200</v>
      </c>
      <c r="I98" s="0" t="n">
        <f aca="false">[2]Sheet1!H98</f>
        <v>200</v>
      </c>
      <c r="J98" s="0" t="n">
        <f aca="false">[2]Sheet1!I98</f>
        <v>0</v>
      </c>
      <c r="K98" s="0" t="n">
        <f aca="false">[2]Sheet1!J98</f>
        <v>0</v>
      </c>
      <c r="L98" s="0" t="n">
        <f aca="false">[2]Sheet1!K98</f>
        <v>0</v>
      </c>
      <c r="M98" s="0" t="n">
        <f aca="false">[2]Sheet1!L98</f>
        <v>1</v>
      </c>
      <c r="N98" s="0" t="n">
        <f aca="false">[2]Sheet1!M98</f>
        <v>9</v>
      </c>
      <c r="O98" s="0" t="n">
        <f aca="false">[2]Sheet1!N98</f>
        <v>0</v>
      </c>
      <c r="P98" s="226" t="n">
        <f aca="false">SUM(AY98+BA98)</f>
        <v>0</v>
      </c>
      <c r="Q98" s="201"/>
      <c r="R98" s="71"/>
      <c r="S98" s="227"/>
      <c r="T98" s="71"/>
      <c r="U98" s="201"/>
      <c r="V98" s="71"/>
      <c r="W98" s="227"/>
      <c r="X98" s="71"/>
      <c r="Y98" s="201"/>
      <c r="Z98" s="71"/>
      <c r="AA98" s="227"/>
      <c r="AB98" s="71"/>
      <c r="AC98" s="201"/>
      <c r="AD98" s="71"/>
      <c r="AE98" s="227"/>
      <c r="AF98" s="71"/>
      <c r="AG98" s="201"/>
      <c r="AH98" s="71"/>
      <c r="AI98" s="227"/>
      <c r="AJ98" s="71"/>
      <c r="AK98" s="201"/>
      <c r="AL98" s="71"/>
      <c r="AM98" s="227"/>
      <c r="AN98" s="71"/>
      <c r="AO98" s="201"/>
      <c r="AP98" s="71"/>
      <c r="AQ98" s="227"/>
      <c r="AR98" s="71"/>
      <c r="AS98" s="227"/>
      <c r="AT98" s="228"/>
      <c r="AU98" s="227"/>
      <c r="AV98" s="228"/>
      <c r="AW98" s="227"/>
      <c r="AX98" s="229" t="n">
        <f aca="false">SUM(R98+T98+V98+X98+Z98+AB98+AD98+AF98+AH98+AJ98+AL98+AN98+AP98+AR98)</f>
        <v>0</v>
      </c>
      <c r="AY98" s="230" t="n">
        <f aca="false">SUM(AX98*1000)/48</f>
        <v>0</v>
      </c>
      <c r="AZ98" s="231" t="n">
        <f aca="false">IFERROR(VLOOKUP(A98,'Site check'!$A$14:$O$47,15,0),0)</f>
        <v>0</v>
      </c>
      <c r="BA98" s="232" t="n">
        <f aca="false">SUM(AZ98*1000)/48</f>
        <v>0</v>
      </c>
      <c r="BB98" s="90" t="n">
        <f aca="false">SUM(P98/2)+E98</f>
        <v>140</v>
      </c>
      <c r="BC98" s="90" t="n">
        <f aca="false">SUM(P98/2)+F98</f>
        <v>89</v>
      </c>
    </row>
    <row r="99" customFormat="false" ht="13.15" hidden="false" customHeight="false" outlineLevel="0" collapsed="false">
      <c r="A99" s="0" t="str">
        <f aca="false">[2]Sheet1!A99</f>
        <v>TELHS1_DCDB Wallbox.  - ignore</v>
      </c>
      <c r="B99" s="0" t="str">
        <f aca="false">[2]Sheet1!B99</f>
        <v>TELHS1;DC SYS A;EXT ROOM</v>
      </c>
      <c r="C99" s="44" t="str">
        <f aca="false">[2]Sheet1!C99</f>
        <v>TELHS1</v>
      </c>
      <c r="D99" s="44" t="s">
        <v>788</v>
      </c>
      <c r="E99" s="0" t="str">
        <f aca="false">[2]Sheet1!D99</f>
        <v>n/a</v>
      </c>
      <c r="F99" s="0" t="str">
        <f aca="false">[2]Sheet1!E99</f>
        <v>n/a</v>
      </c>
      <c r="G99" s="45" t="n">
        <f aca="false">[2]Sheet1!F99</f>
        <v>44267</v>
      </c>
      <c r="H99" s="0" t="n">
        <f aca="false">[2]Sheet1!G99</f>
        <v>0</v>
      </c>
      <c r="I99" s="0" t="n">
        <f aca="false">[2]Sheet1!H99</f>
        <v>0</v>
      </c>
      <c r="J99" s="0" t="n">
        <f aca="false">[2]Sheet1!I99</f>
        <v>0</v>
      </c>
      <c r="K99" s="0" t="n">
        <f aca="false">[2]Sheet1!J99</f>
        <v>0</v>
      </c>
      <c r="L99" s="0" t="n">
        <f aca="false">[2]Sheet1!K99</f>
        <v>0</v>
      </c>
      <c r="M99" s="0" t="n">
        <f aca="false">[2]Sheet1!L99</f>
        <v>0</v>
      </c>
      <c r="N99" s="0" t="n">
        <f aca="false">[2]Sheet1!M99</f>
        <v>0</v>
      </c>
      <c r="O99" s="0" t="n">
        <f aca="false">[2]Sheet1!N99</f>
        <v>0</v>
      </c>
      <c r="P99" s="226" t="n">
        <f aca="false">SUM(AY99+BA99)</f>
        <v>0</v>
      </c>
      <c r="Q99" s="201"/>
      <c r="R99" s="71"/>
      <c r="S99" s="227"/>
      <c r="T99" s="71"/>
      <c r="U99" s="201"/>
      <c r="V99" s="71"/>
      <c r="W99" s="227"/>
      <c r="X99" s="71"/>
      <c r="Y99" s="201"/>
      <c r="Z99" s="71"/>
      <c r="AA99" s="227"/>
      <c r="AB99" s="71"/>
      <c r="AC99" s="201"/>
      <c r="AD99" s="71"/>
      <c r="AE99" s="227"/>
      <c r="AF99" s="71"/>
      <c r="AG99" s="201"/>
      <c r="AH99" s="71"/>
      <c r="AI99" s="227"/>
      <c r="AJ99" s="71"/>
      <c r="AK99" s="201"/>
      <c r="AL99" s="71"/>
      <c r="AM99" s="227"/>
      <c r="AN99" s="71"/>
      <c r="AO99" s="201"/>
      <c r="AP99" s="71"/>
      <c r="AQ99" s="227"/>
      <c r="AR99" s="71"/>
      <c r="AS99" s="227"/>
      <c r="AT99" s="228"/>
      <c r="AU99" s="227"/>
      <c r="AV99" s="228"/>
      <c r="AW99" s="227"/>
      <c r="AX99" s="229" t="n">
        <f aca="false">SUM(R99+T99+V99+X99+Z99+AB99+AD99+AF99+AH99+AJ99+AL99+AN99+AP99+AR99)</f>
        <v>0</v>
      </c>
      <c r="AY99" s="230" t="n">
        <f aca="false">SUM(AX99*1000)/48</f>
        <v>0</v>
      </c>
      <c r="AZ99" s="231" t="n">
        <f aca="false">IFERROR(VLOOKUP(A99,'Site check'!$A$14:$O$47,15,0),0)</f>
        <v>0</v>
      </c>
      <c r="BA99" s="232" t="n">
        <f aca="false">SUM(AZ99*1000)/48</f>
        <v>0</v>
      </c>
      <c r="BB99" s="90" t="e">
        <f aca="false">SUM(P99/2)+E99</f>
        <v>#VALUE!</v>
      </c>
      <c r="BC99" s="90" t="e">
        <f aca="false">SUM(P99/2)+F99</f>
        <v>#VALUE!</v>
      </c>
    </row>
    <row r="100" customFormat="false" ht="13.15" hidden="false" customHeight="false" outlineLevel="0" collapsed="false">
      <c r="A100" s="0" t="str">
        <f aca="false">[2]Sheet1!A100</f>
        <v>TELHS1_SEC_DCDB_14_15_H.</v>
      </c>
      <c r="B100" s="0" t="str">
        <f aca="false">[2]Sheet1!B100</f>
        <v>TELHS1;DC SYS A;EXT ROOM</v>
      </c>
      <c r="C100" s="44" t="str">
        <f aca="false">[2]Sheet1!C100</f>
        <v>TELHS1</v>
      </c>
      <c r="D100" s="44" t="s">
        <v>788</v>
      </c>
      <c r="E100" s="0" t="n">
        <f aca="false">[2]Sheet1!D100</f>
        <v>55</v>
      </c>
      <c r="F100" s="0" t="n">
        <f aca="false">[2]Sheet1!E100</f>
        <v>40</v>
      </c>
      <c r="G100" s="45" t="n">
        <f aca="false">[2]Sheet1!F100</f>
        <v>45040</v>
      </c>
      <c r="H100" s="0" t="n">
        <f aca="false">[2]Sheet1!G100</f>
        <v>200</v>
      </c>
      <c r="I100" s="0" t="n">
        <f aca="false">[2]Sheet1!H100</f>
        <v>200</v>
      </c>
      <c r="J100" s="0" t="n">
        <f aca="false">[2]Sheet1!I100</f>
        <v>0</v>
      </c>
      <c r="K100" s="0" t="n">
        <f aca="false">[2]Sheet1!J100</f>
        <v>0</v>
      </c>
      <c r="L100" s="0" t="n">
        <f aca="false">[2]Sheet1!K100</f>
        <v>3</v>
      </c>
      <c r="M100" s="0" t="n">
        <f aca="false">[2]Sheet1!L100</f>
        <v>2</v>
      </c>
      <c r="N100" s="0" t="n">
        <f aca="false">[2]Sheet1!M100</f>
        <v>0</v>
      </c>
      <c r="O100" s="0" t="n">
        <f aca="false">[2]Sheet1!N100</f>
        <v>21</v>
      </c>
      <c r="P100" s="226" t="n">
        <f aca="false">SUM(AY100+BA100)</f>
        <v>0</v>
      </c>
      <c r="Q100" s="179"/>
      <c r="R100" s="180"/>
      <c r="S100" s="227"/>
      <c r="T100" s="71"/>
      <c r="U100" s="201"/>
      <c r="V100" s="71"/>
      <c r="W100" s="227"/>
      <c r="X100" s="71"/>
      <c r="Y100" s="201"/>
      <c r="Z100" s="71"/>
      <c r="AA100" s="227"/>
      <c r="AB100" s="71"/>
      <c r="AC100" s="201"/>
      <c r="AD100" s="71"/>
      <c r="AE100" s="227"/>
      <c r="AF100" s="71"/>
      <c r="AG100" s="201"/>
      <c r="AH100" s="71"/>
      <c r="AI100" s="227"/>
      <c r="AJ100" s="71"/>
      <c r="AK100" s="201"/>
      <c r="AL100" s="71"/>
      <c r="AM100" s="227"/>
      <c r="AN100" s="71"/>
      <c r="AO100" s="201"/>
      <c r="AP100" s="71"/>
      <c r="AQ100" s="227"/>
      <c r="AR100" s="71"/>
      <c r="AS100" s="227"/>
      <c r="AT100" s="228"/>
      <c r="AU100" s="227"/>
      <c r="AV100" s="228"/>
      <c r="AW100" s="227"/>
      <c r="AX100" s="229" t="n">
        <f aca="false">SUM(R100+T100+V100+X100+Z100+AB100+AD100+AF100+AH100+AJ100+AL100+AN100+AP100+AR100)</f>
        <v>0</v>
      </c>
      <c r="AY100" s="230" t="n">
        <f aca="false">SUM(AX100*1000)/48</f>
        <v>0</v>
      </c>
      <c r="AZ100" s="231" t="n">
        <f aca="false">IFERROR(VLOOKUP(A100,'Site check'!$A$14:$O$47,15,0),0)</f>
        <v>0</v>
      </c>
      <c r="BA100" s="232" t="n">
        <f aca="false">SUM(AZ100*1000)/48</f>
        <v>0</v>
      </c>
      <c r="BB100" s="90" t="n">
        <f aca="false">SUM(P100/2)+E100</f>
        <v>55</v>
      </c>
      <c r="BC100" s="90" t="n">
        <f aca="false">SUM(P100/2)+F100</f>
        <v>40</v>
      </c>
    </row>
    <row r="101" customFormat="false" ht="13.15" hidden="false" customHeight="false" outlineLevel="0" collapsed="false">
      <c r="A101" s="0" t="str">
        <f aca="false">[2]Sheet1!A101</f>
        <v>VHXN02_SEC_DD770_CD1</v>
      </c>
      <c r="B101" s="0" t="str">
        <f aca="false">[2]Sheet1!B101</f>
        <v>VHXN02;DC SYS01</v>
      </c>
      <c r="C101" s="44" t="str">
        <f aca="false">[2]Sheet1!C101</f>
        <v>VHXN02</v>
      </c>
      <c r="D101" s="44" t="s">
        <v>804</v>
      </c>
      <c r="E101" s="0" t="n">
        <f aca="false">[2]Sheet1!D101</f>
        <v>140</v>
      </c>
      <c r="F101" s="0" t="n">
        <f aca="false">[2]Sheet1!E101</f>
        <v>135</v>
      </c>
      <c r="G101" s="45" t="n">
        <f aca="false">[2]Sheet1!F101</f>
        <v>45033</v>
      </c>
      <c r="H101" s="0" t="n">
        <f aca="false">[2]Sheet1!G101</f>
        <v>300</v>
      </c>
      <c r="I101" s="0" t="n">
        <f aca="false">[2]Sheet1!H101</f>
        <v>300</v>
      </c>
      <c r="J101" s="0" t="n">
        <f aca="false">[2]Sheet1!I101</f>
        <v>4</v>
      </c>
      <c r="K101" s="0" t="n">
        <f aca="false">[2]Sheet1!J101</f>
        <v>2</v>
      </c>
      <c r="L101" s="0" t="n">
        <f aca="false">[2]Sheet1!K101</f>
        <v>5</v>
      </c>
      <c r="M101" s="0" t="n">
        <f aca="false">[2]Sheet1!L101</f>
        <v>0</v>
      </c>
      <c r="N101" s="0" t="n">
        <f aca="false">[2]Sheet1!M101</f>
        <v>7</v>
      </c>
      <c r="O101" s="0" t="n">
        <f aca="false">[2]Sheet1!N101</f>
        <v>0</v>
      </c>
      <c r="P101" s="226" t="n">
        <f aca="false">SUM(AY101+BA101)</f>
        <v>62.5</v>
      </c>
      <c r="Q101" s="204" t="s">
        <v>1418</v>
      </c>
      <c r="R101" s="221" t="n">
        <v>2</v>
      </c>
      <c r="S101" s="212" t="s">
        <v>1420</v>
      </c>
      <c r="T101" s="221" t="n">
        <v>1</v>
      </c>
      <c r="U101" s="201"/>
      <c r="V101" s="71"/>
      <c r="W101" s="227"/>
      <c r="X101" s="71"/>
      <c r="Y101" s="201"/>
      <c r="Z101" s="71"/>
      <c r="AA101" s="227"/>
      <c r="AB101" s="71"/>
      <c r="AC101" s="201"/>
      <c r="AD101" s="71"/>
      <c r="AE101" s="227"/>
      <c r="AF101" s="71"/>
      <c r="AG101" s="201"/>
      <c r="AH101" s="71"/>
      <c r="AI101" s="227"/>
      <c r="AJ101" s="71"/>
      <c r="AK101" s="201"/>
      <c r="AL101" s="71"/>
      <c r="AM101" s="227"/>
      <c r="AN101" s="71"/>
      <c r="AO101" s="201"/>
      <c r="AP101" s="71"/>
      <c r="AQ101" s="227"/>
      <c r="AR101" s="71"/>
      <c r="AS101" s="227"/>
      <c r="AT101" s="228"/>
      <c r="AU101" s="227"/>
      <c r="AV101" s="228"/>
      <c r="AW101" s="227"/>
      <c r="AX101" s="229" t="n">
        <f aca="false">SUM(R101+T101+V101+X101+Z101+AB101+AD101+AF101+AH101+AJ101+AL101+AN101+AP101+AR101)</f>
        <v>3</v>
      </c>
      <c r="AY101" s="230" t="n">
        <f aca="false">SUM(AX101*1000)/48</f>
        <v>62.5</v>
      </c>
      <c r="AZ101" s="231" t="n">
        <f aca="false">IFERROR(VLOOKUP(A101,'Site check'!$A$14:$O$47,15,0),0)</f>
        <v>0</v>
      </c>
      <c r="BA101" s="232" t="n">
        <f aca="false">SUM(AZ101*1000)/48</f>
        <v>0</v>
      </c>
      <c r="BB101" s="90" t="n">
        <f aca="false">SUM(P101/2)+E101</f>
        <v>171.25</v>
      </c>
      <c r="BC101" s="90" t="n">
        <f aca="false">SUM(P101/2)+F101</f>
        <v>166.25</v>
      </c>
    </row>
    <row r="102" customFormat="false" ht="13.15" hidden="false" customHeight="false" outlineLevel="0" collapsed="false">
      <c r="A102" s="0" t="str">
        <f aca="false">[2]Sheet1!A102</f>
        <v>VHXN02_SEC_DD770_GH1</v>
      </c>
      <c r="B102" s="0" t="str">
        <f aca="false">[2]Sheet1!B102</f>
        <v>VHXN02;DC SYS01</v>
      </c>
      <c r="C102" s="44" t="str">
        <f aca="false">[2]Sheet1!C102</f>
        <v>VHXN02</v>
      </c>
      <c r="D102" s="44" t="s">
        <v>804</v>
      </c>
      <c r="E102" s="0" t="n">
        <f aca="false">[2]Sheet1!D102</f>
        <v>50</v>
      </c>
      <c r="F102" s="0" t="n">
        <f aca="false">[2]Sheet1!E102</f>
        <v>60</v>
      </c>
      <c r="G102" s="45" t="n">
        <f aca="false">[2]Sheet1!F102</f>
        <v>45033</v>
      </c>
      <c r="H102" s="0" t="n">
        <f aca="false">[2]Sheet1!G102</f>
        <v>300</v>
      </c>
      <c r="I102" s="0" t="n">
        <f aca="false">[2]Sheet1!H102</f>
        <v>300</v>
      </c>
      <c r="J102" s="0" t="n">
        <f aca="false">[2]Sheet1!I102</f>
        <v>6</v>
      </c>
      <c r="K102" s="0" t="n">
        <f aca="false">[2]Sheet1!J102</f>
        <v>6</v>
      </c>
      <c r="L102" s="0" t="n">
        <f aca="false">[2]Sheet1!K102</f>
        <v>5</v>
      </c>
      <c r="M102" s="0" t="n">
        <f aca="false">[2]Sheet1!L102</f>
        <v>13</v>
      </c>
      <c r="N102" s="0" t="n">
        <f aca="false">[2]Sheet1!M102</f>
        <v>12</v>
      </c>
      <c r="O102" s="0" t="n">
        <f aca="false">[2]Sheet1!N102</f>
        <v>0</v>
      </c>
      <c r="P102" s="226" t="n">
        <f aca="false">SUM(AY102+BA102)</f>
        <v>0</v>
      </c>
      <c r="Q102" s="201"/>
      <c r="R102" s="71"/>
      <c r="S102" s="227"/>
      <c r="T102" s="71"/>
      <c r="U102" s="201"/>
      <c r="V102" s="71"/>
      <c r="W102" s="227"/>
      <c r="X102" s="71"/>
      <c r="Y102" s="201"/>
      <c r="Z102" s="71"/>
      <c r="AA102" s="227"/>
      <c r="AB102" s="71"/>
      <c r="AC102" s="201"/>
      <c r="AD102" s="71"/>
      <c r="AE102" s="227"/>
      <c r="AF102" s="71"/>
      <c r="AG102" s="201"/>
      <c r="AH102" s="71"/>
      <c r="AI102" s="227"/>
      <c r="AJ102" s="71"/>
      <c r="AK102" s="201"/>
      <c r="AL102" s="71"/>
      <c r="AM102" s="227"/>
      <c r="AN102" s="71"/>
      <c r="AO102" s="201"/>
      <c r="AP102" s="71"/>
      <c r="AQ102" s="227"/>
      <c r="AR102" s="71"/>
      <c r="AS102" s="227"/>
      <c r="AT102" s="228"/>
      <c r="AU102" s="227"/>
      <c r="AV102" s="228"/>
      <c r="AW102" s="227"/>
      <c r="AX102" s="229" t="n">
        <f aca="false">SUM(R102+T102+V102+X102+Z102+AB102+AD102+AF102+AH102+AJ102+AL102+AN102+AP102+AR102)</f>
        <v>0</v>
      </c>
      <c r="AY102" s="230" t="n">
        <f aca="false">SUM(AX102*1000)/48</f>
        <v>0</v>
      </c>
      <c r="AZ102" s="231" t="n">
        <f aca="false">IFERROR(VLOOKUP(A102,'Site check'!$A$14:$O$47,15,0),0)</f>
        <v>0</v>
      </c>
      <c r="BA102" s="232" t="n">
        <f aca="false">SUM(AZ102*1000)/48</f>
        <v>0</v>
      </c>
      <c r="BB102" s="90" t="n">
        <f aca="false">SUM(P102/2)+E102</f>
        <v>50</v>
      </c>
      <c r="BC102" s="90" t="n">
        <f aca="false">SUM(P102/2)+F102</f>
        <v>60</v>
      </c>
    </row>
    <row r="103" customFormat="false" ht="13.15" hidden="false" customHeight="false" outlineLevel="0" collapsed="false">
      <c r="A103" s="0" t="str">
        <f aca="false">[2]Sheet1!A103</f>
        <v>VXHINT_SEC_Eaton_BA11</v>
      </c>
      <c r="B103" s="0" t="str">
        <f aca="false">[2]Sheet1!B103</f>
        <v>VHXN02;DC SYS01</v>
      </c>
      <c r="C103" s="44" t="str">
        <f aca="false">[2]Sheet1!C103</f>
        <v>VXHINT</v>
      </c>
      <c r="D103" s="44" t="s">
        <v>1473</v>
      </c>
      <c r="E103" s="0" t="n">
        <f aca="false">[2]Sheet1!D103</f>
        <v>160</v>
      </c>
      <c r="F103" s="0" t="n">
        <f aca="false">[2]Sheet1!E103</f>
        <v>160</v>
      </c>
      <c r="G103" s="45" t="n">
        <f aca="false">[2]Sheet1!F103</f>
        <v>45033</v>
      </c>
      <c r="H103" s="0" t="n">
        <f aca="false">[2]Sheet1!G103</f>
        <v>300</v>
      </c>
      <c r="I103" s="0" t="n">
        <f aca="false">[2]Sheet1!H103</f>
        <v>300</v>
      </c>
      <c r="J103" s="0" t="n">
        <f aca="false">[2]Sheet1!I103</f>
        <v>0</v>
      </c>
      <c r="K103" s="0" t="n">
        <f aca="false">[2]Sheet1!J103</f>
        <v>0</v>
      </c>
      <c r="L103" s="0" t="n">
        <f aca="false">[2]Sheet1!K103</f>
        <v>1</v>
      </c>
      <c r="M103" s="0" t="n">
        <f aca="false">[2]Sheet1!L103</f>
        <v>0</v>
      </c>
      <c r="N103" s="0" t="n">
        <f aca="false">[2]Sheet1!M103</f>
        <v>5</v>
      </c>
      <c r="O103" s="0" t="n">
        <f aca="false">[2]Sheet1!N103</f>
        <v>24</v>
      </c>
      <c r="P103" s="226" t="n">
        <f aca="false">SUM(AY103+BA103)</f>
        <v>145.833333333333</v>
      </c>
      <c r="Q103" s="170" t="s">
        <v>1417</v>
      </c>
      <c r="R103" s="234" t="n">
        <v>5</v>
      </c>
      <c r="S103" s="202" t="s">
        <v>1419</v>
      </c>
      <c r="T103" s="235" t="n">
        <v>2</v>
      </c>
      <c r="U103" s="212"/>
      <c r="V103" s="221"/>
      <c r="W103" s="227"/>
      <c r="X103" s="71"/>
      <c r="Y103" s="201"/>
      <c r="Z103" s="71"/>
      <c r="AA103" s="227"/>
      <c r="AB103" s="71"/>
      <c r="AC103" s="201"/>
      <c r="AD103" s="71"/>
      <c r="AE103" s="227"/>
      <c r="AF103" s="71"/>
      <c r="AG103" s="201"/>
      <c r="AH103" s="71"/>
      <c r="AI103" s="227"/>
      <c r="AJ103" s="71"/>
      <c r="AK103" s="201"/>
      <c r="AL103" s="71"/>
      <c r="AM103" s="227"/>
      <c r="AN103" s="71"/>
      <c r="AO103" s="201"/>
      <c r="AP103" s="71"/>
      <c r="AQ103" s="227"/>
      <c r="AR103" s="71"/>
      <c r="AS103" s="227"/>
      <c r="AT103" s="228"/>
      <c r="AU103" s="227"/>
      <c r="AV103" s="228"/>
      <c r="AW103" s="227"/>
      <c r="AX103" s="229" t="n">
        <f aca="false">SUM(R103+T103+V103+X103+Z103+AB103+AD103+AF103+AH103+AJ103+AL103+AN103+AP103+AR103)</f>
        <v>7</v>
      </c>
      <c r="AY103" s="230" t="n">
        <f aca="false">SUM(AX103*1000)/48</f>
        <v>145.833333333333</v>
      </c>
      <c r="AZ103" s="231" t="n">
        <f aca="false">IFERROR(VLOOKUP(A103,'Site check'!$A$14:$O$47,15,0),0)</f>
        <v>0</v>
      </c>
      <c r="BA103" s="232" t="n">
        <f aca="false">SUM(AZ103*1000)/48</f>
        <v>0</v>
      </c>
      <c r="BB103" s="90" t="n">
        <f aca="false">SUM(P103/2)+E103</f>
        <v>232.916666666667</v>
      </c>
      <c r="BC103" s="90" t="n">
        <f aca="false">SUM(P103/2)+F103</f>
        <v>232.916666666667</v>
      </c>
    </row>
    <row r="104" customFormat="false" ht="13.15" hidden="false" customHeight="false" outlineLevel="0" collapsed="false">
      <c r="A104" s="0" t="str">
        <f aca="false">[2]Sheet1!A104</f>
        <v>WAHP03_SEC_CBDB_10_11_A</v>
      </c>
      <c r="B104" s="0" t="str">
        <f aca="false">[2]Sheet1!B104</f>
        <v>WAHP;DC SYS A Tx</v>
      </c>
      <c r="C104" s="44" t="str">
        <f aca="false">[2]Sheet1!C104</f>
        <v>WAHP03</v>
      </c>
      <c r="D104" s="44" t="s">
        <v>809</v>
      </c>
      <c r="E104" s="0" t="n">
        <f aca="false">[2]Sheet1!D104</f>
        <v>0</v>
      </c>
      <c r="F104" s="0" t="n">
        <f aca="false">[2]Sheet1!E104</f>
        <v>0</v>
      </c>
      <c r="G104" s="45" t="n">
        <f aca="false">[2]Sheet1!F104</f>
        <v>0</v>
      </c>
      <c r="H104" s="0" t="n">
        <f aca="false">[2]Sheet1!G104</f>
        <v>300</v>
      </c>
      <c r="I104" s="0" t="n">
        <f aca="false">[2]Sheet1!H104</f>
        <v>300</v>
      </c>
      <c r="J104" s="0" t="n">
        <f aca="false">[2]Sheet1!I104</f>
        <v>0</v>
      </c>
      <c r="K104" s="0" t="n">
        <f aca="false">[2]Sheet1!J104</f>
        <v>0</v>
      </c>
      <c r="L104" s="0" t="n">
        <f aca="false">[2]Sheet1!K104</f>
        <v>0</v>
      </c>
      <c r="M104" s="0" t="n">
        <f aca="false">[2]Sheet1!L104</f>
        <v>0</v>
      </c>
      <c r="N104" s="0" t="n">
        <f aca="false">[2]Sheet1!M104</f>
        <v>0</v>
      </c>
      <c r="O104" s="0" t="n">
        <f aca="false">[2]Sheet1!N104</f>
        <v>0</v>
      </c>
      <c r="P104" s="226" t="n">
        <f aca="false">SUM(AY104+BA104)</f>
        <v>0</v>
      </c>
      <c r="Q104" s="201"/>
      <c r="R104" s="71"/>
      <c r="S104" s="227"/>
      <c r="T104" s="71"/>
      <c r="U104" s="201"/>
      <c r="V104" s="71"/>
      <c r="W104" s="227"/>
      <c r="X104" s="71"/>
      <c r="Y104" s="201"/>
      <c r="Z104" s="71"/>
      <c r="AA104" s="227"/>
      <c r="AB104" s="71"/>
      <c r="AC104" s="201"/>
      <c r="AD104" s="71"/>
      <c r="AE104" s="227"/>
      <c r="AF104" s="71"/>
      <c r="AG104" s="201"/>
      <c r="AH104" s="71"/>
      <c r="AI104" s="227"/>
      <c r="AJ104" s="71"/>
      <c r="AK104" s="201"/>
      <c r="AL104" s="71"/>
      <c r="AM104" s="227"/>
      <c r="AN104" s="71"/>
      <c r="AO104" s="201"/>
      <c r="AP104" s="71"/>
      <c r="AQ104" s="227"/>
      <c r="AR104" s="71"/>
      <c r="AS104" s="227"/>
      <c r="AT104" s="228"/>
      <c r="AU104" s="227"/>
      <c r="AV104" s="228"/>
      <c r="AW104" s="227"/>
      <c r="AX104" s="229" t="n">
        <f aca="false">SUM(R104+T104+V104+X104+Z104+AB104+AD104+AF104+AH104+AJ104+AL104+AN104+AP104+AR104)</f>
        <v>0</v>
      </c>
      <c r="AY104" s="230" t="n">
        <f aca="false">SUM(AX104*1000)/48</f>
        <v>0</v>
      </c>
      <c r="AZ104" s="231" t="n">
        <f aca="false">IFERROR(VLOOKUP(A104,'Site check'!$A$14:$O$47,15,0),0)</f>
        <v>0</v>
      </c>
      <c r="BA104" s="232" t="n">
        <f aca="false">SUM(AZ104*1000)/48</f>
        <v>0</v>
      </c>
      <c r="BB104" s="90" t="n">
        <f aca="false">SUM(P104/2)+E104</f>
        <v>0</v>
      </c>
      <c r="BC104" s="90" t="n">
        <f aca="false">SUM(P104/2)+F104</f>
        <v>0</v>
      </c>
    </row>
    <row r="105" customFormat="false" ht="13.15" hidden="false" customHeight="false" outlineLevel="0" collapsed="false">
      <c r="A105" s="0" t="str">
        <f aca="false">[2]Sheet1!A105</f>
        <v>WAHP03_SEC_CBDB_12_13_A</v>
      </c>
      <c r="B105" s="0" t="str">
        <f aca="false">[2]Sheet1!B105</f>
        <v>WAHP;DC SYS A Tx</v>
      </c>
      <c r="C105" s="44" t="str">
        <f aca="false">[2]Sheet1!C105</f>
        <v>WAHP03</v>
      </c>
      <c r="D105" s="44" t="s">
        <v>809</v>
      </c>
      <c r="E105" s="0" t="n">
        <f aca="false">[2]Sheet1!D105</f>
        <v>0</v>
      </c>
      <c r="F105" s="0" t="n">
        <f aca="false">[2]Sheet1!E105</f>
        <v>0</v>
      </c>
      <c r="G105" s="45" t="n">
        <f aca="false">[2]Sheet1!F105</f>
        <v>0</v>
      </c>
      <c r="H105" s="0" t="n">
        <f aca="false">[2]Sheet1!G105</f>
        <v>300</v>
      </c>
      <c r="I105" s="0" t="n">
        <f aca="false">[2]Sheet1!H105</f>
        <v>300</v>
      </c>
      <c r="J105" s="0" t="n">
        <f aca="false">[2]Sheet1!I105</f>
        <v>0</v>
      </c>
      <c r="K105" s="0" t="n">
        <f aca="false">[2]Sheet1!J105</f>
        <v>0</v>
      </c>
      <c r="L105" s="0" t="n">
        <f aca="false">[2]Sheet1!K105</f>
        <v>0</v>
      </c>
      <c r="M105" s="0" t="n">
        <f aca="false">[2]Sheet1!L105</f>
        <v>0</v>
      </c>
      <c r="N105" s="0" t="n">
        <f aca="false">[2]Sheet1!M105</f>
        <v>0</v>
      </c>
      <c r="O105" s="0" t="n">
        <f aca="false">[2]Sheet1!N105</f>
        <v>0</v>
      </c>
      <c r="P105" s="226" t="n">
        <f aca="false">SUM(AY105+BA105)</f>
        <v>0</v>
      </c>
      <c r="Q105" s="201"/>
      <c r="R105" s="71"/>
      <c r="S105" s="227"/>
      <c r="T105" s="71"/>
      <c r="U105" s="201"/>
      <c r="V105" s="71"/>
      <c r="W105" s="227"/>
      <c r="X105" s="71"/>
      <c r="Y105" s="201"/>
      <c r="Z105" s="71"/>
      <c r="AA105" s="227"/>
      <c r="AB105" s="71"/>
      <c r="AC105" s="201"/>
      <c r="AD105" s="71"/>
      <c r="AE105" s="227"/>
      <c r="AF105" s="71"/>
      <c r="AG105" s="201"/>
      <c r="AH105" s="71"/>
      <c r="AI105" s="227"/>
      <c r="AJ105" s="71"/>
      <c r="AK105" s="201"/>
      <c r="AL105" s="71"/>
      <c r="AM105" s="227"/>
      <c r="AN105" s="71"/>
      <c r="AO105" s="201"/>
      <c r="AP105" s="71"/>
      <c r="AQ105" s="227"/>
      <c r="AR105" s="71"/>
      <c r="AS105" s="227"/>
      <c r="AT105" s="228"/>
      <c r="AU105" s="227"/>
      <c r="AV105" s="228"/>
      <c r="AW105" s="227"/>
      <c r="AX105" s="229" t="n">
        <f aca="false">SUM(R105+T105+V105+X105+Z105+AB105+AD105+AF105+AH105+AJ105+AL105+AN105+AP105+AR105)</f>
        <v>0</v>
      </c>
      <c r="AY105" s="230" t="n">
        <f aca="false">SUM(AX105*1000)/48</f>
        <v>0</v>
      </c>
      <c r="AZ105" s="231" t="n">
        <f aca="false">IFERROR(VLOOKUP(A105,'Site check'!$A$14:$O$47,15,0),0)</f>
        <v>0</v>
      </c>
      <c r="BA105" s="232" t="n">
        <f aca="false">SUM(AZ105*1000)/48</f>
        <v>0</v>
      </c>
      <c r="BB105" s="90" t="n">
        <f aca="false">SUM(P105/2)+E105</f>
        <v>0</v>
      </c>
      <c r="BC105" s="90" t="n">
        <f aca="false">SUM(P105/2)+F105</f>
        <v>0</v>
      </c>
    </row>
    <row r="106" customFormat="false" ht="13.15" hidden="false" customHeight="false" outlineLevel="0" collapsed="false">
      <c r="A106" s="0" t="str">
        <f aca="false">[2]Sheet1!A106</f>
        <v>WAHP03_SEC_CBDB_16_17_A</v>
      </c>
      <c r="B106" s="0" t="str">
        <f aca="false">[2]Sheet1!B106</f>
        <v>WAHP;DC SYS A Tx</v>
      </c>
      <c r="C106" s="44" t="str">
        <f aca="false">[2]Sheet1!C106</f>
        <v>WAHP03</v>
      </c>
      <c r="D106" s="44" t="s">
        <v>809</v>
      </c>
      <c r="E106" s="0" t="n">
        <f aca="false">[2]Sheet1!D106</f>
        <v>0</v>
      </c>
      <c r="F106" s="0" t="n">
        <f aca="false">[2]Sheet1!E106</f>
        <v>0</v>
      </c>
      <c r="G106" s="45" t="n">
        <f aca="false">[2]Sheet1!F106</f>
        <v>0</v>
      </c>
      <c r="H106" s="0" t="n">
        <f aca="false">[2]Sheet1!G106</f>
        <v>300</v>
      </c>
      <c r="I106" s="0" t="n">
        <f aca="false">[2]Sheet1!H106</f>
        <v>300</v>
      </c>
      <c r="J106" s="0" t="n">
        <f aca="false">[2]Sheet1!I106</f>
        <v>0</v>
      </c>
      <c r="K106" s="0" t="n">
        <f aca="false">[2]Sheet1!J106</f>
        <v>4</v>
      </c>
      <c r="L106" s="0" t="n">
        <f aca="false">[2]Sheet1!K106</f>
        <v>0</v>
      </c>
      <c r="M106" s="0" t="n">
        <f aca="false">[2]Sheet1!L106</f>
        <v>0</v>
      </c>
      <c r="N106" s="0" t="n">
        <f aca="false">[2]Sheet1!M106</f>
        <v>0</v>
      </c>
      <c r="O106" s="0" t="n">
        <f aca="false">[2]Sheet1!N106</f>
        <v>0</v>
      </c>
      <c r="P106" s="226" t="n">
        <f aca="false">SUM(AY106+BA106)</f>
        <v>0</v>
      </c>
      <c r="Q106" s="201"/>
      <c r="R106" s="71"/>
      <c r="S106" s="227"/>
      <c r="T106" s="71"/>
      <c r="U106" s="201"/>
      <c r="V106" s="71"/>
      <c r="W106" s="227"/>
      <c r="X106" s="71"/>
      <c r="Y106" s="201"/>
      <c r="Z106" s="71"/>
      <c r="AA106" s="227"/>
      <c r="AB106" s="71"/>
      <c r="AC106" s="201"/>
      <c r="AD106" s="71"/>
      <c r="AE106" s="227"/>
      <c r="AF106" s="71"/>
      <c r="AG106" s="201"/>
      <c r="AH106" s="71"/>
      <c r="AI106" s="227"/>
      <c r="AJ106" s="71"/>
      <c r="AK106" s="201"/>
      <c r="AL106" s="71"/>
      <c r="AM106" s="227"/>
      <c r="AN106" s="71"/>
      <c r="AO106" s="201"/>
      <c r="AP106" s="71"/>
      <c r="AQ106" s="227"/>
      <c r="AR106" s="71"/>
      <c r="AS106" s="227"/>
      <c r="AT106" s="228"/>
      <c r="AU106" s="227"/>
      <c r="AV106" s="228"/>
      <c r="AW106" s="227"/>
      <c r="AX106" s="229" t="n">
        <f aca="false">SUM(R106+T106+V106+X106+Z106+AB106+AD106+AF106+AH106+AJ106+AL106+AN106+AP106+AR106)</f>
        <v>0</v>
      </c>
      <c r="AY106" s="230" t="n">
        <f aca="false">SUM(AX106*1000)/48</f>
        <v>0</v>
      </c>
      <c r="AZ106" s="231" t="n">
        <f aca="false">IFERROR(VLOOKUP(A106,'Site check'!$A$14:$O$47,15,0),0)</f>
        <v>0</v>
      </c>
      <c r="BA106" s="232" t="n">
        <f aca="false">SUM(AZ106*1000)/48</f>
        <v>0</v>
      </c>
      <c r="BB106" s="90" t="n">
        <f aca="false">SUM(P106/2)+E106</f>
        <v>0</v>
      </c>
      <c r="BC106" s="90" t="n">
        <f aca="false">SUM(P106/2)+F106</f>
        <v>0</v>
      </c>
    </row>
    <row r="107" customFormat="false" ht="13.15" hidden="false" customHeight="false" outlineLevel="0" collapsed="false">
      <c r="A107" s="0" t="str">
        <f aca="false">[2]Sheet1!A107</f>
        <v>WAHP03_SEC_CBDB_18_19_A</v>
      </c>
      <c r="B107" s="0" t="str">
        <f aca="false">[2]Sheet1!B107</f>
        <v>WAHP;DC SYS A Tx</v>
      </c>
      <c r="C107" s="44" t="str">
        <f aca="false">[2]Sheet1!C107</f>
        <v>WAHP03</v>
      </c>
      <c r="D107" s="44" t="s">
        <v>809</v>
      </c>
      <c r="E107" s="0" t="n">
        <f aca="false">[2]Sheet1!D107</f>
        <v>0</v>
      </c>
      <c r="F107" s="0" t="n">
        <f aca="false">[2]Sheet1!E107</f>
        <v>0</v>
      </c>
      <c r="G107" s="45" t="n">
        <f aca="false">[2]Sheet1!F107</f>
        <v>0</v>
      </c>
      <c r="H107" s="0" t="n">
        <f aca="false">[2]Sheet1!G107</f>
        <v>300</v>
      </c>
      <c r="I107" s="0" t="n">
        <f aca="false">[2]Sheet1!H107</f>
        <v>300</v>
      </c>
      <c r="J107" s="0" t="n">
        <f aca="false">[2]Sheet1!I107</f>
        <v>0</v>
      </c>
      <c r="K107" s="0" t="n">
        <f aca="false">[2]Sheet1!J107</f>
        <v>0</v>
      </c>
      <c r="L107" s="0" t="n">
        <f aca="false">[2]Sheet1!K107</f>
        <v>0</v>
      </c>
      <c r="M107" s="0" t="n">
        <f aca="false">[2]Sheet1!L107</f>
        <v>0</v>
      </c>
      <c r="N107" s="0" t="n">
        <f aca="false">[2]Sheet1!M107</f>
        <v>0</v>
      </c>
      <c r="O107" s="0" t="n">
        <f aca="false">[2]Sheet1!N107</f>
        <v>0</v>
      </c>
      <c r="P107" s="226" t="n">
        <f aca="false">SUM(AY107+BA107)</f>
        <v>0</v>
      </c>
      <c r="Q107" s="201"/>
      <c r="R107" s="71"/>
      <c r="S107" s="227"/>
      <c r="T107" s="71"/>
      <c r="U107" s="201"/>
      <c r="V107" s="71"/>
      <c r="W107" s="227"/>
      <c r="X107" s="71"/>
      <c r="Y107" s="201"/>
      <c r="Z107" s="71"/>
      <c r="AA107" s="227"/>
      <c r="AB107" s="71"/>
      <c r="AC107" s="201"/>
      <c r="AD107" s="71"/>
      <c r="AE107" s="227"/>
      <c r="AF107" s="71"/>
      <c r="AG107" s="201"/>
      <c r="AH107" s="71"/>
      <c r="AI107" s="227"/>
      <c r="AJ107" s="71"/>
      <c r="AK107" s="201"/>
      <c r="AL107" s="71"/>
      <c r="AM107" s="227"/>
      <c r="AN107" s="71"/>
      <c r="AO107" s="201"/>
      <c r="AP107" s="71"/>
      <c r="AQ107" s="227"/>
      <c r="AR107" s="71"/>
      <c r="AS107" s="227"/>
      <c r="AT107" s="228"/>
      <c r="AU107" s="227"/>
      <c r="AV107" s="228"/>
      <c r="AW107" s="227"/>
      <c r="AX107" s="229" t="n">
        <f aca="false">SUM(R107+T107+V107+X107+Z107+AB107+AD107+AF107+AH107+AJ107+AL107+AN107+AP107+AR107)</f>
        <v>0</v>
      </c>
      <c r="AY107" s="230" t="n">
        <f aca="false">SUM(AX107*1000)/48</f>
        <v>0</v>
      </c>
      <c r="AZ107" s="231" t="n">
        <f aca="false">IFERROR(VLOOKUP(A107,'Site check'!$A$14:$O$47,15,0),0)</f>
        <v>0</v>
      </c>
      <c r="BA107" s="232" t="n">
        <f aca="false">SUM(AZ107*1000)/48</f>
        <v>0</v>
      </c>
      <c r="BB107" s="90" t="n">
        <f aca="false">SUM(P107/2)+E107</f>
        <v>0</v>
      </c>
      <c r="BC107" s="90" t="n">
        <f aca="false">SUM(P107/2)+F107</f>
        <v>0</v>
      </c>
    </row>
    <row r="108" customFormat="false" ht="13.15" hidden="false" customHeight="false" outlineLevel="0" collapsed="false">
      <c r="A108" s="0" t="str">
        <f aca="false">[2]Sheet1!A108</f>
        <v>WAHP03_SEC_CBDB_2_3_A</v>
      </c>
      <c r="B108" s="0" t="str">
        <f aca="false">[2]Sheet1!B108</f>
        <v>WAHP;DC SYS A Tx</v>
      </c>
      <c r="C108" s="44" t="str">
        <f aca="false">[2]Sheet1!C108</f>
        <v>WAHP03</v>
      </c>
      <c r="D108" s="44" t="s">
        <v>809</v>
      </c>
      <c r="E108" s="0" t="n">
        <f aca="false">[2]Sheet1!D108</f>
        <v>24</v>
      </c>
      <c r="F108" s="0" t="n">
        <f aca="false">[2]Sheet1!E108</f>
        <v>35</v>
      </c>
      <c r="G108" s="45" t="n">
        <f aca="false">[2]Sheet1!F108</f>
        <v>42829</v>
      </c>
      <c r="H108" s="0" t="n">
        <f aca="false">[2]Sheet1!G108</f>
        <v>300</v>
      </c>
      <c r="I108" s="0" t="n">
        <f aca="false">[2]Sheet1!H108</f>
        <v>300</v>
      </c>
      <c r="J108" s="0" t="n">
        <f aca="false">[2]Sheet1!I108</f>
        <v>0</v>
      </c>
      <c r="K108" s="0" t="n">
        <f aca="false">[2]Sheet1!J108</f>
        <v>0</v>
      </c>
      <c r="L108" s="0" t="n">
        <f aca="false">[2]Sheet1!K108</f>
        <v>0</v>
      </c>
      <c r="M108" s="0" t="n">
        <f aca="false">[2]Sheet1!L108</f>
        <v>0</v>
      </c>
      <c r="N108" s="0" t="n">
        <f aca="false">[2]Sheet1!M108</f>
        <v>0</v>
      </c>
      <c r="O108" s="0" t="n">
        <f aca="false">[2]Sheet1!N108</f>
        <v>0</v>
      </c>
      <c r="P108" s="226" t="n">
        <f aca="false">SUM(AY108+BA108)</f>
        <v>0</v>
      </c>
      <c r="Q108" s="204"/>
      <c r="R108" s="221"/>
      <c r="S108" s="227"/>
      <c r="T108" s="71"/>
      <c r="U108" s="201"/>
      <c r="V108" s="71"/>
      <c r="W108" s="227"/>
      <c r="X108" s="71"/>
      <c r="Y108" s="201"/>
      <c r="Z108" s="71"/>
      <c r="AA108" s="227"/>
      <c r="AB108" s="71"/>
      <c r="AC108" s="201"/>
      <c r="AD108" s="71"/>
      <c r="AE108" s="227"/>
      <c r="AF108" s="71"/>
      <c r="AG108" s="201"/>
      <c r="AH108" s="71"/>
      <c r="AI108" s="227"/>
      <c r="AJ108" s="71"/>
      <c r="AK108" s="201"/>
      <c r="AL108" s="71"/>
      <c r="AM108" s="227"/>
      <c r="AN108" s="71"/>
      <c r="AO108" s="201"/>
      <c r="AP108" s="71"/>
      <c r="AQ108" s="227"/>
      <c r="AR108" s="71"/>
      <c r="AS108" s="227"/>
      <c r="AT108" s="228"/>
      <c r="AU108" s="227"/>
      <c r="AV108" s="228"/>
      <c r="AW108" s="227"/>
      <c r="AX108" s="229" t="n">
        <f aca="false">SUM(R108+T108+V108+X108+Z108+AB108+AD108+AF108+AH108+AJ108+AL108+AN108+AP108+AR108)</f>
        <v>0</v>
      </c>
      <c r="AY108" s="230" t="n">
        <f aca="false">SUM(AX108*1000)/48</f>
        <v>0</v>
      </c>
      <c r="AZ108" s="231" t="n">
        <f aca="false">IFERROR(VLOOKUP(A108,'Site check'!$A$14:$O$47,15,0),0)</f>
        <v>0</v>
      </c>
      <c r="BA108" s="232" t="n">
        <f aca="false">SUM(AZ108*1000)/48</f>
        <v>0</v>
      </c>
      <c r="BB108" s="90" t="n">
        <f aca="false">SUM(P108/2)+E108</f>
        <v>24</v>
      </c>
      <c r="BC108" s="90" t="n">
        <f aca="false">SUM(P108/2)+F108</f>
        <v>35</v>
      </c>
    </row>
    <row r="109" customFormat="false" ht="13.15" hidden="false" customHeight="false" outlineLevel="0" collapsed="false">
      <c r="A109" s="0" t="str">
        <f aca="false">[2]Sheet1!A109</f>
        <v>WAHP03_SEC_CBDB_20_21_A</v>
      </c>
      <c r="B109" s="0" t="str">
        <f aca="false">[2]Sheet1!B109</f>
        <v>WAHP;DC SYS A Tx</v>
      </c>
      <c r="C109" s="44" t="str">
        <f aca="false">[2]Sheet1!C109</f>
        <v>WAHP03</v>
      </c>
      <c r="D109" s="44" t="s">
        <v>809</v>
      </c>
      <c r="E109" s="0" t="n">
        <f aca="false">[2]Sheet1!D109</f>
        <v>0</v>
      </c>
      <c r="F109" s="0" t="n">
        <f aca="false">[2]Sheet1!E109</f>
        <v>0</v>
      </c>
      <c r="G109" s="45" t="n">
        <f aca="false">[2]Sheet1!F109</f>
        <v>0</v>
      </c>
      <c r="H109" s="0" t="n">
        <f aca="false">[2]Sheet1!G109</f>
        <v>300</v>
      </c>
      <c r="I109" s="0" t="n">
        <f aca="false">[2]Sheet1!H109</f>
        <v>300</v>
      </c>
      <c r="J109" s="0" t="n">
        <f aca="false">[2]Sheet1!I109</f>
        <v>0</v>
      </c>
      <c r="K109" s="0" t="n">
        <f aca="false">[2]Sheet1!J109</f>
        <v>0</v>
      </c>
      <c r="L109" s="0" t="n">
        <f aca="false">[2]Sheet1!K109</f>
        <v>0</v>
      </c>
      <c r="M109" s="0" t="n">
        <f aca="false">[2]Sheet1!L109</f>
        <v>0</v>
      </c>
      <c r="N109" s="0" t="n">
        <f aca="false">[2]Sheet1!M109</f>
        <v>0</v>
      </c>
      <c r="O109" s="0" t="n">
        <f aca="false">[2]Sheet1!N109</f>
        <v>0</v>
      </c>
      <c r="P109" s="226" t="n">
        <f aca="false">SUM(AY109+BA109)</f>
        <v>352.708333333333</v>
      </c>
      <c r="Q109" s="204" t="s">
        <v>1432</v>
      </c>
      <c r="R109" s="221" t="n">
        <v>2</v>
      </c>
      <c r="S109" s="204" t="s">
        <v>1433</v>
      </c>
      <c r="T109" s="221" t="n">
        <v>2</v>
      </c>
      <c r="U109" s="177" t="s">
        <v>1434</v>
      </c>
      <c r="V109" s="235" t="n">
        <v>2.73</v>
      </c>
      <c r="W109" s="212" t="s">
        <v>1435</v>
      </c>
      <c r="X109" s="221" t="n">
        <v>6</v>
      </c>
      <c r="Y109" s="181" t="s">
        <v>1474</v>
      </c>
      <c r="Z109" s="237" t="n">
        <v>4.2</v>
      </c>
      <c r="AA109" s="227"/>
      <c r="AB109" s="71"/>
      <c r="AC109" s="201"/>
      <c r="AD109" s="71"/>
      <c r="AE109" s="227"/>
      <c r="AF109" s="71"/>
      <c r="AG109" s="201"/>
      <c r="AH109" s="71"/>
      <c r="AI109" s="227"/>
      <c r="AJ109" s="71"/>
      <c r="AK109" s="201"/>
      <c r="AL109" s="71"/>
      <c r="AM109" s="227"/>
      <c r="AN109" s="71"/>
      <c r="AO109" s="201"/>
      <c r="AP109" s="71"/>
      <c r="AQ109" s="227"/>
      <c r="AR109" s="71"/>
      <c r="AS109" s="227"/>
      <c r="AT109" s="228"/>
      <c r="AU109" s="227"/>
      <c r="AV109" s="228"/>
      <c r="AW109" s="227"/>
      <c r="AX109" s="229" t="n">
        <f aca="false">SUM(R109+T109+V109+X109+Z109+AB109+AD109+AF109+AH109+AJ109+AL109+AN109+AP109+AR109)</f>
        <v>16.93</v>
      </c>
      <c r="AY109" s="230" t="n">
        <f aca="false">SUM(AX109*1000)/48</f>
        <v>352.708333333333</v>
      </c>
      <c r="AZ109" s="231" t="n">
        <f aca="false">IFERROR(VLOOKUP(A109,'Site check'!$A$14:$O$47,15,0),0)</f>
        <v>0</v>
      </c>
      <c r="BA109" s="232" t="n">
        <f aca="false">SUM(AZ109*1000)/48</f>
        <v>0</v>
      </c>
      <c r="BB109" s="90" t="n">
        <f aca="false">SUM(P109/2)+E109</f>
        <v>176.354166666667</v>
      </c>
      <c r="BC109" s="90" t="n">
        <f aca="false">SUM(P109/2)+F109</f>
        <v>176.354166666667</v>
      </c>
    </row>
    <row r="110" customFormat="false" ht="13.15" hidden="false" customHeight="false" outlineLevel="0" collapsed="false">
      <c r="A110" s="0" t="str">
        <f aca="false">[2]Sheet1!A110</f>
        <v>WAHP03_SEC_CBDB_22_23_A</v>
      </c>
      <c r="B110" s="0" t="str">
        <f aca="false">[2]Sheet1!B110</f>
        <v>WAHP;DC SYS A Tx</v>
      </c>
      <c r="C110" s="44" t="str">
        <f aca="false">[2]Sheet1!C110</f>
        <v>WAHP03</v>
      </c>
      <c r="D110" s="44" t="s">
        <v>809</v>
      </c>
      <c r="E110" s="0" t="n">
        <f aca="false">[2]Sheet1!D110</f>
        <v>0</v>
      </c>
      <c r="F110" s="0" t="n">
        <f aca="false">[2]Sheet1!E110</f>
        <v>0</v>
      </c>
      <c r="G110" s="45" t="n">
        <f aca="false">[2]Sheet1!F110</f>
        <v>0</v>
      </c>
      <c r="H110" s="0" t="n">
        <f aca="false">[2]Sheet1!G110</f>
        <v>300</v>
      </c>
      <c r="I110" s="0" t="n">
        <f aca="false">[2]Sheet1!H110</f>
        <v>300</v>
      </c>
      <c r="J110" s="0" t="n">
        <f aca="false">[2]Sheet1!I110</f>
        <v>0</v>
      </c>
      <c r="K110" s="0" t="n">
        <f aca="false">[2]Sheet1!J110</f>
        <v>0</v>
      </c>
      <c r="L110" s="0" t="n">
        <f aca="false">[2]Sheet1!K110</f>
        <v>1</v>
      </c>
      <c r="M110" s="0" t="n">
        <f aca="false">[2]Sheet1!L110</f>
        <v>1</v>
      </c>
      <c r="N110" s="0" t="n">
        <f aca="false">[2]Sheet1!M110</f>
        <v>0</v>
      </c>
      <c r="O110" s="0" t="n">
        <f aca="false">[2]Sheet1!N110</f>
        <v>0</v>
      </c>
      <c r="P110" s="226" t="n">
        <f aca="false">SUM(AY110+BA110)</f>
        <v>0</v>
      </c>
      <c r="Q110" s="201"/>
      <c r="R110" s="71"/>
      <c r="S110" s="227"/>
      <c r="T110" s="71"/>
      <c r="U110" s="201"/>
      <c r="V110" s="71"/>
      <c r="W110" s="227"/>
      <c r="X110" s="71"/>
      <c r="Y110" s="201"/>
      <c r="Z110" s="71"/>
      <c r="AA110" s="227"/>
      <c r="AB110" s="71"/>
      <c r="AC110" s="201"/>
      <c r="AD110" s="71"/>
      <c r="AE110" s="227"/>
      <c r="AF110" s="71"/>
      <c r="AG110" s="201"/>
      <c r="AH110" s="71"/>
      <c r="AI110" s="227"/>
      <c r="AJ110" s="71"/>
      <c r="AK110" s="201"/>
      <c r="AL110" s="71"/>
      <c r="AM110" s="227"/>
      <c r="AN110" s="71"/>
      <c r="AO110" s="201"/>
      <c r="AP110" s="71"/>
      <c r="AQ110" s="227"/>
      <c r="AR110" s="71"/>
      <c r="AS110" s="227"/>
      <c r="AT110" s="228"/>
      <c r="AU110" s="227"/>
      <c r="AV110" s="228"/>
      <c r="AW110" s="227"/>
      <c r="AX110" s="229" t="n">
        <f aca="false">SUM(R110+T110+V110+X110+Z110+AB110+AD110+AF110+AH110+AJ110+AL110+AN110+AP110+AR110)</f>
        <v>0</v>
      </c>
      <c r="AY110" s="230" t="n">
        <f aca="false">SUM(AX110*1000)/48</f>
        <v>0</v>
      </c>
      <c r="AZ110" s="231" t="n">
        <f aca="false">IFERROR(VLOOKUP(A110,'Site check'!$A$14:$O$47,15,0),0)</f>
        <v>0</v>
      </c>
      <c r="BA110" s="232" t="n">
        <f aca="false">SUM(AZ110*1000)/48</f>
        <v>0</v>
      </c>
      <c r="BB110" s="90" t="n">
        <f aca="false">SUM(P110/2)+E110</f>
        <v>0</v>
      </c>
      <c r="BC110" s="90" t="n">
        <f aca="false">SUM(P110/2)+F110</f>
        <v>0</v>
      </c>
    </row>
    <row r="111" customFormat="false" ht="13.15" hidden="false" customHeight="false" outlineLevel="0" collapsed="false">
      <c r="A111" s="0" t="str">
        <f aca="false">[2]Sheet1!A111</f>
        <v>WAHP03_SEC_CBDB_4_5_A</v>
      </c>
      <c r="B111" s="0" t="str">
        <f aca="false">[2]Sheet1!B111</f>
        <v>WAHP;DC SYS A Tx</v>
      </c>
      <c r="C111" s="44" t="str">
        <f aca="false">[2]Sheet1!C111</f>
        <v>WAHP03</v>
      </c>
      <c r="D111" s="44" t="s">
        <v>809</v>
      </c>
      <c r="E111" s="0" t="n">
        <f aca="false">[2]Sheet1!D111</f>
        <v>0</v>
      </c>
      <c r="F111" s="0" t="n">
        <f aca="false">[2]Sheet1!E111</f>
        <v>0</v>
      </c>
      <c r="G111" s="45" t="n">
        <f aca="false">[2]Sheet1!F111</f>
        <v>0</v>
      </c>
      <c r="H111" s="0" t="n">
        <f aca="false">[2]Sheet1!G111</f>
        <v>300</v>
      </c>
      <c r="I111" s="0" t="n">
        <f aca="false">[2]Sheet1!H111</f>
        <v>300</v>
      </c>
      <c r="J111" s="0" t="n">
        <f aca="false">[2]Sheet1!I111</f>
        <v>0</v>
      </c>
      <c r="K111" s="0" t="n">
        <f aca="false">[2]Sheet1!J111</f>
        <v>0</v>
      </c>
      <c r="L111" s="0" t="n">
        <f aca="false">[2]Sheet1!K111</f>
        <v>0</v>
      </c>
      <c r="M111" s="0" t="n">
        <f aca="false">[2]Sheet1!L111</f>
        <v>0</v>
      </c>
      <c r="N111" s="0" t="n">
        <f aca="false">[2]Sheet1!M111</f>
        <v>0</v>
      </c>
      <c r="O111" s="0" t="n">
        <f aca="false">[2]Sheet1!N111</f>
        <v>0</v>
      </c>
      <c r="P111" s="226" t="n">
        <f aca="false">SUM(AY111+BA111)</f>
        <v>56.875</v>
      </c>
      <c r="Q111" s="201"/>
      <c r="R111" s="71"/>
      <c r="S111" s="227"/>
      <c r="T111" s="71"/>
      <c r="U111" s="201"/>
      <c r="V111" s="71"/>
      <c r="W111" s="227"/>
      <c r="X111" s="71"/>
      <c r="Y111" s="201"/>
      <c r="Z111" s="71"/>
      <c r="AA111" s="227"/>
      <c r="AB111" s="71"/>
      <c r="AC111" s="201"/>
      <c r="AD111" s="71"/>
      <c r="AE111" s="227"/>
      <c r="AF111" s="71"/>
      <c r="AG111" s="201"/>
      <c r="AH111" s="71"/>
      <c r="AI111" s="227"/>
      <c r="AJ111" s="71"/>
      <c r="AK111" s="201"/>
      <c r="AL111" s="71"/>
      <c r="AM111" s="227"/>
      <c r="AN111" s="71"/>
      <c r="AO111" s="201"/>
      <c r="AP111" s="71"/>
      <c r="AQ111" s="227"/>
      <c r="AR111" s="71"/>
      <c r="AS111" s="227"/>
      <c r="AT111" s="228"/>
      <c r="AU111" s="227"/>
      <c r="AV111" s="228"/>
      <c r="AW111" s="227"/>
      <c r="AX111" s="229" t="n">
        <f aca="false">SUM(V109+T111+V111+X111+Z111+AB111+AD111+AF111+AH111+AJ111+AL111+AN111+AP111+AR111)</f>
        <v>2.73</v>
      </c>
      <c r="AY111" s="230" t="n">
        <f aca="false">SUM(AX111*1000)/48</f>
        <v>56.875</v>
      </c>
      <c r="AZ111" s="231" t="n">
        <f aca="false">IFERROR(VLOOKUP(A111,'Site check'!$A$14:$O$47,15,0),0)</f>
        <v>0</v>
      </c>
      <c r="BA111" s="232" t="n">
        <f aca="false">SUM(AZ111*1000)/48</f>
        <v>0</v>
      </c>
      <c r="BB111" s="90" t="n">
        <f aca="false">SUM(P111/2)+E111</f>
        <v>28.4375</v>
      </c>
      <c r="BC111" s="90" t="n">
        <f aca="false">SUM(P111/2)+F111</f>
        <v>28.4375</v>
      </c>
    </row>
    <row r="112" customFormat="false" ht="13.15" hidden="false" customHeight="false" outlineLevel="0" collapsed="false">
      <c r="A112" s="0" t="str">
        <f aca="false">[2]Sheet1!A112</f>
        <v>WAHP03_SEC_CBDB_6_7_A</v>
      </c>
      <c r="B112" s="0" t="str">
        <f aca="false">[2]Sheet1!B112</f>
        <v>WAHP;DC SYS A Tx</v>
      </c>
      <c r="C112" s="44" t="str">
        <f aca="false">[2]Sheet1!C112</f>
        <v>WAHP03</v>
      </c>
      <c r="D112" s="44" t="s">
        <v>809</v>
      </c>
      <c r="E112" s="0" t="n">
        <f aca="false">[2]Sheet1!D112</f>
        <v>0</v>
      </c>
      <c r="F112" s="0" t="n">
        <f aca="false">[2]Sheet1!E112</f>
        <v>0</v>
      </c>
      <c r="G112" s="45" t="n">
        <f aca="false">[2]Sheet1!F112</f>
        <v>0</v>
      </c>
      <c r="H112" s="0" t="n">
        <f aca="false">[2]Sheet1!G112</f>
        <v>300</v>
      </c>
      <c r="I112" s="0" t="n">
        <f aca="false">[2]Sheet1!H112</f>
        <v>300</v>
      </c>
      <c r="J112" s="0" t="n">
        <f aca="false">[2]Sheet1!I112</f>
        <v>0</v>
      </c>
      <c r="K112" s="0" t="n">
        <f aca="false">[2]Sheet1!J112</f>
        <v>0</v>
      </c>
      <c r="L112" s="0" t="n">
        <f aca="false">[2]Sheet1!K112</f>
        <v>0</v>
      </c>
      <c r="M112" s="0" t="n">
        <f aca="false">[2]Sheet1!L112</f>
        <v>0</v>
      </c>
      <c r="N112" s="0" t="n">
        <f aca="false">[2]Sheet1!M112</f>
        <v>0</v>
      </c>
      <c r="O112" s="0" t="n">
        <f aca="false">[2]Sheet1!N112</f>
        <v>0</v>
      </c>
      <c r="P112" s="226" t="n">
        <f aca="false">SUM(AY112+BA112)</f>
        <v>0</v>
      </c>
      <c r="Q112" s="201"/>
      <c r="R112" s="71"/>
      <c r="S112" s="227"/>
      <c r="T112" s="71"/>
      <c r="U112" s="201"/>
      <c r="V112" s="71"/>
      <c r="W112" s="227"/>
      <c r="X112" s="71"/>
      <c r="Y112" s="201"/>
      <c r="Z112" s="71"/>
      <c r="AA112" s="227"/>
      <c r="AB112" s="71"/>
      <c r="AC112" s="201"/>
      <c r="AD112" s="71"/>
      <c r="AE112" s="227"/>
      <c r="AF112" s="71"/>
      <c r="AG112" s="201"/>
      <c r="AH112" s="71"/>
      <c r="AI112" s="227"/>
      <c r="AJ112" s="71"/>
      <c r="AK112" s="201"/>
      <c r="AL112" s="71"/>
      <c r="AM112" s="227"/>
      <c r="AN112" s="71"/>
      <c r="AO112" s="201"/>
      <c r="AP112" s="71"/>
      <c r="AQ112" s="227"/>
      <c r="AR112" s="71"/>
      <c r="AS112" s="227"/>
      <c r="AT112" s="228"/>
      <c r="AU112" s="227"/>
      <c r="AV112" s="228"/>
      <c r="AW112" s="227"/>
      <c r="AX112" s="229" t="n">
        <f aca="false">SUM(R112+T112+V112+X112+Z112+AB112+AD112+AF112+AH112+AJ112+AL112+AN112+AP112+AR112)</f>
        <v>0</v>
      </c>
      <c r="AY112" s="230" t="n">
        <f aca="false">SUM(AX112*1000)/48</f>
        <v>0</v>
      </c>
      <c r="AZ112" s="231" t="n">
        <f aca="false">IFERROR(VLOOKUP(A112,'Site check'!$A$14:$O$47,15,0),0)</f>
        <v>0</v>
      </c>
      <c r="BA112" s="232" t="n">
        <f aca="false">SUM(AZ112*1000)/48</f>
        <v>0</v>
      </c>
      <c r="BB112" s="90" t="n">
        <f aca="false">SUM(P112/2)+E112</f>
        <v>0</v>
      </c>
      <c r="BC112" s="90" t="n">
        <f aca="false">SUM(P112/2)+F112</f>
        <v>0</v>
      </c>
    </row>
    <row r="113" customFormat="false" ht="13.15" hidden="false" customHeight="false" outlineLevel="0" collapsed="false">
      <c r="A113" s="0" t="str">
        <f aca="false">[2]Sheet1!A113</f>
        <v>WAHP03_SEC_CBDB_8_9_A</v>
      </c>
      <c r="B113" s="0" t="str">
        <f aca="false">[2]Sheet1!B113</f>
        <v>WAHP;DC SYS A Tx</v>
      </c>
      <c r="C113" s="44" t="str">
        <f aca="false">[2]Sheet1!C113</f>
        <v>WAHP03</v>
      </c>
      <c r="D113" s="44" t="s">
        <v>809</v>
      </c>
      <c r="E113" s="0" t="n">
        <f aca="false">[2]Sheet1!D113</f>
        <v>0</v>
      </c>
      <c r="F113" s="0" t="n">
        <f aca="false">[2]Sheet1!E113</f>
        <v>0</v>
      </c>
      <c r="G113" s="45" t="n">
        <f aca="false">[2]Sheet1!F113</f>
        <v>0</v>
      </c>
      <c r="H113" s="0" t="n">
        <f aca="false">[2]Sheet1!G113</f>
        <v>300</v>
      </c>
      <c r="I113" s="0" t="n">
        <f aca="false">[2]Sheet1!H113</f>
        <v>300</v>
      </c>
      <c r="J113" s="0" t="n">
        <f aca="false">[2]Sheet1!I113</f>
        <v>0</v>
      </c>
      <c r="K113" s="0" t="n">
        <f aca="false">[2]Sheet1!J113</f>
        <v>0</v>
      </c>
      <c r="L113" s="0" t="n">
        <f aca="false">[2]Sheet1!K113</f>
        <v>0</v>
      </c>
      <c r="M113" s="0" t="n">
        <f aca="false">[2]Sheet1!L113</f>
        <v>0</v>
      </c>
      <c r="N113" s="0" t="n">
        <f aca="false">[2]Sheet1!M113</f>
        <v>0</v>
      </c>
      <c r="O113" s="0" t="n">
        <f aca="false">[2]Sheet1!N113</f>
        <v>0</v>
      </c>
      <c r="P113" s="226" t="n">
        <f aca="false">SUM(AY113+BA113)</f>
        <v>0</v>
      </c>
      <c r="Q113" s="201"/>
      <c r="R113" s="71"/>
      <c r="S113" s="227"/>
      <c r="T113" s="71"/>
      <c r="U113" s="201"/>
      <c r="V113" s="71"/>
      <c r="W113" s="227"/>
      <c r="X113" s="71"/>
      <c r="Y113" s="201"/>
      <c r="Z113" s="71"/>
      <c r="AA113" s="227"/>
      <c r="AB113" s="71"/>
      <c r="AC113" s="201"/>
      <c r="AD113" s="71"/>
      <c r="AE113" s="227"/>
      <c r="AF113" s="71"/>
      <c r="AG113" s="201"/>
      <c r="AH113" s="71"/>
      <c r="AI113" s="227"/>
      <c r="AJ113" s="71"/>
      <c r="AK113" s="201"/>
      <c r="AL113" s="71"/>
      <c r="AM113" s="227"/>
      <c r="AN113" s="71"/>
      <c r="AO113" s="201"/>
      <c r="AP113" s="71"/>
      <c r="AQ113" s="227"/>
      <c r="AR113" s="71"/>
      <c r="AS113" s="227"/>
      <c r="AT113" s="228"/>
      <c r="AU113" s="227"/>
      <c r="AV113" s="228"/>
      <c r="AW113" s="227"/>
      <c r="AX113" s="229" t="n">
        <f aca="false">SUM(R113+T113+V113+X113+Z113+AB113+AD113+AF113+AH113+AJ113+AL113+AN113+AP113+AR113)</f>
        <v>0</v>
      </c>
      <c r="AY113" s="230" t="n">
        <f aca="false">SUM(AX113*1000)/48</f>
        <v>0</v>
      </c>
      <c r="AZ113" s="231" t="n">
        <f aca="false">IFERROR(VLOOKUP(A113,'Site check'!$A$14:$O$47,15,0),0)</f>
        <v>0</v>
      </c>
      <c r="BA113" s="232" t="n">
        <f aca="false">SUM(AZ113*1000)/48</f>
        <v>0</v>
      </c>
      <c r="BB113" s="90" t="n">
        <f aca="false">SUM(P113/2)+E113</f>
        <v>0</v>
      </c>
      <c r="BC113" s="90" t="n">
        <f aca="false">SUM(P113/2)+F113</f>
        <v>0</v>
      </c>
    </row>
    <row r="114" customFormat="false" ht="13.15" hidden="false" customHeight="false" outlineLevel="0" collapsed="false">
      <c r="A114" s="0" t="str">
        <f aca="false">[2]Sheet1!A114</f>
        <v>CAPPED_WAHP06_SEC_CBDB00_1_2_D</v>
      </c>
      <c r="B114" s="0" t="str">
        <f aca="false">[2]Sheet1!B114</f>
        <v>WAHP; DC SYS A (Feeds WAHP06)</v>
      </c>
      <c r="C114" s="44" t="str">
        <f aca="false">[2]Sheet1!C114</f>
        <v>WAHP06</v>
      </c>
      <c r="D114" s="44" t="s">
        <v>807</v>
      </c>
      <c r="E114" s="0" t="n">
        <f aca="false">[2]Sheet1!D114</f>
        <v>183</v>
      </c>
      <c r="F114" s="0" t="n">
        <f aca="false">[2]Sheet1!E114</f>
        <v>175</v>
      </c>
      <c r="G114" s="45" t="str">
        <f aca="false">[2]Sheet1!F114</f>
        <v>04/04/2024 (Clamp meter readings)</v>
      </c>
      <c r="H114" s="0" t="n">
        <f aca="false">[2]Sheet1!G114</f>
        <v>300</v>
      </c>
      <c r="I114" s="0" t="n">
        <f aca="false">[2]Sheet1!H114</f>
        <v>300</v>
      </c>
      <c r="J114" s="0" t="n">
        <f aca="false">[2]Sheet1!I114</f>
        <v>0</v>
      </c>
      <c r="K114" s="0" t="n">
        <f aca="false">[2]Sheet1!J114</f>
        <v>0</v>
      </c>
      <c r="L114" s="0" t="n">
        <f aca="false">[2]Sheet1!K114</f>
        <v>11</v>
      </c>
      <c r="M114" s="0" t="n">
        <f aca="false">[2]Sheet1!L114</f>
        <v>3</v>
      </c>
      <c r="N114" s="0" t="n">
        <f aca="false">[2]Sheet1!M114</f>
        <v>4</v>
      </c>
      <c r="O114" s="0" t="n">
        <f aca="false">[2]Sheet1!N114</f>
        <v>0</v>
      </c>
      <c r="P114" s="226" t="n">
        <f aca="false">SUM(AY114+BA114)</f>
        <v>125</v>
      </c>
      <c r="Q114" s="181" t="s">
        <v>1426</v>
      </c>
      <c r="R114" s="237" t="n">
        <v>6</v>
      </c>
      <c r="S114" s="227"/>
      <c r="T114" s="71"/>
      <c r="U114" s="201"/>
      <c r="V114" s="71"/>
      <c r="W114" s="227"/>
      <c r="X114" s="71"/>
      <c r="Y114" s="201"/>
      <c r="Z114" s="71"/>
      <c r="AA114" s="227"/>
      <c r="AB114" s="71"/>
      <c r="AC114" s="201"/>
      <c r="AD114" s="71"/>
      <c r="AE114" s="227"/>
      <c r="AF114" s="71"/>
      <c r="AG114" s="201"/>
      <c r="AH114" s="71"/>
      <c r="AI114" s="227"/>
      <c r="AJ114" s="71"/>
      <c r="AK114" s="201"/>
      <c r="AL114" s="71"/>
      <c r="AM114" s="227"/>
      <c r="AN114" s="71"/>
      <c r="AO114" s="201"/>
      <c r="AP114" s="71"/>
      <c r="AQ114" s="227"/>
      <c r="AR114" s="71"/>
      <c r="AS114" s="227"/>
      <c r="AT114" s="228"/>
      <c r="AU114" s="227"/>
      <c r="AV114" s="228"/>
      <c r="AW114" s="227"/>
      <c r="AX114" s="229" t="n">
        <f aca="false">SUM(R114+T114+V114+X114+Z114+AB114+AD114+AF114+AH114+AJ114+AL114+AN114+AP114+AR114)</f>
        <v>6</v>
      </c>
      <c r="AY114" s="230" t="n">
        <f aca="false">SUM(AX114*1000)/48</f>
        <v>125</v>
      </c>
      <c r="AZ114" s="231" t="n">
        <f aca="false">IFERROR(VLOOKUP(A114,'Site check'!$A$14:$O$47,15,0),0)</f>
        <v>0</v>
      </c>
      <c r="BA114" s="232" t="n">
        <f aca="false">SUM(AZ114*1000)/48</f>
        <v>0</v>
      </c>
      <c r="BB114" s="90" t="n">
        <f aca="false">SUM(P114/2)+E114</f>
        <v>245.5</v>
      </c>
      <c r="BC114" s="90" t="n">
        <f aca="false">SUM(P114/2)+F114</f>
        <v>237.5</v>
      </c>
    </row>
    <row r="115" customFormat="false" ht="13.15" hidden="false" customHeight="false" outlineLevel="0" collapsed="false">
      <c r="A115" s="0" t="str">
        <f aca="false">[2]Sheet1!A115</f>
        <v>CAPPED_WAHP06_SEC_CBDB01_1_2_P</v>
      </c>
      <c r="B115" s="0" t="str">
        <f aca="false">[2]Sheet1!B115</f>
        <v>WAHP; DC SYS A (Feeds WAHP06)</v>
      </c>
      <c r="C115" s="44" t="str">
        <f aca="false">[2]Sheet1!C115</f>
        <v>WAHP06</v>
      </c>
      <c r="D115" s="44" t="s">
        <v>807</v>
      </c>
      <c r="E115" s="0" t="n">
        <f aca="false">[2]Sheet1!D115</f>
        <v>275</v>
      </c>
      <c r="F115" s="0" t="n">
        <f aca="false">[2]Sheet1!E115</f>
        <v>275</v>
      </c>
      <c r="G115" s="45" t="n">
        <f aca="false">[2]Sheet1!F115</f>
        <v>44420</v>
      </c>
      <c r="H115" s="0" t="n">
        <f aca="false">[2]Sheet1!G115</f>
        <v>300</v>
      </c>
      <c r="I115" s="0" t="n">
        <f aca="false">[2]Sheet1!H115</f>
        <v>300</v>
      </c>
      <c r="J115" s="0" t="n">
        <f aca="false">[2]Sheet1!I115</f>
        <v>2</v>
      </c>
      <c r="K115" s="0" t="n">
        <f aca="false">[2]Sheet1!J115</f>
        <v>0</v>
      </c>
      <c r="L115" s="0" t="n">
        <f aca="false">[2]Sheet1!K115</f>
        <v>6</v>
      </c>
      <c r="M115" s="0" t="n">
        <f aca="false">[2]Sheet1!L115</f>
        <v>3</v>
      </c>
      <c r="N115" s="0" t="n">
        <f aca="false">[2]Sheet1!M115</f>
        <v>3</v>
      </c>
      <c r="O115" s="0" t="n">
        <f aca="false">[2]Sheet1!N115</f>
        <v>0</v>
      </c>
      <c r="P115" s="226" t="n">
        <f aca="false">SUM(AY115+BA115)</f>
        <v>0</v>
      </c>
      <c r="Q115" s="201"/>
      <c r="R115" s="71"/>
      <c r="S115" s="227"/>
      <c r="T115" s="71"/>
      <c r="U115" s="201"/>
      <c r="V115" s="71"/>
      <c r="W115" s="227"/>
      <c r="X115" s="71"/>
      <c r="Y115" s="170"/>
      <c r="Z115" s="71"/>
      <c r="AA115" s="227"/>
      <c r="AB115" s="71"/>
      <c r="AC115" s="201"/>
      <c r="AD115" s="71"/>
      <c r="AE115" s="227"/>
      <c r="AF115" s="71"/>
      <c r="AG115" s="201"/>
      <c r="AH115" s="71"/>
      <c r="AI115" s="227"/>
      <c r="AJ115" s="71"/>
      <c r="AK115" s="201"/>
      <c r="AL115" s="71"/>
      <c r="AM115" s="227"/>
      <c r="AN115" s="71"/>
      <c r="AO115" s="201"/>
      <c r="AP115" s="71"/>
      <c r="AQ115" s="227"/>
      <c r="AR115" s="71"/>
      <c r="AS115" s="227"/>
      <c r="AT115" s="228"/>
      <c r="AU115" s="227"/>
      <c r="AV115" s="228"/>
      <c r="AW115" s="227"/>
      <c r="AX115" s="229" t="n">
        <f aca="false">SUM(R115+T115+V115+X115+Z115+AB115+AD115+AF115+AH115+AJ115+AL115+AN115+AP115+AR115)</f>
        <v>0</v>
      </c>
      <c r="AY115" s="230" t="n">
        <f aca="false">SUM(AX115*1000)/48</f>
        <v>0</v>
      </c>
      <c r="AZ115" s="231" t="n">
        <f aca="false">IFERROR(VLOOKUP(A115,'Site check'!$A$14:$O$47,15,0),0)</f>
        <v>0</v>
      </c>
      <c r="BA115" s="232" t="n">
        <f aca="false">SUM(AZ115*1000)/48</f>
        <v>0</v>
      </c>
      <c r="BB115" s="90" t="n">
        <f aca="false">SUM(P115/2)+E115</f>
        <v>275</v>
      </c>
      <c r="BC115" s="90" t="n">
        <f aca="false">SUM(P115/2)+F115</f>
        <v>275</v>
      </c>
    </row>
    <row r="116" customFormat="false" ht="34.9" hidden="false" customHeight="false" outlineLevel="0" collapsed="false">
      <c r="A116" s="0" t="str">
        <f aca="false">[2]Sheet1!A116</f>
        <v>WAHP06_PDU1_A_B</v>
      </c>
      <c r="B116" s="0" t="str">
        <f aca="false">[2]Sheet1!B116</f>
        <v>WAHP; DC SYS A (Feeds WAHP06)</v>
      </c>
      <c r="C116" s="44" t="str">
        <f aca="false">[2]Sheet1!C116</f>
        <v>WAHP06</v>
      </c>
      <c r="D116" s="44" t="s">
        <v>807</v>
      </c>
      <c r="E116" s="0" t="n">
        <f aca="false">[2]Sheet1!D116</f>
        <v>185.79</v>
      </c>
      <c r="F116" s="0" t="n">
        <f aca="false">[2]Sheet1!E116</f>
        <v>178.55</v>
      </c>
      <c r="G116" s="45" t="n">
        <f aca="false">[2]Sheet1!F116</f>
        <v>45631</v>
      </c>
      <c r="H116" s="0" t="n">
        <f aca="false">[2]Sheet1!G116</f>
        <v>360</v>
      </c>
      <c r="I116" s="0" t="n">
        <f aca="false">[2]Sheet1!H116</f>
        <v>360</v>
      </c>
      <c r="J116" s="0" t="n">
        <f aca="false">[2]Sheet1!I116</f>
        <v>0</v>
      </c>
      <c r="K116" s="0" t="n">
        <f aca="false">[2]Sheet1!J116</f>
        <v>0</v>
      </c>
      <c r="L116" s="0" t="n">
        <f aca="false">[2]Sheet1!K116</f>
        <v>0</v>
      </c>
      <c r="M116" s="0" t="n">
        <f aca="false">[2]Sheet1!L116</f>
        <v>0</v>
      </c>
      <c r="N116" s="0" t="n">
        <f aca="false">[2]Sheet1!M116</f>
        <v>0</v>
      </c>
      <c r="O116" s="0" t="n">
        <f aca="false">[2]Sheet1!N116</f>
        <v>0</v>
      </c>
      <c r="P116" s="226" t="n">
        <f aca="false">SUM(AY116+BA116)</f>
        <v>314.583333333333</v>
      </c>
      <c r="Q116" s="170" t="s">
        <v>1421</v>
      </c>
      <c r="R116" s="234" t="n">
        <v>2.4</v>
      </c>
      <c r="S116" s="170" t="s">
        <v>1475</v>
      </c>
      <c r="T116" s="234" t="n">
        <v>6.3</v>
      </c>
      <c r="U116" s="170" t="s">
        <v>1476</v>
      </c>
      <c r="V116" s="234" t="n">
        <v>2.6</v>
      </c>
      <c r="W116" s="170" t="s">
        <v>1425</v>
      </c>
      <c r="X116" s="234" t="n">
        <v>0.7</v>
      </c>
      <c r="Y116" s="170" t="s">
        <v>1424</v>
      </c>
      <c r="Z116" s="171" t="n">
        <v>1.5</v>
      </c>
      <c r="AA116" s="185" t="s">
        <v>1431</v>
      </c>
      <c r="AB116" s="180" t="n">
        <v>1.6</v>
      </c>
      <c r="AC116" s="170"/>
      <c r="AD116" s="171"/>
      <c r="AE116" s="227"/>
      <c r="AF116" s="71"/>
      <c r="AG116" s="201"/>
      <c r="AH116" s="71"/>
      <c r="AI116" s="227"/>
      <c r="AJ116" s="71"/>
      <c r="AK116" s="201"/>
      <c r="AL116" s="71"/>
      <c r="AM116" s="227"/>
      <c r="AN116" s="71"/>
      <c r="AO116" s="201"/>
      <c r="AP116" s="71"/>
      <c r="AQ116" s="227"/>
      <c r="AR116" s="71"/>
      <c r="AS116" s="227"/>
      <c r="AT116" s="228"/>
      <c r="AU116" s="227"/>
      <c r="AV116" s="228"/>
      <c r="AW116" s="227"/>
      <c r="AX116" s="229" t="n">
        <f aca="false">SUM(R116+T116+V116+X116+Z116+AB116+AD116+AF116+AH116+AJ116+AL116+AN116+AP116+AR116)</f>
        <v>15.1</v>
      </c>
      <c r="AY116" s="230" t="n">
        <f aca="false">SUM(AX116*1000)/48</f>
        <v>314.583333333333</v>
      </c>
      <c r="AZ116" s="231" t="n">
        <f aca="false">IFERROR(VLOOKUP(A116,'Site check'!$A$14:$O$47,15,0),0)</f>
        <v>0</v>
      </c>
      <c r="BA116" s="232" t="n">
        <f aca="false">SUM(AZ116*1000)/48</f>
        <v>0</v>
      </c>
      <c r="BB116" s="90" t="n">
        <f aca="false">SUM(P116/2)+E116</f>
        <v>343.081666666667</v>
      </c>
      <c r="BC116" s="90" t="n">
        <f aca="false">SUM(P116/2)+F116</f>
        <v>335.841666666667</v>
      </c>
    </row>
    <row r="117" customFormat="false" ht="13.15" hidden="false" customHeight="false" outlineLevel="0" collapsed="false">
      <c r="A117" s="0" t="str">
        <f aca="false">[2]Sheet1!A117</f>
        <v>WAHP06_SEC_CBDB00_3_4_N</v>
      </c>
      <c r="B117" s="0" t="str">
        <f aca="false">[2]Sheet1!B117</f>
        <v>WAHP; DC SYS A (Feeds WAHP06)</v>
      </c>
      <c r="C117" s="44" t="str">
        <f aca="false">[2]Sheet1!C117</f>
        <v>WAHP06</v>
      </c>
      <c r="D117" s="44" t="s">
        <v>807</v>
      </c>
      <c r="E117" s="0" t="n">
        <f aca="false">[2]Sheet1!D117</f>
        <v>328</v>
      </c>
      <c r="F117" s="0" t="n">
        <f aca="false">[2]Sheet1!E117</f>
        <v>252</v>
      </c>
      <c r="G117" s="45" t="n">
        <f aca="false">[2]Sheet1!F117</f>
        <v>44599</v>
      </c>
      <c r="H117" s="0" t="n">
        <f aca="false">[2]Sheet1!G117</f>
        <v>300</v>
      </c>
      <c r="I117" s="0" t="n">
        <f aca="false">[2]Sheet1!H117</f>
        <v>300</v>
      </c>
      <c r="J117" s="0" t="n">
        <f aca="false">[2]Sheet1!I117</f>
        <v>1</v>
      </c>
      <c r="K117" s="0" t="n">
        <f aca="false">[2]Sheet1!J117</f>
        <v>0</v>
      </c>
      <c r="L117" s="0" t="n">
        <f aca="false">[2]Sheet1!K117</f>
        <v>0</v>
      </c>
      <c r="M117" s="0" t="n">
        <f aca="false">[2]Sheet1!L117</f>
        <v>0</v>
      </c>
      <c r="N117" s="0" t="n">
        <f aca="false">[2]Sheet1!M117</f>
        <v>0</v>
      </c>
      <c r="O117" s="0" t="n">
        <f aca="false">[2]Sheet1!N117</f>
        <v>19</v>
      </c>
      <c r="P117" s="226" t="n">
        <f aca="false">SUM(AY117+BA117)</f>
        <v>135.416666666667</v>
      </c>
      <c r="Q117" s="177" t="s">
        <v>1427</v>
      </c>
      <c r="R117" s="71" t="n">
        <v>3</v>
      </c>
      <c r="S117" s="181" t="s">
        <v>1422</v>
      </c>
      <c r="T117" s="234" t="n">
        <v>2.5</v>
      </c>
      <c r="U117" s="181" t="s">
        <v>1430</v>
      </c>
      <c r="V117" s="171" t="n">
        <v>1</v>
      </c>
      <c r="W117" s="170"/>
      <c r="X117" s="234"/>
      <c r="Y117" s="201"/>
      <c r="Z117" s="71"/>
      <c r="AA117" s="227"/>
      <c r="AB117" s="71"/>
      <c r="AC117" s="201"/>
      <c r="AD117" s="71"/>
      <c r="AE117" s="227"/>
      <c r="AF117" s="71"/>
      <c r="AG117" s="201"/>
      <c r="AH117" s="71"/>
      <c r="AI117" s="227"/>
      <c r="AJ117" s="71"/>
      <c r="AK117" s="201"/>
      <c r="AL117" s="71"/>
      <c r="AM117" s="227"/>
      <c r="AN117" s="71"/>
      <c r="AO117" s="201"/>
      <c r="AP117" s="71"/>
      <c r="AQ117" s="227"/>
      <c r="AR117" s="71"/>
      <c r="AS117" s="227"/>
      <c r="AT117" s="228"/>
      <c r="AU117" s="227"/>
      <c r="AV117" s="228"/>
      <c r="AW117" s="227"/>
      <c r="AX117" s="229" t="n">
        <f aca="false">SUM(R117+T117+V117+X117+Z117+AB117+AD117+AF117+AH117+AJ117+AL117+AN117+AP117+AR117)</f>
        <v>6.5</v>
      </c>
      <c r="AY117" s="230" t="n">
        <f aca="false">SUM(AX117*1000)/48</f>
        <v>135.416666666667</v>
      </c>
      <c r="AZ117" s="231" t="n">
        <f aca="false">IFERROR(VLOOKUP(A117,'Site check'!$A$14:$O$47,15,0),0)</f>
        <v>0</v>
      </c>
      <c r="BA117" s="232" t="n">
        <f aca="false">SUM(AZ117*1000)/48</f>
        <v>0</v>
      </c>
      <c r="BB117" s="90" t="n">
        <f aca="false">SUM(P117/2)+E117</f>
        <v>395.708333333333</v>
      </c>
      <c r="BC117" s="90" t="n">
        <f aca="false">SUM(P117/2)+F117</f>
        <v>319.708333333333</v>
      </c>
    </row>
    <row r="118" customFormat="false" ht="13.15" hidden="false" customHeight="false" outlineLevel="0" collapsed="false">
      <c r="A118" s="0" t="str">
        <f aca="false">[2]Sheet1!A118</f>
        <v>DCDB Details WAIP06.</v>
      </c>
      <c r="B118" s="0" t="str">
        <f aca="false">[2]Sheet1!B118</f>
        <v>WAIP;DC SYS01;GND</v>
      </c>
      <c r="C118" s="44" t="str">
        <f aca="false">[2]Sheet1!C118</f>
        <v>WAIP06</v>
      </c>
      <c r="D118" s="44" t="s">
        <v>810</v>
      </c>
      <c r="E118" s="0" t="n">
        <f aca="false">[2]Sheet1!D118</f>
        <v>0</v>
      </c>
      <c r="F118" s="0" t="n">
        <f aca="false">[2]Sheet1!E118</f>
        <v>0</v>
      </c>
      <c r="G118" s="45" t="n">
        <f aca="false">[2]Sheet1!F118</f>
        <v>44125</v>
      </c>
      <c r="H118" s="0" t="n">
        <f aca="false">[2]Sheet1!G118</f>
        <v>300</v>
      </c>
      <c r="I118" s="0" t="n">
        <f aca="false">[2]Sheet1!H118</f>
        <v>300</v>
      </c>
      <c r="J118" s="0" t="n">
        <f aca="false">[2]Sheet1!I118</f>
        <v>4</v>
      </c>
      <c r="K118" s="0" t="n">
        <f aca="false">[2]Sheet1!J118</f>
        <v>0</v>
      </c>
      <c r="L118" s="0" t="n">
        <f aca="false">[2]Sheet1!K118</f>
        <v>0</v>
      </c>
      <c r="M118" s="0" t="n">
        <f aca="false">[2]Sheet1!L118</f>
        <v>2</v>
      </c>
      <c r="N118" s="0" t="n">
        <f aca="false">[2]Sheet1!M118</f>
        <v>4</v>
      </c>
      <c r="O118" s="0" t="n">
        <f aca="false">[2]Sheet1!N118</f>
        <v>44</v>
      </c>
      <c r="P118" s="226" t="n">
        <f aca="false">SUM(AY118+BA118)</f>
        <v>0</v>
      </c>
      <c r="Q118" s="201"/>
      <c r="R118" s="71"/>
      <c r="S118" s="227"/>
      <c r="T118" s="71"/>
      <c r="U118" s="201"/>
      <c r="V118" s="71"/>
      <c r="W118" s="227"/>
      <c r="X118" s="71"/>
      <c r="Y118" s="201"/>
      <c r="Z118" s="71"/>
      <c r="AA118" s="227"/>
      <c r="AB118" s="71"/>
      <c r="AC118" s="201"/>
      <c r="AD118" s="71"/>
      <c r="AE118" s="227"/>
      <c r="AF118" s="71"/>
      <c r="AG118" s="201"/>
      <c r="AH118" s="71"/>
      <c r="AI118" s="227"/>
      <c r="AJ118" s="71"/>
      <c r="AK118" s="201"/>
      <c r="AL118" s="71"/>
      <c r="AM118" s="227"/>
      <c r="AN118" s="71"/>
      <c r="AO118" s="201"/>
      <c r="AP118" s="71"/>
      <c r="AQ118" s="227"/>
      <c r="AR118" s="71"/>
      <c r="AS118" s="227"/>
      <c r="AT118" s="228"/>
      <c r="AU118" s="227"/>
      <c r="AV118" s="228"/>
      <c r="AW118" s="227"/>
      <c r="AX118" s="229" t="n">
        <f aca="false">SUM(R118+T118+V118+X118+Z118+AB118+AD118+AF118+AH118+AJ118+AL118+AN118+AP118+AR118)</f>
        <v>0</v>
      </c>
      <c r="AY118" s="230" t="n">
        <f aca="false">SUM(AX118*1000)/48</f>
        <v>0</v>
      </c>
      <c r="AZ118" s="231" t="n">
        <f aca="false">IFERROR(VLOOKUP(A118,'Site check'!$A$14:$O$47,15,0),0)</f>
        <v>0</v>
      </c>
      <c r="BA118" s="232" t="n">
        <f aca="false">SUM(AZ118*1000)/48</f>
        <v>0</v>
      </c>
      <c r="BB118" s="90" t="n">
        <f aca="false">SUM(P118/2)+E118</f>
        <v>0</v>
      </c>
      <c r="BC118" s="90" t="n">
        <f aca="false">SUM(P118/2)+F118</f>
        <v>0</v>
      </c>
    </row>
    <row r="119" customFormat="false" ht="13.15" hidden="false" customHeight="false" outlineLevel="0" collapsed="false">
      <c r="A119" s="0" t="str">
        <f aca="false">[2]Sheet1!A119</f>
        <v>DCDB_BTNW01- ADVANCE DC 600  Suite 2D.</v>
      </c>
      <c r="B119" s="0" t="str">
        <f aca="false">[2]Sheet1!B119</f>
        <v>BTNW01;DC SYS01</v>
      </c>
      <c r="C119" s="44" t="str">
        <f aca="false">[2]Sheet1!C119</f>
        <v>BTNW01</v>
      </c>
      <c r="D119" s="44" t="s">
        <v>475</v>
      </c>
      <c r="E119" s="0" t="n">
        <f aca="false">[2]Sheet1!D119</f>
        <v>40</v>
      </c>
      <c r="F119" s="0" t="n">
        <f aca="false">[2]Sheet1!E119</f>
        <v>30</v>
      </c>
      <c r="G119" s="45" t="n">
        <f aca="false">[2]Sheet1!F119</f>
        <v>44161</v>
      </c>
      <c r="H119" s="0" t="n">
        <f aca="false">[2]Sheet1!G119</f>
        <v>300</v>
      </c>
      <c r="I119" s="0" t="n">
        <f aca="false">[2]Sheet1!H119</f>
        <v>300</v>
      </c>
      <c r="J119" s="0" t="n">
        <f aca="false">[2]Sheet1!I119</f>
        <v>0</v>
      </c>
      <c r="K119" s="0" t="n">
        <f aca="false">[2]Sheet1!J119</f>
        <v>0</v>
      </c>
      <c r="L119" s="0" t="n">
        <f aca="false">[2]Sheet1!K119</f>
        <v>0</v>
      </c>
      <c r="M119" s="0" t="n">
        <f aca="false">[2]Sheet1!L119</f>
        <v>0</v>
      </c>
      <c r="N119" s="0" t="n">
        <f aca="false">[2]Sheet1!M119</f>
        <v>0</v>
      </c>
      <c r="O119" s="0" t="n">
        <f aca="false">[2]Sheet1!N119</f>
        <v>0</v>
      </c>
      <c r="P119" s="226" t="n">
        <f aca="false">SUM(AY119+BA119)</f>
        <v>0</v>
      </c>
      <c r="Q119" s="201"/>
      <c r="R119" s="71"/>
      <c r="S119" s="227"/>
      <c r="T119" s="71"/>
      <c r="U119" s="201"/>
      <c r="V119" s="71"/>
      <c r="W119" s="227"/>
      <c r="X119" s="71"/>
      <c r="Y119" s="201"/>
      <c r="Z119" s="71"/>
      <c r="AA119" s="227"/>
      <c r="AB119" s="71"/>
      <c r="AC119" s="201"/>
      <c r="AD119" s="71"/>
      <c r="AE119" s="227"/>
      <c r="AF119" s="71"/>
      <c r="AG119" s="201"/>
      <c r="AH119" s="71"/>
      <c r="AI119" s="227"/>
      <c r="AJ119" s="71"/>
      <c r="AK119" s="201"/>
      <c r="AL119" s="71"/>
      <c r="AM119" s="227"/>
      <c r="AN119" s="71"/>
      <c r="AO119" s="201"/>
      <c r="AP119" s="71"/>
      <c r="AQ119" s="227"/>
      <c r="AR119" s="71"/>
      <c r="AS119" s="227"/>
      <c r="AT119" s="228"/>
      <c r="AU119" s="227"/>
      <c r="AV119" s="228"/>
      <c r="AW119" s="227"/>
      <c r="AX119" s="229" t="n">
        <f aca="false">SUM(R119+T119+V119+X119+Z119+AB119+AD119+AF119+AH119+AJ119+AL119+AN119+AP119+AR119)</f>
        <v>0</v>
      </c>
      <c r="AY119" s="230" t="n">
        <f aca="false">SUM(AX119*1000)/48</f>
        <v>0</v>
      </c>
      <c r="AZ119" s="231" t="n">
        <f aca="false">IFERROR(VLOOKUP(A119,'Site check'!$A$14:$O$47,15,0),0)</f>
        <v>0</v>
      </c>
      <c r="BA119" s="232" t="n">
        <f aca="false">SUM(AZ119*1000)/48</f>
        <v>0</v>
      </c>
      <c r="BB119" s="90" t="n">
        <f aca="false">SUM(P119/2)+E119</f>
        <v>40</v>
      </c>
      <c r="BC119" s="90" t="n">
        <f aca="false">SUM(P119/2)+F119</f>
        <v>30</v>
      </c>
    </row>
    <row r="120" customFormat="false" ht="13.15" hidden="false" customHeight="false" outlineLevel="0" collapsed="false">
      <c r="A120" s="0" t="str">
        <f aca="false">[2]Sheet1!A120</f>
        <v>DCDB_BTNW01- ADVANCE DC 600  Suite 3D.</v>
      </c>
      <c r="B120" s="0" t="str">
        <f aca="false">[2]Sheet1!B120</f>
        <v>BTNW01;DC SYS01</v>
      </c>
      <c r="C120" s="44" t="str">
        <f aca="false">[2]Sheet1!C120</f>
        <v>BTNW01</v>
      </c>
      <c r="D120" s="44" t="s">
        <v>1477</v>
      </c>
      <c r="E120" s="0" t="n">
        <f aca="false">[2]Sheet1!D120</f>
        <v>40</v>
      </c>
      <c r="F120" s="0" t="n">
        <f aca="false">[2]Sheet1!E120</f>
        <v>30</v>
      </c>
      <c r="G120" s="45" t="n">
        <f aca="false">[2]Sheet1!F120</f>
        <v>44161</v>
      </c>
      <c r="H120" s="0" t="n">
        <f aca="false">[2]Sheet1!G120</f>
        <v>300</v>
      </c>
      <c r="I120" s="0" t="n">
        <f aca="false">[2]Sheet1!H120</f>
        <v>300</v>
      </c>
      <c r="J120" s="0" t="n">
        <f aca="false">[2]Sheet1!I120</f>
        <v>0</v>
      </c>
      <c r="K120" s="0" t="n">
        <f aca="false">[2]Sheet1!J120</f>
        <v>0</v>
      </c>
      <c r="L120" s="0" t="n">
        <f aca="false">[2]Sheet1!K120</f>
        <v>0</v>
      </c>
      <c r="M120" s="0" t="n">
        <f aca="false">[2]Sheet1!L120</f>
        <v>0</v>
      </c>
      <c r="N120" s="0" t="n">
        <f aca="false">[2]Sheet1!M120</f>
        <v>0</v>
      </c>
      <c r="O120" s="0" t="n">
        <f aca="false">[2]Sheet1!N120</f>
        <v>42</v>
      </c>
      <c r="P120" s="226" t="n">
        <f aca="false">SUM(AY120+BA120)</f>
        <v>0</v>
      </c>
      <c r="Q120" s="201"/>
      <c r="R120" s="71"/>
      <c r="S120" s="227"/>
      <c r="T120" s="71"/>
      <c r="U120" s="201"/>
      <c r="V120" s="71"/>
      <c r="W120" s="227"/>
      <c r="X120" s="71"/>
      <c r="Y120" s="201"/>
      <c r="Z120" s="71"/>
      <c r="AA120" s="227"/>
      <c r="AB120" s="71"/>
      <c r="AC120" s="201"/>
      <c r="AD120" s="71"/>
      <c r="AE120" s="227"/>
      <c r="AF120" s="71"/>
      <c r="AG120" s="201"/>
      <c r="AH120" s="71"/>
      <c r="AI120" s="227"/>
      <c r="AJ120" s="71"/>
      <c r="AK120" s="201"/>
      <c r="AL120" s="71"/>
      <c r="AM120" s="227"/>
      <c r="AN120" s="71"/>
      <c r="AO120" s="201"/>
      <c r="AP120" s="71"/>
      <c r="AQ120" s="227"/>
      <c r="AR120" s="71"/>
      <c r="AS120" s="227"/>
      <c r="AT120" s="228"/>
      <c r="AU120" s="227"/>
      <c r="AV120" s="228"/>
      <c r="AW120" s="227"/>
      <c r="AX120" s="229" t="n">
        <f aca="false">SUM(R120+T120+V120+X120+Z120+AB120+AD120+AF120+AH120+AJ120+AL120+AN120+AP120+AR120)</f>
        <v>0</v>
      </c>
      <c r="AY120" s="230" t="n">
        <f aca="false">SUM(AX120*1000)/48</f>
        <v>0</v>
      </c>
      <c r="AZ120" s="231" t="n">
        <f aca="false">IFERROR(VLOOKUP(A120,'Site check'!$A$14:$O$47,15,0),0)</f>
        <v>0</v>
      </c>
      <c r="BA120" s="232" t="n">
        <f aca="false">SUM(AZ120*1000)/48</f>
        <v>0</v>
      </c>
      <c r="BB120" s="90" t="n">
        <f aca="false">SUM(P120/2)+E120</f>
        <v>40</v>
      </c>
      <c r="BC120" s="90" t="n">
        <f aca="false">SUM(P120/2)+F120</f>
        <v>30</v>
      </c>
    </row>
    <row r="121" customFormat="false" ht="13.15" hidden="false" customHeight="false" outlineLevel="0" collapsed="false">
      <c r="A121" s="0" t="str">
        <f aca="false">[2]Sheet1!A121</f>
        <v>BCT - DCDB-Suite IJ01</v>
      </c>
      <c r="B121" s="0" t="str">
        <f aca="false">[2]Sheet1!B121</f>
        <v>BCT;DC SYS01</v>
      </c>
      <c r="C121" s="44" t="str">
        <f aca="false">[2]Sheet1!C121</f>
        <v>BCT</v>
      </c>
      <c r="D121" s="44" t="s">
        <v>378</v>
      </c>
      <c r="E121" s="0" t="n">
        <f aca="false">[2]Sheet1!D121</f>
        <v>30</v>
      </c>
      <c r="F121" s="0" t="n">
        <f aca="false">[2]Sheet1!E121</f>
        <v>29</v>
      </c>
      <c r="G121" s="45" t="n">
        <f aca="false">[2]Sheet1!F121</f>
        <v>45082</v>
      </c>
      <c r="H121" s="0" t="n">
        <f aca="false">[2]Sheet1!G121</f>
        <v>300</v>
      </c>
      <c r="I121" s="0" t="n">
        <f aca="false">[2]Sheet1!H121</f>
        <v>300</v>
      </c>
      <c r="J121" s="0" t="n">
        <f aca="false">[2]Sheet1!I121</f>
        <v>5</v>
      </c>
      <c r="K121" s="0" t="n">
        <f aca="false">[2]Sheet1!J121</f>
        <v>0</v>
      </c>
      <c r="L121" s="0" t="n">
        <f aca="false">[2]Sheet1!K121</f>
        <v>3</v>
      </c>
      <c r="M121" s="0" t="n">
        <f aca="false">[2]Sheet1!L121</f>
        <v>0</v>
      </c>
      <c r="N121" s="0" t="n">
        <f aca="false">[2]Sheet1!M121</f>
        <v>0</v>
      </c>
      <c r="O121" s="0" t="n">
        <f aca="false">[2]Sheet1!N121</f>
        <v>41</v>
      </c>
      <c r="P121" s="226" t="n">
        <f aca="false">SUM(AY121+BA121)</f>
        <v>62.5</v>
      </c>
      <c r="Q121" s="204" t="s">
        <v>1478</v>
      </c>
      <c r="R121" s="221" t="n">
        <v>1</v>
      </c>
      <c r="S121" s="202" t="s">
        <v>972</v>
      </c>
      <c r="T121" s="235" t="n">
        <v>2</v>
      </c>
      <c r="U121" s="201"/>
      <c r="V121" s="71"/>
      <c r="W121" s="227"/>
      <c r="X121" s="71"/>
      <c r="Y121" s="201"/>
      <c r="Z121" s="71"/>
      <c r="AA121" s="227"/>
      <c r="AB121" s="71"/>
      <c r="AC121" s="201"/>
      <c r="AD121" s="71"/>
      <c r="AE121" s="227"/>
      <c r="AF121" s="71"/>
      <c r="AG121" s="201"/>
      <c r="AH121" s="71"/>
      <c r="AI121" s="227"/>
      <c r="AJ121" s="71"/>
      <c r="AK121" s="201"/>
      <c r="AL121" s="71"/>
      <c r="AM121" s="227"/>
      <c r="AN121" s="71"/>
      <c r="AO121" s="201"/>
      <c r="AP121" s="71"/>
      <c r="AQ121" s="227"/>
      <c r="AR121" s="71"/>
      <c r="AS121" s="227"/>
      <c r="AT121" s="228"/>
      <c r="AU121" s="227"/>
      <c r="AV121" s="228"/>
      <c r="AW121" s="227"/>
      <c r="AX121" s="229" t="n">
        <f aca="false">SUM(R121+T121+V121+X121+Z121+AB121+AD121+AF121+AH121+AJ121+AL121+AN121+AP121+AR121)</f>
        <v>3</v>
      </c>
      <c r="AY121" s="230" t="n">
        <f aca="false">SUM(AX121*1000)/48</f>
        <v>62.5</v>
      </c>
      <c r="AZ121" s="231" t="n">
        <f aca="false">IFERROR(VLOOKUP(A121,'Site check'!$A$14:$O$47,15,0),0)</f>
        <v>0</v>
      </c>
      <c r="BA121" s="232" t="n">
        <f aca="false">SUM(AZ121*1000)/48</f>
        <v>0</v>
      </c>
      <c r="BB121" s="90" t="n">
        <f aca="false">SUM(P121/2)+E121</f>
        <v>61.25</v>
      </c>
      <c r="BC121" s="90" t="n">
        <f aca="false">SUM(P121/2)+F121</f>
        <v>60.25</v>
      </c>
    </row>
    <row r="122" customFormat="false" ht="13.15" hidden="false" customHeight="false" outlineLevel="0" collapsed="false">
      <c r="A122" s="0" t="str">
        <f aca="false">[2]Sheet1!A122</f>
        <v>BCT_SEC_DCDB_WALL</v>
      </c>
      <c r="B122" s="0" t="str">
        <f aca="false">[2]Sheet1!B122</f>
        <v>BCT;DC SYS01</v>
      </c>
      <c r="C122" s="44" t="str">
        <f aca="false">[2]Sheet1!C122</f>
        <v>BCT</v>
      </c>
      <c r="D122" s="44" t="s">
        <v>378</v>
      </c>
      <c r="E122" s="0" t="n">
        <f aca="false">[2]Sheet1!D122</f>
        <v>0</v>
      </c>
      <c r="F122" s="0" t="n">
        <f aca="false">[2]Sheet1!E122</f>
        <v>0</v>
      </c>
      <c r="G122" s="45" t="n">
        <f aca="false">[2]Sheet1!F122</f>
        <v>45082</v>
      </c>
      <c r="H122" s="0" t="n">
        <f aca="false">[2]Sheet1!G122</f>
        <v>100</v>
      </c>
      <c r="I122" s="0" t="n">
        <f aca="false">[2]Sheet1!H122</f>
        <v>0</v>
      </c>
      <c r="J122" s="0" t="n">
        <f aca="false">[2]Sheet1!I122</f>
        <v>0</v>
      </c>
      <c r="K122" s="0" t="n">
        <f aca="false">[2]Sheet1!J122</f>
        <v>0</v>
      </c>
      <c r="L122" s="0" t="n">
        <f aca="false">[2]Sheet1!K122</f>
        <v>0</v>
      </c>
      <c r="M122" s="0" t="n">
        <f aca="false">[2]Sheet1!L122</f>
        <v>0</v>
      </c>
      <c r="N122" s="0" t="n">
        <f aca="false">[2]Sheet1!M122</f>
        <v>0</v>
      </c>
      <c r="O122" s="0" t="n">
        <f aca="false">[2]Sheet1!N122</f>
        <v>1</v>
      </c>
      <c r="P122" s="226" t="n">
        <f aca="false">SUM(AY122+BA122)</f>
        <v>0</v>
      </c>
      <c r="Q122" s="201"/>
      <c r="R122" s="71"/>
      <c r="S122" s="227"/>
      <c r="T122" s="71"/>
      <c r="U122" s="201"/>
      <c r="V122" s="71"/>
      <c r="W122" s="227"/>
      <c r="X122" s="71"/>
      <c r="Y122" s="201"/>
      <c r="Z122" s="71"/>
      <c r="AA122" s="227"/>
      <c r="AB122" s="71"/>
      <c r="AC122" s="201"/>
      <c r="AD122" s="71"/>
      <c r="AE122" s="227"/>
      <c r="AF122" s="71"/>
      <c r="AG122" s="201"/>
      <c r="AH122" s="71"/>
      <c r="AI122" s="227"/>
      <c r="AJ122" s="71"/>
      <c r="AK122" s="201"/>
      <c r="AL122" s="71"/>
      <c r="AM122" s="227"/>
      <c r="AN122" s="71"/>
      <c r="AO122" s="201"/>
      <c r="AP122" s="71"/>
      <c r="AQ122" s="227"/>
      <c r="AR122" s="71"/>
      <c r="AS122" s="227"/>
      <c r="AT122" s="228"/>
      <c r="AU122" s="227"/>
      <c r="AV122" s="228"/>
      <c r="AW122" s="227"/>
      <c r="AX122" s="229" t="n">
        <f aca="false">SUM(R122+T122+V122+X122+Z122+AB122+AD122+AF122+AH122+AJ122+AL122+AN122+AP122+AR122)</f>
        <v>0</v>
      </c>
      <c r="AY122" s="230" t="n">
        <f aca="false">SUM(AX122*1000)/48</f>
        <v>0</v>
      </c>
      <c r="AZ122" s="231" t="n">
        <f aca="false">IFERROR(VLOOKUP(A122,'Site check'!$A$14:$O$47,15,0),0)</f>
        <v>0</v>
      </c>
      <c r="BA122" s="232" t="n">
        <f aca="false">SUM(AZ122*1000)/48</f>
        <v>0</v>
      </c>
      <c r="BB122" s="90" t="n">
        <f aca="false">SUM(P122/2)+E122</f>
        <v>0</v>
      </c>
      <c r="BC122" s="90" t="n">
        <f aca="false">SUM(P122/2)+F122</f>
        <v>0</v>
      </c>
    </row>
    <row r="123" customFormat="false" ht="13.15" hidden="false" customHeight="false" outlineLevel="0" collapsed="false">
      <c r="A123" s="0" t="str">
        <f aca="false">[2]Sheet1!A123</f>
        <v>BCT_SYS_DCDB_WALL - Ignore</v>
      </c>
      <c r="B123" s="0" t="str">
        <f aca="false">[2]Sheet1!B123</f>
        <v>BCT;DC SYS01</v>
      </c>
      <c r="C123" s="44" t="str">
        <f aca="false">[2]Sheet1!C123</f>
        <v>BCT</v>
      </c>
      <c r="D123" s="44" t="s">
        <v>378</v>
      </c>
      <c r="E123" s="0" t="n">
        <f aca="false">[2]Sheet1!D123</f>
        <v>0</v>
      </c>
      <c r="F123" s="0" t="n">
        <f aca="false">[2]Sheet1!E123</f>
        <v>0</v>
      </c>
      <c r="G123" s="45" t="n">
        <f aca="false">[2]Sheet1!F123</f>
        <v>0</v>
      </c>
      <c r="H123" s="0" t="n">
        <f aca="false">[2]Sheet1!G123</f>
        <v>300</v>
      </c>
      <c r="I123" s="0" t="n">
        <f aca="false">[2]Sheet1!H123</f>
        <v>300</v>
      </c>
      <c r="J123" s="0" t="n">
        <f aca="false">[2]Sheet1!I123</f>
        <v>0</v>
      </c>
      <c r="K123" s="0" t="n">
        <f aca="false">[2]Sheet1!J123</f>
        <v>1</v>
      </c>
      <c r="L123" s="0" t="n">
        <f aca="false">[2]Sheet1!K123</f>
        <v>0</v>
      </c>
      <c r="M123" s="0" t="n">
        <f aca="false">[2]Sheet1!L123</f>
        <v>0</v>
      </c>
      <c r="N123" s="0" t="n">
        <f aca="false">[2]Sheet1!M123</f>
        <v>0</v>
      </c>
      <c r="O123" s="0" t="n">
        <f aca="false">[2]Sheet1!N123</f>
        <v>0</v>
      </c>
      <c r="P123" s="226" t="n">
        <f aca="false">SUM(AY123+BA123)</f>
        <v>0</v>
      </c>
      <c r="Q123" s="201"/>
      <c r="R123" s="71"/>
      <c r="S123" s="227"/>
      <c r="T123" s="71"/>
      <c r="U123" s="201"/>
      <c r="V123" s="71"/>
      <c r="W123" s="227"/>
      <c r="X123" s="71"/>
      <c r="Y123" s="201"/>
      <c r="Z123" s="71"/>
      <c r="AA123" s="227"/>
      <c r="AB123" s="71"/>
      <c r="AC123" s="201"/>
      <c r="AD123" s="71"/>
      <c r="AE123" s="227"/>
      <c r="AF123" s="71"/>
      <c r="AG123" s="201"/>
      <c r="AH123" s="71"/>
      <c r="AI123" s="227"/>
      <c r="AJ123" s="71"/>
      <c r="AK123" s="201"/>
      <c r="AL123" s="71"/>
      <c r="AM123" s="227"/>
      <c r="AN123" s="71"/>
      <c r="AO123" s="201"/>
      <c r="AP123" s="71"/>
      <c r="AQ123" s="227"/>
      <c r="AR123" s="71"/>
      <c r="AS123" s="227"/>
      <c r="AT123" s="228"/>
      <c r="AU123" s="227"/>
      <c r="AV123" s="228"/>
      <c r="AW123" s="227"/>
      <c r="AX123" s="229" t="n">
        <f aca="false">SUM(R123+T123+V123+X123+Z123+AB123+AD123+AF123+AH123+AJ123+AL123+AN123+AP123+AR123)</f>
        <v>0</v>
      </c>
      <c r="AY123" s="230" t="n">
        <f aca="false">SUM(AX123*1000)/48</f>
        <v>0</v>
      </c>
      <c r="AZ123" s="231" t="n">
        <f aca="false">IFERROR(VLOOKUP(A123,'Site check'!$A$14:$O$47,15,0),0)</f>
        <v>0</v>
      </c>
      <c r="BA123" s="232" t="n">
        <f aca="false">SUM(AZ123*1000)/48</f>
        <v>0</v>
      </c>
      <c r="BB123" s="90" t="n">
        <f aca="false">SUM(P123/2)+E123</f>
        <v>0</v>
      </c>
      <c r="BC123" s="90" t="n">
        <f aca="false">SUM(P123/2)+F123</f>
        <v>0</v>
      </c>
    </row>
    <row r="124" customFormat="false" ht="13.15" hidden="false" customHeight="false" outlineLevel="0" collapsed="false">
      <c r="A124" s="0" t="str">
        <f aca="false">[2]Sheet1!A124</f>
        <v>BHMTF1 - DCDB.A - Suite.A-B Rack.10A</v>
      </c>
      <c r="B124" s="0" t="str">
        <f aca="false">[2]Sheet1!B124</f>
        <v>BHMTF1;DC SYS A</v>
      </c>
      <c r="C124" s="44" t="str">
        <f aca="false">[2]Sheet1!C124</f>
        <v>BHMTF1</v>
      </c>
      <c r="D124" s="44" t="s">
        <v>415</v>
      </c>
      <c r="E124" s="0" t="n">
        <f aca="false">[2]Sheet1!D124</f>
        <v>163</v>
      </c>
      <c r="F124" s="0" t="str">
        <f aca="false">[2]Sheet1!E124</f>
        <v>N/A</v>
      </c>
      <c r="G124" s="45" t="n">
        <f aca="false">[2]Sheet1!F124</f>
        <v>44965</v>
      </c>
      <c r="H124" s="0" t="n">
        <f aca="false">[2]Sheet1!G124</f>
        <v>300</v>
      </c>
      <c r="I124" s="0" t="str">
        <f aca="false">[2]Sheet1!H124</f>
        <v>N/A</v>
      </c>
      <c r="J124" s="0" t="n">
        <f aca="false">[2]Sheet1!I124</f>
        <v>0</v>
      </c>
      <c r="K124" s="0" t="n">
        <f aca="false">[2]Sheet1!J124</f>
        <v>0</v>
      </c>
      <c r="L124" s="0" t="n">
        <f aca="false">[2]Sheet1!K124</f>
        <v>0</v>
      </c>
      <c r="M124" s="0" t="n">
        <f aca="false">[2]Sheet1!L124</f>
        <v>0</v>
      </c>
      <c r="N124" s="0" t="n">
        <f aca="false">[2]Sheet1!M124</f>
        <v>0</v>
      </c>
      <c r="O124" s="0" t="n">
        <f aca="false">[2]Sheet1!N124</f>
        <v>43</v>
      </c>
      <c r="P124" s="226" t="n">
        <f aca="false">SUM(AY124+BA124)</f>
        <v>104.166666666667</v>
      </c>
      <c r="Q124" s="170" t="s">
        <v>1010</v>
      </c>
      <c r="R124" s="234" t="n">
        <v>5</v>
      </c>
      <c r="S124" s="227"/>
      <c r="T124" s="71"/>
      <c r="U124" s="201"/>
      <c r="V124" s="71"/>
      <c r="W124" s="227"/>
      <c r="X124" s="71"/>
      <c r="Y124" s="201"/>
      <c r="Z124" s="71"/>
      <c r="AA124" s="227"/>
      <c r="AB124" s="71"/>
      <c r="AC124" s="201"/>
      <c r="AD124" s="71"/>
      <c r="AE124" s="227"/>
      <c r="AF124" s="71"/>
      <c r="AG124" s="201"/>
      <c r="AH124" s="71"/>
      <c r="AI124" s="227"/>
      <c r="AJ124" s="71"/>
      <c r="AK124" s="201"/>
      <c r="AL124" s="71"/>
      <c r="AM124" s="227"/>
      <c r="AN124" s="71"/>
      <c r="AO124" s="201"/>
      <c r="AP124" s="71"/>
      <c r="AQ124" s="227"/>
      <c r="AR124" s="71"/>
      <c r="AS124" s="227"/>
      <c r="AT124" s="228"/>
      <c r="AU124" s="227"/>
      <c r="AV124" s="228"/>
      <c r="AW124" s="227"/>
      <c r="AX124" s="229" t="n">
        <f aca="false">SUM(R124+T124+V124+X124+Z124+AB124+AD124+AF124+AH124+AJ124+AL124+AN124+AP124+AR124)</f>
        <v>5</v>
      </c>
      <c r="AY124" s="230" t="n">
        <f aca="false">SUM(AX124*1000)/48</f>
        <v>104.166666666667</v>
      </c>
      <c r="AZ124" s="231" t="n">
        <f aca="false">IFERROR(VLOOKUP(A124,'Site check'!$A$14:$O$47,15,0),0)</f>
        <v>0</v>
      </c>
      <c r="BA124" s="232" t="n">
        <f aca="false">SUM(AZ124*1000)/48</f>
        <v>0</v>
      </c>
      <c r="BB124" s="90" t="n">
        <f aca="false">SUM(P124/2)+E124</f>
        <v>215.083333333333</v>
      </c>
      <c r="BC124" s="90" t="e">
        <f aca="false">SUM(P124/2)+F124</f>
        <v>#VALUE!</v>
      </c>
    </row>
    <row r="125" customFormat="false" ht="13.15" hidden="false" customHeight="false" outlineLevel="0" collapsed="false">
      <c r="A125" s="0" t="str">
        <f aca="false">[2]Sheet1!A125</f>
        <v>BHMTF1 - DCDB.B - Suite.A-B Rack.9A</v>
      </c>
      <c r="B125" s="0" t="str">
        <f aca="false">[2]Sheet1!B125</f>
        <v>BHMTF1;DC SYS B</v>
      </c>
      <c r="C125" s="44" t="str">
        <f aca="false">[2]Sheet1!C125</f>
        <v>BHMTF1</v>
      </c>
      <c r="D125" s="44" t="s">
        <v>415</v>
      </c>
      <c r="E125" s="0" t="str">
        <f aca="false">[2]Sheet1!D125</f>
        <v>N/A</v>
      </c>
      <c r="F125" s="0" t="n">
        <f aca="false">[2]Sheet1!E125</f>
        <v>164</v>
      </c>
      <c r="G125" s="45" t="n">
        <f aca="false">[2]Sheet1!F125</f>
        <v>44965</v>
      </c>
      <c r="H125" s="0" t="str">
        <f aca="false">[2]Sheet1!G125</f>
        <v>N/A</v>
      </c>
      <c r="I125" s="0" t="n">
        <f aca="false">[2]Sheet1!H125</f>
        <v>300</v>
      </c>
      <c r="J125" s="0" t="n">
        <f aca="false">[2]Sheet1!I125</f>
        <v>0</v>
      </c>
      <c r="K125" s="0" t="n">
        <f aca="false">[2]Sheet1!J125</f>
        <v>0</v>
      </c>
      <c r="L125" s="0" t="n">
        <f aca="false">[2]Sheet1!K125</f>
        <v>0</v>
      </c>
      <c r="M125" s="0" t="n">
        <f aca="false">[2]Sheet1!L125</f>
        <v>0</v>
      </c>
      <c r="N125" s="0" t="n">
        <f aca="false">[2]Sheet1!M125</f>
        <v>0</v>
      </c>
      <c r="O125" s="0" t="n">
        <f aca="false">[2]Sheet1!N125</f>
        <v>43</v>
      </c>
      <c r="P125" s="226" t="n">
        <f aca="false">SUM(AY125+BA125)</f>
        <v>0</v>
      </c>
      <c r="Q125" s="170"/>
      <c r="R125" s="234"/>
      <c r="S125" s="227"/>
      <c r="T125" s="71"/>
      <c r="U125" s="201"/>
      <c r="V125" s="71"/>
      <c r="W125" s="227"/>
      <c r="X125" s="71"/>
      <c r="Y125" s="201"/>
      <c r="Z125" s="71"/>
      <c r="AA125" s="227"/>
      <c r="AB125" s="71"/>
      <c r="AC125" s="201"/>
      <c r="AD125" s="71"/>
      <c r="AE125" s="227"/>
      <c r="AF125" s="71"/>
      <c r="AG125" s="201"/>
      <c r="AH125" s="71"/>
      <c r="AI125" s="227"/>
      <c r="AJ125" s="71"/>
      <c r="AK125" s="201"/>
      <c r="AL125" s="71"/>
      <c r="AM125" s="227"/>
      <c r="AN125" s="71"/>
      <c r="AO125" s="201"/>
      <c r="AP125" s="71"/>
      <c r="AQ125" s="227"/>
      <c r="AR125" s="71"/>
      <c r="AS125" s="227"/>
      <c r="AT125" s="228"/>
      <c r="AU125" s="227"/>
      <c r="AV125" s="228"/>
      <c r="AW125" s="227"/>
      <c r="AX125" s="229" t="n">
        <f aca="false">SUM(R125+T125+V125+X125+Z125+AB125+AD125+AF125+AH125+AJ125+AL125+AN125+AP125+AR125)</f>
        <v>0</v>
      </c>
      <c r="AY125" s="230" t="n">
        <f aca="false">SUM(AX125*1000)/48</f>
        <v>0</v>
      </c>
      <c r="AZ125" s="231" t="n">
        <f aca="false">IFERROR(VLOOKUP(A125,'Site check'!$A$14:$O$47,15,0),0)</f>
        <v>0</v>
      </c>
      <c r="BA125" s="232" t="n">
        <f aca="false">SUM(AZ125*1000)/48</f>
        <v>0</v>
      </c>
      <c r="BB125" s="90" t="e">
        <f aca="false">SUM(P125/2)+E125</f>
        <v>#VALUE!</v>
      </c>
      <c r="BC125" s="90" t="n">
        <f aca="false">SUM(P125/2)+F125</f>
        <v>164</v>
      </c>
    </row>
    <row r="126" customFormat="false" ht="13.15" hidden="false" customHeight="false" outlineLevel="0" collapsed="false">
      <c r="A126" s="0" t="str">
        <f aca="false">[2]Sheet1!A126</f>
        <v>BMGV02_SEC_CBDB00_2_3_A</v>
      </c>
      <c r="B126" s="0" t="n">
        <f aca="false">[2]Sheet1!B126</f>
        <v>0</v>
      </c>
      <c r="C126" s="44" t="str">
        <f aca="false">[2]Sheet1!C126</f>
        <v>BMGV02</v>
      </c>
      <c r="D126" s="44" t="s">
        <v>1479</v>
      </c>
      <c r="E126" s="0" t="n">
        <f aca="false">[2]Sheet1!D126</f>
        <v>0</v>
      </c>
      <c r="F126" s="0" t="n">
        <f aca="false">[2]Sheet1!E126</f>
        <v>0</v>
      </c>
      <c r="G126" s="45" t="n">
        <f aca="false">[2]Sheet1!F126</f>
        <v>0</v>
      </c>
      <c r="H126" s="0" t="n">
        <f aca="false">[2]Sheet1!G126</f>
        <v>300</v>
      </c>
      <c r="I126" s="0" t="n">
        <f aca="false">[2]Sheet1!H126</f>
        <v>300</v>
      </c>
      <c r="J126" s="0" t="n">
        <f aca="false">[2]Sheet1!I126</f>
        <v>0</v>
      </c>
      <c r="K126" s="0" t="n">
        <f aca="false">[2]Sheet1!J126</f>
        <v>0</v>
      </c>
      <c r="L126" s="0" t="n">
        <f aca="false">[2]Sheet1!K126</f>
        <v>0</v>
      </c>
      <c r="M126" s="0" t="n">
        <f aca="false">[2]Sheet1!L126</f>
        <v>0</v>
      </c>
      <c r="N126" s="0" t="n">
        <f aca="false">[2]Sheet1!M126</f>
        <v>5</v>
      </c>
      <c r="O126" s="0" t="n">
        <f aca="false">[2]Sheet1!N126</f>
        <v>0</v>
      </c>
      <c r="P126" s="226" t="n">
        <f aca="false">SUM(AY126+BA126)</f>
        <v>0</v>
      </c>
      <c r="Q126" s="201"/>
      <c r="R126" s="71"/>
      <c r="S126" s="227"/>
      <c r="T126" s="71"/>
      <c r="U126" s="201"/>
      <c r="V126" s="71"/>
      <c r="W126" s="227"/>
      <c r="X126" s="71"/>
      <c r="Y126" s="201"/>
      <c r="Z126" s="71"/>
      <c r="AA126" s="227"/>
      <c r="AB126" s="71"/>
      <c r="AC126" s="201"/>
      <c r="AD126" s="71"/>
      <c r="AE126" s="227"/>
      <c r="AF126" s="71"/>
      <c r="AG126" s="201"/>
      <c r="AH126" s="71"/>
      <c r="AI126" s="227"/>
      <c r="AJ126" s="71"/>
      <c r="AK126" s="201"/>
      <c r="AL126" s="71"/>
      <c r="AM126" s="227"/>
      <c r="AN126" s="71"/>
      <c r="AO126" s="201"/>
      <c r="AP126" s="71"/>
      <c r="AQ126" s="227"/>
      <c r="AR126" s="71"/>
      <c r="AS126" s="227"/>
      <c r="AT126" s="228"/>
      <c r="AU126" s="227"/>
      <c r="AV126" s="228"/>
      <c r="AW126" s="227"/>
      <c r="AX126" s="229" t="n">
        <f aca="false">SUM(R126+T126+V126+X126+Z126+AB126+AD126+AF126+AH126+AJ126+AL126+AN126+AP126+AR126)</f>
        <v>0</v>
      </c>
      <c r="AY126" s="230" t="n">
        <f aca="false">SUM(AX126*1000)/48</f>
        <v>0</v>
      </c>
      <c r="AZ126" s="231" t="n">
        <f aca="false">IFERROR(VLOOKUP(A126,'Site check'!$A$14:$O$47,15,0),0)</f>
        <v>0</v>
      </c>
      <c r="BA126" s="232" t="n">
        <f aca="false">SUM(AZ126*1000)/48</f>
        <v>0</v>
      </c>
      <c r="BB126" s="90" t="n">
        <f aca="false">SUM(P126/2)+E126</f>
        <v>0</v>
      </c>
      <c r="BC126" s="90" t="n">
        <f aca="false">SUM(P126/2)+F126</f>
        <v>0</v>
      </c>
    </row>
    <row r="127" customFormat="false" ht="13.15" hidden="false" customHeight="false" outlineLevel="0" collapsed="false">
      <c r="A127" s="0" t="str">
        <f aca="false">[2]Sheet1!A127</f>
        <v>BMGV02_SEC_CBDB01_6_7_A</v>
      </c>
      <c r="B127" s="0" t="n">
        <f aca="false">[2]Sheet1!B127</f>
        <v>0</v>
      </c>
      <c r="C127" s="44" t="str">
        <f aca="false">[2]Sheet1!C127</f>
        <v>BMGV02</v>
      </c>
      <c r="D127" s="44" t="s">
        <v>1479</v>
      </c>
      <c r="E127" s="0" t="n">
        <f aca="false">[2]Sheet1!D127</f>
        <v>0</v>
      </c>
      <c r="F127" s="0" t="n">
        <f aca="false">[2]Sheet1!E127</f>
        <v>0</v>
      </c>
      <c r="G127" s="45" t="n">
        <f aca="false">[2]Sheet1!F127</f>
        <v>0</v>
      </c>
      <c r="H127" s="0" t="n">
        <f aca="false">[2]Sheet1!G127</f>
        <v>300</v>
      </c>
      <c r="I127" s="0" t="n">
        <f aca="false">[2]Sheet1!H127</f>
        <v>300</v>
      </c>
      <c r="J127" s="0" t="n">
        <f aca="false">[2]Sheet1!I127</f>
        <v>0</v>
      </c>
      <c r="K127" s="0" t="n">
        <f aca="false">[2]Sheet1!J127</f>
        <v>0</v>
      </c>
      <c r="L127" s="0" t="n">
        <f aca="false">[2]Sheet1!K127</f>
        <v>0</v>
      </c>
      <c r="M127" s="0" t="n">
        <f aca="false">[2]Sheet1!L127</f>
        <v>0</v>
      </c>
      <c r="N127" s="0" t="n">
        <f aca="false">[2]Sheet1!M127</f>
        <v>9</v>
      </c>
      <c r="O127" s="0" t="n">
        <f aca="false">[2]Sheet1!N127</f>
        <v>0</v>
      </c>
      <c r="P127" s="226" t="n">
        <f aca="false">SUM(AY127+BA127)</f>
        <v>0</v>
      </c>
      <c r="Q127" s="201"/>
      <c r="R127" s="71"/>
      <c r="S127" s="227"/>
      <c r="T127" s="71"/>
      <c r="U127" s="201"/>
      <c r="V127" s="71"/>
      <c r="W127" s="227"/>
      <c r="X127" s="71"/>
      <c r="Y127" s="201"/>
      <c r="Z127" s="71"/>
      <c r="AA127" s="227"/>
      <c r="AB127" s="71"/>
      <c r="AC127" s="201"/>
      <c r="AD127" s="71"/>
      <c r="AE127" s="227"/>
      <c r="AF127" s="71"/>
      <c r="AG127" s="201"/>
      <c r="AH127" s="71"/>
      <c r="AI127" s="227"/>
      <c r="AJ127" s="71"/>
      <c r="AK127" s="201"/>
      <c r="AL127" s="71"/>
      <c r="AM127" s="227"/>
      <c r="AN127" s="71"/>
      <c r="AO127" s="201"/>
      <c r="AP127" s="71"/>
      <c r="AQ127" s="227"/>
      <c r="AR127" s="71"/>
      <c r="AS127" s="227"/>
      <c r="AT127" s="228"/>
      <c r="AU127" s="227"/>
      <c r="AV127" s="228"/>
      <c r="AW127" s="227"/>
      <c r="AX127" s="229" t="n">
        <f aca="false">SUM(R127+T127+V127+X127+Z127+AB127+AD127+AF127+AH127+AJ127+AL127+AN127+AP127+AR127)</f>
        <v>0</v>
      </c>
      <c r="AY127" s="230" t="n">
        <f aca="false">SUM(AX127*1000)/48</f>
        <v>0</v>
      </c>
      <c r="AZ127" s="231" t="n">
        <f aca="false">IFERROR(VLOOKUP(A127,'Site check'!$A$14:$O$47,15,0),0)</f>
        <v>0</v>
      </c>
      <c r="BA127" s="232" t="n">
        <f aca="false">SUM(AZ127*1000)/48</f>
        <v>0</v>
      </c>
      <c r="BB127" s="90" t="n">
        <f aca="false">SUM(P127/2)+E127</f>
        <v>0</v>
      </c>
      <c r="BC127" s="90" t="n">
        <f aca="false">SUM(P127/2)+F127</f>
        <v>0</v>
      </c>
    </row>
    <row r="128" customFormat="false" ht="13.15" hidden="false" customHeight="false" outlineLevel="0" collapsed="false">
      <c r="A128" s="0" t="str">
        <f aca="false">[2]Sheet1!A128</f>
        <v>BMGV02_SEC_CBDB02_8_9_A</v>
      </c>
      <c r="B128" s="0" t="n">
        <f aca="false">[2]Sheet1!B128</f>
        <v>0</v>
      </c>
      <c r="C128" s="44" t="str">
        <f aca="false">[2]Sheet1!C128</f>
        <v>BMGV02</v>
      </c>
      <c r="D128" s="44" t="s">
        <v>1479</v>
      </c>
      <c r="E128" s="0" t="n">
        <f aca="false">[2]Sheet1!D128</f>
        <v>0</v>
      </c>
      <c r="F128" s="0" t="n">
        <f aca="false">[2]Sheet1!E128</f>
        <v>0</v>
      </c>
      <c r="G128" s="45" t="n">
        <f aca="false">[2]Sheet1!F128</f>
        <v>0</v>
      </c>
      <c r="H128" s="0" t="n">
        <f aca="false">[2]Sheet1!G128</f>
        <v>300</v>
      </c>
      <c r="I128" s="0" t="n">
        <f aca="false">[2]Sheet1!H128</f>
        <v>300</v>
      </c>
      <c r="J128" s="0" t="n">
        <f aca="false">[2]Sheet1!I128</f>
        <v>0</v>
      </c>
      <c r="K128" s="0" t="n">
        <f aca="false">[2]Sheet1!J128</f>
        <v>0</v>
      </c>
      <c r="L128" s="0" t="n">
        <f aca="false">[2]Sheet1!K128</f>
        <v>0</v>
      </c>
      <c r="M128" s="0" t="n">
        <f aca="false">[2]Sheet1!L128</f>
        <v>0</v>
      </c>
      <c r="N128" s="0" t="n">
        <f aca="false">[2]Sheet1!M128</f>
        <v>0</v>
      </c>
      <c r="O128" s="0" t="n">
        <f aca="false">[2]Sheet1!N128</f>
        <v>0</v>
      </c>
      <c r="P128" s="226" t="n">
        <f aca="false">SUM(AY128+BA128)</f>
        <v>0</v>
      </c>
      <c r="Q128" s="201"/>
      <c r="R128" s="71"/>
      <c r="S128" s="227"/>
      <c r="T128" s="71"/>
      <c r="U128" s="201"/>
      <c r="V128" s="71"/>
      <c r="W128" s="227"/>
      <c r="X128" s="71"/>
      <c r="Y128" s="201"/>
      <c r="Z128" s="71"/>
      <c r="AA128" s="227"/>
      <c r="AB128" s="71"/>
      <c r="AC128" s="201"/>
      <c r="AD128" s="71"/>
      <c r="AE128" s="227"/>
      <c r="AF128" s="71"/>
      <c r="AG128" s="201"/>
      <c r="AH128" s="71"/>
      <c r="AI128" s="227"/>
      <c r="AJ128" s="71"/>
      <c r="AK128" s="201"/>
      <c r="AL128" s="71"/>
      <c r="AM128" s="227"/>
      <c r="AN128" s="71"/>
      <c r="AO128" s="201"/>
      <c r="AP128" s="71"/>
      <c r="AQ128" s="227"/>
      <c r="AR128" s="71"/>
      <c r="AS128" s="227"/>
      <c r="AT128" s="228"/>
      <c r="AU128" s="227"/>
      <c r="AV128" s="228"/>
      <c r="AW128" s="227"/>
      <c r="AX128" s="229" t="n">
        <f aca="false">SUM(R128+T128+V128+X128+Z128+AB128+AD128+AF128+AH128+AJ128+AL128+AN128+AP128+AR128)</f>
        <v>0</v>
      </c>
      <c r="AY128" s="230" t="n">
        <f aca="false">SUM(AX128*1000)/48</f>
        <v>0</v>
      </c>
      <c r="AZ128" s="231" t="n">
        <f aca="false">IFERROR(VLOOKUP(A128,'Site check'!$A$14:$O$47,15,0),0)</f>
        <v>0</v>
      </c>
      <c r="BA128" s="232" t="n">
        <f aca="false">SUM(AZ128*1000)/48</f>
        <v>0</v>
      </c>
      <c r="BB128" s="90" t="n">
        <f aca="false">SUM(P128/2)+E128</f>
        <v>0</v>
      </c>
      <c r="BC128" s="90" t="n">
        <f aca="false">SUM(P128/2)+F128</f>
        <v>0</v>
      </c>
    </row>
    <row r="129" customFormat="false" ht="13.15" hidden="false" customHeight="false" outlineLevel="0" collapsed="false">
      <c r="A129" s="0" t="str">
        <f aca="false">[2]Sheet1!A129</f>
        <v>BMGV02_SEC_CBDB03_10_11_A</v>
      </c>
      <c r="B129" s="0" t="n">
        <f aca="false">[2]Sheet1!B129</f>
        <v>0</v>
      </c>
      <c r="C129" s="44" t="str">
        <f aca="false">[2]Sheet1!C129</f>
        <v>BMGV02</v>
      </c>
      <c r="D129" s="44" t="s">
        <v>1479</v>
      </c>
      <c r="E129" s="0" t="n">
        <f aca="false">[2]Sheet1!D129</f>
        <v>0</v>
      </c>
      <c r="F129" s="0" t="n">
        <f aca="false">[2]Sheet1!E129</f>
        <v>0</v>
      </c>
      <c r="G129" s="45" t="n">
        <f aca="false">[2]Sheet1!F129</f>
        <v>0</v>
      </c>
      <c r="H129" s="0" t="n">
        <f aca="false">[2]Sheet1!G129</f>
        <v>300</v>
      </c>
      <c r="I129" s="0" t="n">
        <f aca="false">[2]Sheet1!H129</f>
        <v>300</v>
      </c>
      <c r="J129" s="0" t="n">
        <f aca="false">[2]Sheet1!I129</f>
        <v>0</v>
      </c>
      <c r="K129" s="0" t="n">
        <f aca="false">[2]Sheet1!J129</f>
        <v>0</v>
      </c>
      <c r="L129" s="0" t="n">
        <f aca="false">[2]Sheet1!K129</f>
        <v>0</v>
      </c>
      <c r="M129" s="0" t="n">
        <f aca="false">[2]Sheet1!L129</f>
        <v>0</v>
      </c>
      <c r="N129" s="0" t="n">
        <f aca="false">[2]Sheet1!M129</f>
        <v>0</v>
      </c>
      <c r="O129" s="0" t="n">
        <f aca="false">[2]Sheet1!N129</f>
        <v>0</v>
      </c>
      <c r="P129" s="226" t="n">
        <f aca="false">SUM(AY129+BA129)</f>
        <v>0</v>
      </c>
      <c r="Q129" s="201"/>
      <c r="R129" s="71"/>
      <c r="S129" s="227"/>
      <c r="T129" s="71"/>
      <c r="U129" s="201"/>
      <c r="V129" s="71"/>
      <c r="W129" s="227"/>
      <c r="X129" s="71"/>
      <c r="Y129" s="201"/>
      <c r="Z129" s="71"/>
      <c r="AA129" s="227"/>
      <c r="AB129" s="71"/>
      <c r="AC129" s="201"/>
      <c r="AD129" s="71"/>
      <c r="AE129" s="227"/>
      <c r="AF129" s="71"/>
      <c r="AG129" s="201"/>
      <c r="AH129" s="71"/>
      <c r="AI129" s="227"/>
      <c r="AJ129" s="71"/>
      <c r="AK129" s="201"/>
      <c r="AL129" s="71"/>
      <c r="AM129" s="227"/>
      <c r="AN129" s="71"/>
      <c r="AO129" s="201"/>
      <c r="AP129" s="71"/>
      <c r="AQ129" s="227"/>
      <c r="AR129" s="71"/>
      <c r="AS129" s="227"/>
      <c r="AT129" s="228"/>
      <c r="AU129" s="227"/>
      <c r="AV129" s="228"/>
      <c r="AW129" s="227"/>
      <c r="AX129" s="229" t="n">
        <f aca="false">SUM(R129+T129+V129+X129+Z129+AB129+AD129+AF129+AH129+AJ129+AL129+AN129+AP129+AR129)</f>
        <v>0</v>
      </c>
      <c r="AY129" s="230" t="n">
        <f aca="false">SUM(AX129*1000)/48</f>
        <v>0</v>
      </c>
      <c r="AZ129" s="231" t="n">
        <f aca="false">IFERROR(VLOOKUP(A129,'Site check'!$A$14:$O$47,15,0),0)</f>
        <v>0</v>
      </c>
      <c r="BA129" s="232" t="n">
        <f aca="false">SUM(AZ129*1000)/48</f>
        <v>0</v>
      </c>
      <c r="BB129" s="90" t="n">
        <f aca="false">SUM(P129/2)+E129</f>
        <v>0</v>
      </c>
      <c r="BC129" s="90" t="n">
        <f aca="false">SUM(P129/2)+F129</f>
        <v>0</v>
      </c>
    </row>
    <row r="130" customFormat="false" ht="13.15" hidden="false" customHeight="false" outlineLevel="0" collapsed="false">
      <c r="A130" s="0" t="str">
        <f aca="false">[2]Sheet1!A130</f>
        <v>BMGV02_SEC_CBDB04_12_13_A</v>
      </c>
      <c r="B130" s="0" t="n">
        <f aca="false">[2]Sheet1!B130</f>
        <v>0</v>
      </c>
      <c r="C130" s="44" t="str">
        <f aca="false">[2]Sheet1!C130</f>
        <v>BMGV02</v>
      </c>
      <c r="D130" s="44" t="s">
        <v>1479</v>
      </c>
      <c r="E130" s="0" t="n">
        <f aca="false">[2]Sheet1!D130</f>
        <v>0</v>
      </c>
      <c r="F130" s="0" t="n">
        <f aca="false">[2]Sheet1!E130</f>
        <v>0</v>
      </c>
      <c r="G130" s="45" t="n">
        <f aca="false">[2]Sheet1!F130</f>
        <v>0</v>
      </c>
      <c r="H130" s="0" t="n">
        <f aca="false">[2]Sheet1!G130</f>
        <v>300</v>
      </c>
      <c r="I130" s="0" t="n">
        <f aca="false">[2]Sheet1!H130</f>
        <v>300</v>
      </c>
      <c r="J130" s="0" t="n">
        <f aca="false">[2]Sheet1!I130</f>
        <v>0</v>
      </c>
      <c r="K130" s="0" t="n">
        <f aca="false">[2]Sheet1!J130</f>
        <v>0</v>
      </c>
      <c r="L130" s="0" t="n">
        <f aca="false">[2]Sheet1!K130</f>
        <v>0</v>
      </c>
      <c r="M130" s="0" t="n">
        <f aca="false">[2]Sheet1!L130</f>
        <v>0</v>
      </c>
      <c r="N130" s="0" t="n">
        <f aca="false">[2]Sheet1!M130</f>
        <v>0</v>
      </c>
      <c r="O130" s="0" t="n">
        <f aca="false">[2]Sheet1!N130</f>
        <v>0</v>
      </c>
      <c r="P130" s="226" t="n">
        <f aca="false">SUM(AY130+BA130)</f>
        <v>0</v>
      </c>
      <c r="Q130" s="201"/>
      <c r="R130" s="71"/>
      <c r="S130" s="227"/>
      <c r="T130" s="71"/>
      <c r="U130" s="201"/>
      <c r="V130" s="71"/>
      <c r="W130" s="227"/>
      <c r="X130" s="71"/>
      <c r="Y130" s="201"/>
      <c r="Z130" s="71"/>
      <c r="AA130" s="227"/>
      <c r="AB130" s="71"/>
      <c r="AC130" s="201"/>
      <c r="AD130" s="71"/>
      <c r="AE130" s="227"/>
      <c r="AF130" s="71"/>
      <c r="AG130" s="201"/>
      <c r="AH130" s="71"/>
      <c r="AI130" s="227"/>
      <c r="AJ130" s="71"/>
      <c r="AK130" s="201"/>
      <c r="AL130" s="71"/>
      <c r="AM130" s="227"/>
      <c r="AN130" s="71"/>
      <c r="AO130" s="201"/>
      <c r="AP130" s="71"/>
      <c r="AQ130" s="227"/>
      <c r="AR130" s="71"/>
      <c r="AS130" s="227"/>
      <c r="AT130" s="228"/>
      <c r="AU130" s="227"/>
      <c r="AV130" s="228"/>
      <c r="AW130" s="227"/>
      <c r="AX130" s="229" t="n">
        <f aca="false">SUM(R130+T130+V130+X130+Z130+AB130+AD130+AF130+AH130+AJ130+AL130+AN130+AP130+AR130)</f>
        <v>0</v>
      </c>
      <c r="AY130" s="230" t="n">
        <f aca="false">SUM(AX130*1000)/48</f>
        <v>0</v>
      </c>
      <c r="AZ130" s="231" t="n">
        <f aca="false">IFERROR(VLOOKUP(A130,'Site check'!$A$14:$O$47,15,0),0)</f>
        <v>0</v>
      </c>
      <c r="BA130" s="232" t="n">
        <f aca="false">SUM(AZ130*1000)/48</f>
        <v>0</v>
      </c>
      <c r="BB130" s="90" t="n">
        <f aca="false">SUM(P130/2)+E130</f>
        <v>0</v>
      </c>
      <c r="BC130" s="90" t="n">
        <f aca="false">SUM(P130/2)+F130</f>
        <v>0</v>
      </c>
    </row>
    <row r="131" customFormat="false" ht="13.15" hidden="false" customHeight="false" outlineLevel="0" collapsed="false">
      <c r="A131" s="0" t="str">
        <f aca="false">[2]Sheet1!A131</f>
        <v>BMGV02_SEC_CBDB05_14_15_A</v>
      </c>
      <c r="B131" s="0" t="n">
        <f aca="false">[2]Sheet1!B131</f>
        <v>0</v>
      </c>
      <c r="C131" s="44" t="str">
        <f aca="false">[2]Sheet1!C131</f>
        <v>BMGV02</v>
      </c>
      <c r="D131" s="44" t="s">
        <v>1479</v>
      </c>
      <c r="E131" s="0" t="n">
        <f aca="false">[2]Sheet1!D131</f>
        <v>0</v>
      </c>
      <c r="F131" s="0" t="n">
        <f aca="false">[2]Sheet1!E131</f>
        <v>0</v>
      </c>
      <c r="G131" s="45" t="n">
        <f aca="false">[2]Sheet1!F131</f>
        <v>0</v>
      </c>
      <c r="H131" s="0" t="n">
        <f aca="false">[2]Sheet1!G131</f>
        <v>300</v>
      </c>
      <c r="I131" s="0" t="n">
        <f aca="false">[2]Sheet1!H131</f>
        <v>300</v>
      </c>
      <c r="J131" s="0" t="n">
        <f aca="false">[2]Sheet1!I131</f>
        <v>0</v>
      </c>
      <c r="K131" s="0" t="n">
        <f aca="false">[2]Sheet1!J131</f>
        <v>0</v>
      </c>
      <c r="L131" s="0" t="n">
        <f aca="false">[2]Sheet1!K131</f>
        <v>0</v>
      </c>
      <c r="M131" s="0" t="n">
        <f aca="false">[2]Sheet1!L131</f>
        <v>0</v>
      </c>
      <c r="N131" s="0" t="n">
        <f aca="false">[2]Sheet1!M131</f>
        <v>0</v>
      </c>
      <c r="O131" s="0" t="n">
        <f aca="false">[2]Sheet1!N131</f>
        <v>0</v>
      </c>
      <c r="P131" s="226" t="n">
        <f aca="false">SUM(AY131+BA131)</f>
        <v>0</v>
      </c>
      <c r="Q131" s="201"/>
      <c r="R131" s="71"/>
      <c r="S131" s="227"/>
      <c r="T131" s="71"/>
      <c r="U131" s="201"/>
      <c r="V131" s="71"/>
      <c r="W131" s="227"/>
      <c r="X131" s="71"/>
      <c r="Y131" s="201"/>
      <c r="Z131" s="71"/>
      <c r="AA131" s="227"/>
      <c r="AB131" s="71"/>
      <c r="AC131" s="201"/>
      <c r="AD131" s="71"/>
      <c r="AE131" s="227"/>
      <c r="AF131" s="71"/>
      <c r="AG131" s="201"/>
      <c r="AH131" s="71"/>
      <c r="AI131" s="227"/>
      <c r="AJ131" s="71"/>
      <c r="AK131" s="201"/>
      <c r="AL131" s="71"/>
      <c r="AM131" s="227"/>
      <c r="AN131" s="71"/>
      <c r="AO131" s="201"/>
      <c r="AP131" s="71"/>
      <c r="AQ131" s="227"/>
      <c r="AR131" s="71"/>
      <c r="AS131" s="227"/>
      <c r="AT131" s="228"/>
      <c r="AU131" s="227"/>
      <c r="AV131" s="228"/>
      <c r="AW131" s="227"/>
      <c r="AX131" s="229" t="n">
        <f aca="false">SUM(R131+T131+V131+X131+Z131+AB131+AD131+AF131+AH131+AJ131+AL131+AN131+AP131+AR131)</f>
        <v>0</v>
      </c>
      <c r="AY131" s="230" t="n">
        <f aca="false">SUM(AX131*1000)/48</f>
        <v>0</v>
      </c>
      <c r="AZ131" s="231" t="n">
        <f aca="false">IFERROR(VLOOKUP(A131,'Site check'!$A$14:$O$47,15,0),0)</f>
        <v>0</v>
      </c>
      <c r="BA131" s="232" t="n">
        <f aca="false">SUM(AZ131*1000)/48</f>
        <v>0</v>
      </c>
      <c r="BB131" s="90" t="n">
        <f aca="false">SUM(P131/2)+E131</f>
        <v>0</v>
      </c>
      <c r="BC131" s="90" t="n">
        <f aca="false">SUM(P131/2)+F131</f>
        <v>0</v>
      </c>
    </row>
    <row r="132" customFormat="false" ht="13.15" hidden="false" customHeight="false" outlineLevel="0" collapsed="false">
      <c r="A132" s="0" t="str">
        <f aca="false">[2]Sheet1!A132</f>
        <v>BMGV02_SEC_CBDB06_16_17_A</v>
      </c>
      <c r="B132" s="0" t="n">
        <f aca="false">[2]Sheet1!B132</f>
        <v>0</v>
      </c>
      <c r="C132" s="44" t="str">
        <f aca="false">[2]Sheet1!C132</f>
        <v>BMGV02</v>
      </c>
      <c r="D132" s="44" t="s">
        <v>1479</v>
      </c>
      <c r="E132" s="0" t="n">
        <f aca="false">[2]Sheet1!D132</f>
        <v>0</v>
      </c>
      <c r="F132" s="0" t="n">
        <f aca="false">[2]Sheet1!E132</f>
        <v>0</v>
      </c>
      <c r="G132" s="45" t="n">
        <f aca="false">[2]Sheet1!F132</f>
        <v>0</v>
      </c>
      <c r="H132" s="0" t="n">
        <f aca="false">[2]Sheet1!G132</f>
        <v>300</v>
      </c>
      <c r="I132" s="0" t="n">
        <f aca="false">[2]Sheet1!H132</f>
        <v>300</v>
      </c>
      <c r="J132" s="0" t="n">
        <f aca="false">[2]Sheet1!I132</f>
        <v>0</v>
      </c>
      <c r="K132" s="0" t="n">
        <f aca="false">[2]Sheet1!J132</f>
        <v>0</v>
      </c>
      <c r="L132" s="0" t="n">
        <f aca="false">[2]Sheet1!K132</f>
        <v>0</v>
      </c>
      <c r="M132" s="0" t="n">
        <f aca="false">[2]Sheet1!L132</f>
        <v>0</v>
      </c>
      <c r="N132" s="0" t="n">
        <f aca="false">[2]Sheet1!M132</f>
        <v>0</v>
      </c>
      <c r="O132" s="0" t="n">
        <f aca="false">[2]Sheet1!N132</f>
        <v>0</v>
      </c>
      <c r="P132" s="226" t="n">
        <f aca="false">SUM(AY132+BA132)</f>
        <v>0</v>
      </c>
      <c r="Q132" s="201"/>
      <c r="R132" s="71"/>
      <c r="S132" s="227"/>
      <c r="T132" s="71"/>
      <c r="U132" s="201"/>
      <c r="V132" s="71"/>
      <c r="W132" s="227"/>
      <c r="X132" s="71"/>
      <c r="Y132" s="201"/>
      <c r="Z132" s="71"/>
      <c r="AA132" s="227"/>
      <c r="AB132" s="71"/>
      <c r="AC132" s="201"/>
      <c r="AD132" s="71"/>
      <c r="AE132" s="227"/>
      <c r="AF132" s="71"/>
      <c r="AG132" s="201"/>
      <c r="AH132" s="71"/>
      <c r="AI132" s="227"/>
      <c r="AJ132" s="71"/>
      <c r="AK132" s="201"/>
      <c r="AL132" s="71"/>
      <c r="AM132" s="227"/>
      <c r="AN132" s="71"/>
      <c r="AO132" s="201"/>
      <c r="AP132" s="71"/>
      <c r="AQ132" s="227"/>
      <c r="AR132" s="71"/>
      <c r="AS132" s="227"/>
      <c r="AT132" s="228"/>
      <c r="AU132" s="227"/>
      <c r="AV132" s="228"/>
      <c r="AW132" s="227"/>
      <c r="AX132" s="229" t="n">
        <f aca="false">SUM(R132+T132+V132+X132+Z132+AB132+AD132+AF132+AH132+AJ132+AL132+AN132+AP132+AR132)</f>
        <v>0</v>
      </c>
      <c r="AY132" s="230" t="n">
        <f aca="false">SUM(AX132*1000)/48</f>
        <v>0</v>
      </c>
      <c r="AZ132" s="231" t="n">
        <f aca="false">IFERROR(VLOOKUP(A132,'Site check'!$A$14:$O$47,15,0),0)</f>
        <v>0</v>
      </c>
      <c r="BA132" s="232" t="n">
        <f aca="false">SUM(AZ132*1000)/48</f>
        <v>0</v>
      </c>
      <c r="BB132" s="90" t="n">
        <f aca="false">SUM(P132/2)+E132</f>
        <v>0</v>
      </c>
      <c r="BC132" s="90" t="n">
        <f aca="false">SUM(P132/2)+F132</f>
        <v>0</v>
      </c>
    </row>
    <row r="133" customFormat="false" ht="13.15" hidden="false" customHeight="false" outlineLevel="0" collapsed="false">
      <c r="A133" s="0" t="str">
        <f aca="false">[2]Sheet1!A133</f>
        <v>BMGV03_SEC_CBDB_10_11_B</v>
      </c>
      <c r="B133" s="0" t="str">
        <f aca="false">[2]Sheet1!B133</f>
        <v>BMGV03; DC SYS A</v>
      </c>
      <c r="C133" s="44" t="str">
        <f aca="false">[2]Sheet1!C133</f>
        <v>BMGV03</v>
      </c>
      <c r="D133" s="44" t="s">
        <v>434</v>
      </c>
      <c r="E133" s="0" t="str">
        <f aca="false">[2]Sheet1!D133</f>
        <v>NO PANEL TO READ</v>
      </c>
      <c r="F133" s="0" t="str">
        <f aca="false">[2]Sheet1!E133</f>
        <v>NO PANEL TO READ</v>
      </c>
      <c r="G133" s="45" t="str">
        <f aca="false">[2]Sheet1!F133</f>
        <v>12th Novemeber 2020</v>
      </c>
      <c r="H133" s="0" t="n">
        <f aca="false">[2]Sheet1!G133</f>
        <v>300</v>
      </c>
      <c r="I133" s="0" t="n">
        <f aca="false">[2]Sheet1!H133</f>
        <v>300</v>
      </c>
      <c r="J133" s="0" t="n">
        <f aca="false">[2]Sheet1!I133</f>
        <v>0</v>
      </c>
      <c r="K133" s="0" t="n">
        <f aca="false">[2]Sheet1!J133</f>
        <v>1</v>
      </c>
      <c r="L133" s="0" t="n">
        <f aca="false">[2]Sheet1!K133</f>
        <v>2</v>
      </c>
      <c r="M133" s="0" t="n">
        <f aca="false">[2]Sheet1!L133</f>
        <v>0</v>
      </c>
      <c r="N133" s="0" t="n">
        <f aca="false">[2]Sheet1!M133</f>
        <v>22</v>
      </c>
      <c r="O133" s="0" t="n">
        <f aca="false">[2]Sheet1!N133</f>
        <v>0</v>
      </c>
      <c r="P133" s="226" t="n">
        <f aca="false">SUM(AY133+BA133)</f>
        <v>0</v>
      </c>
      <c r="Q133" s="201"/>
      <c r="R133" s="71"/>
      <c r="S133" s="227"/>
      <c r="T133" s="71"/>
      <c r="U133" s="201"/>
      <c r="V133" s="71"/>
      <c r="W133" s="227"/>
      <c r="X133" s="71"/>
      <c r="Y133" s="201"/>
      <c r="Z133" s="71"/>
      <c r="AA133" s="227"/>
      <c r="AB133" s="71"/>
      <c r="AC133" s="201"/>
      <c r="AD133" s="71"/>
      <c r="AE133" s="227"/>
      <c r="AF133" s="71"/>
      <c r="AG133" s="201"/>
      <c r="AH133" s="71"/>
      <c r="AI133" s="227"/>
      <c r="AJ133" s="71"/>
      <c r="AK133" s="201"/>
      <c r="AL133" s="71"/>
      <c r="AM133" s="227"/>
      <c r="AN133" s="71"/>
      <c r="AO133" s="201"/>
      <c r="AP133" s="71"/>
      <c r="AQ133" s="227"/>
      <c r="AR133" s="71"/>
      <c r="AS133" s="227"/>
      <c r="AT133" s="228"/>
      <c r="AU133" s="227"/>
      <c r="AV133" s="228"/>
      <c r="AW133" s="227"/>
      <c r="AX133" s="229" t="n">
        <f aca="false">SUM(R133+T133+V133+X133+Z133+AB133+AD133+AF133+AH133+AJ133+AL133+AN133+AP133+AR133)</f>
        <v>0</v>
      </c>
      <c r="AY133" s="230" t="n">
        <f aca="false">SUM(AX133*1000)/48</f>
        <v>0</v>
      </c>
      <c r="AZ133" s="231" t="n">
        <f aca="false">IFERROR(VLOOKUP(A133,'Site check'!$A$14:$O$47,15,0),0)</f>
        <v>0</v>
      </c>
      <c r="BA133" s="232" t="n">
        <f aca="false">SUM(AZ133*1000)/48</f>
        <v>0</v>
      </c>
      <c r="BB133" s="90" t="e">
        <f aca="false">SUM(P133/2)+E133</f>
        <v>#VALUE!</v>
      </c>
      <c r="BC133" s="90" t="e">
        <f aca="false">SUM(P133/2)+F133</f>
        <v>#VALUE!</v>
      </c>
    </row>
    <row r="134" customFormat="false" ht="13.15" hidden="false" customHeight="false" outlineLevel="0" collapsed="false">
      <c r="A134" s="0" t="str">
        <f aca="false">[2]Sheet1!A134</f>
        <v>BMGV03_SEC_CBDB_12_13_B</v>
      </c>
      <c r="B134" s="0" t="str">
        <f aca="false">[2]Sheet1!B134</f>
        <v>BMGV03; DC SYS A</v>
      </c>
      <c r="C134" s="44" t="str">
        <f aca="false">[2]Sheet1!C134</f>
        <v>BMGV03</v>
      </c>
      <c r="D134" s="44" t="s">
        <v>434</v>
      </c>
      <c r="E134" s="0" t="str">
        <f aca="false">[2]Sheet1!D134</f>
        <v>NO PANEL TO READ</v>
      </c>
      <c r="F134" s="0" t="str">
        <f aca="false">[2]Sheet1!E134</f>
        <v>NO PANEL TO READ</v>
      </c>
      <c r="G134" s="45" t="str">
        <f aca="false">[2]Sheet1!F134</f>
        <v>12th Novemeber 2020</v>
      </c>
      <c r="H134" s="0" t="n">
        <f aca="false">[2]Sheet1!G134</f>
        <v>300</v>
      </c>
      <c r="I134" s="0" t="n">
        <f aca="false">[2]Sheet1!H134</f>
        <v>300</v>
      </c>
      <c r="J134" s="0" t="n">
        <f aca="false">[2]Sheet1!I134</f>
        <v>0</v>
      </c>
      <c r="K134" s="0" t="n">
        <f aca="false">[2]Sheet1!J134</f>
        <v>1</v>
      </c>
      <c r="L134" s="0" t="n">
        <f aca="false">[2]Sheet1!K134</f>
        <v>0</v>
      </c>
      <c r="M134" s="0" t="n">
        <f aca="false">[2]Sheet1!L134</f>
        <v>0</v>
      </c>
      <c r="N134" s="0" t="n">
        <f aca="false">[2]Sheet1!M134</f>
        <v>35</v>
      </c>
      <c r="O134" s="0" t="n">
        <f aca="false">[2]Sheet1!N134</f>
        <v>0</v>
      </c>
      <c r="P134" s="226" t="n">
        <f aca="false">SUM(AY134+BA134)</f>
        <v>0</v>
      </c>
      <c r="Q134" s="201"/>
      <c r="R134" s="71"/>
      <c r="S134" s="227"/>
      <c r="T134" s="71"/>
      <c r="U134" s="201"/>
      <c r="V134" s="71"/>
      <c r="W134" s="227"/>
      <c r="X134" s="71"/>
      <c r="Y134" s="201"/>
      <c r="Z134" s="71"/>
      <c r="AA134" s="227"/>
      <c r="AB134" s="71"/>
      <c r="AC134" s="201"/>
      <c r="AD134" s="71"/>
      <c r="AE134" s="227"/>
      <c r="AF134" s="71"/>
      <c r="AG134" s="201"/>
      <c r="AH134" s="71"/>
      <c r="AI134" s="227"/>
      <c r="AJ134" s="71"/>
      <c r="AK134" s="201"/>
      <c r="AL134" s="71"/>
      <c r="AM134" s="227"/>
      <c r="AN134" s="71"/>
      <c r="AO134" s="201"/>
      <c r="AP134" s="71"/>
      <c r="AQ134" s="227"/>
      <c r="AR134" s="71"/>
      <c r="AS134" s="227"/>
      <c r="AT134" s="228"/>
      <c r="AU134" s="227"/>
      <c r="AV134" s="228"/>
      <c r="AW134" s="227"/>
      <c r="AX134" s="229" t="n">
        <f aca="false">SUM(R134+T134+V134+X134+Z134+AB134+AD134+AF134+AH134+AJ134+AL134+AN134+AP134+AR134)</f>
        <v>0</v>
      </c>
      <c r="AY134" s="230" t="n">
        <f aca="false">SUM(AX134*1000)/48</f>
        <v>0</v>
      </c>
      <c r="AZ134" s="231" t="n">
        <f aca="false">IFERROR(VLOOKUP(A134,'Site check'!$A$14:$O$47,15,0),0)</f>
        <v>0</v>
      </c>
      <c r="BA134" s="232" t="n">
        <f aca="false">SUM(AZ134*1000)/48</f>
        <v>0</v>
      </c>
      <c r="BB134" s="90" t="e">
        <f aca="false">SUM(P134/2)+E134</f>
        <v>#VALUE!</v>
      </c>
      <c r="BC134" s="90" t="e">
        <f aca="false">SUM(P134/2)+F134</f>
        <v>#VALUE!</v>
      </c>
    </row>
    <row r="135" customFormat="false" ht="13.15" hidden="false" customHeight="false" outlineLevel="0" collapsed="false">
      <c r="A135" s="0" t="str">
        <f aca="false">[2]Sheet1!A135</f>
        <v>BMGV03_SEC_CBDB_2_3_B</v>
      </c>
      <c r="B135" s="0" t="str">
        <f aca="false">[2]Sheet1!B135</f>
        <v>BMGV03; DC SYS A</v>
      </c>
      <c r="C135" s="44" t="str">
        <f aca="false">[2]Sheet1!C135</f>
        <v>BMGV03</v>
      </c>
      <c r="D135" s="44" t="s">
        <v>434</v>
      </c>
      <c r="E135" s="0" t="str">
        <f aca="false">[2]Sheet1!D135</f>
        <v>NO PANEL TO READ</v>
      </c>
      <c r="F135" s="0" t="str">
        <f aca="false">[2]Sheet1!E135</f>
        <v>NO PANEL TO READ</v>
      </c>
      <c r="G135" s="45" t="str">
        <f aca="false">[2]Sheet1!F135</f>
        <v>12th Novemeber 2020</v>
      </c>
      <c r="H135" s="0" t="n">
        <f aca="false">[2]Sheet1!G135</f>
        <v>300</v>
      </c>
      <c r="I135" s="0" t="n">
        <f aca="false">[2]Sheet1!H135</f>
        <v>300</v>
      </c>
      <c r="J135" s="0" t="n">
        <f aca="false">[2]Sheet1!I135</f>
        <v>0</v>
      </c>
      <c r="K135" s="0" t="n">
        <f aca="false">[2]Sheet1!J135</f>
        <v>0</v>
      </c>
      <c r="L135" s="0" t="n">
        <f aca="false">[2]Sheet1!K135</f>
        <v>0</v>
      </c>
      <c r="M135" s="0" t="n">
        <f aca="false">[2]Sheet1!L135</f>
        <v>0</v>
      </c>
      <c r="N135" s="0" t="n">
        <f aca="false">[2]Sheet1!M135</f>
        <v>5</v>
      </c>
      <c r="O135" s="0" t="n">
        <f aca="false">[2]Sheet1!N135</f>
        <v>0</v>
      </c>
      <c r="P135" s="226" t="n">
        <f aca="false">SUM(AY135+BA135)</f>
        <v>0</v>
      </c>
      <c r="Q135" s="201"/>
      <c r="R135" s="71"/>
      <c r="S135" s="227"/>
      <c r="T135" s="71"/>
      <c r="U135" s="201"/>
      <c r="V135" s="71"/>
      <c r="W135" s="227"/>
      <c r="X135" s="71"/>
      <c r="Y135" s="201"/>
      <c r="Z135" s="71"/>
      <c r="AA135" s="227"/>
      <c r="AB135" s="71"/>
      <c r="AC135" s="201"/>
      <c r="AD135" s="71"/>
      <c r="AE135" s="227"/>
      <c r="AF135" s="71"/>
      <c r="AG135" s="201"/>
      <c r="AH135" s="71"/>
      <c r="AI135" s="227"/>
      <c r="AJ135" s="71"/>
      <c r="AK135" s="201"/>
      <c r="AL135" s="71"/>
      <c r="AM135" s="227"/>
      <c r="AN135" s="71"/>
      <c r="AO135" s="201"/>
      <c r="AP135" s="71"/>
      <c r="AQ135" s="227"/>
      <c r="AR135" s="71"/>
      <c r="AS135" s="227"/>
      <c r="AT135" s="228"/>
      <c r="AU135" s="227"/>
      <c r="AV135" s="228"/>
      <c r="AW135" s="227"/>
      <c r="AX135" s="229" t="n">
        <f aca="false">SUM(R135+T135+V135+X135+Z135+AB135+AD135+AF135+AH135+AJ135+AL135+AN135+AP135+AR135)</f>
        <v>0</v>
      </c>
      <c r="AY135" s="230" t="n">
        <f aca="false">SUM(AX135*1000)/48</f>
        <v>0</v>
      </c>
      <c r="AZ135" s="231" t="n">
        <f aca="false">IFERROR(VLOOKUP(A135,'Site check'!$A$14:$O$47,15,0),0)</f>
        <v>0</v>
      </c>
      <c r="BA135" s="232" t="n">
        <f aca="false">SUM(AZ135*1000)/48</f>
        <v>0</v>
      </c>
      <c r="BB135" s="90" t="e">
        <f aca="false">SUM(P135/2)+E135</f>
        <v>#VALUE!</v>
      </c>
      <c r="BC135" s="90" t="e">
        <f aca="false">SUM(P135/2)+F135</f>
        <v>#VALUE!</v>
      </c>
    </row>
    <row r="136" customFormat="false" ht="13.15" hidden="false" customHeight="false" outlineLevel="0" collapsed="false">
      <c r="A136" s="0" t="str">
        <f aca="false">[2]Sheet1!A136</f>
        <v>BMGV03_SEC_CBDB_6_7_B</v>
      </c>
      <c r="B136" s="0" t="str">
        <f aca="false">[2]Sheet1!B136</f>
        <v>BMGV03; DC SYS A</v>
      </c>
      <c r="C136" s="44" t="str">
        <f aca="false">[2]Sheet1!C136</f>
        <v>BMGV03</v>
      </c>
      <c r="D136" s="44" t="s">
        <v>434</v>
      </c>
      <c r="E136" s="0" t="str">
        <f aca="false">[2]Sheet1!D136</f>
        <v>NO PANEL TO READ</v>
      </c>
      <c r="F136" s="0" t="str">
        <f aca="false">[2]Sheet1!E136</f>
        <v>NO PANEL TO READ</v>
      </c>
      <c r="G136" s="45" t="str">
        <f aca="false">[2]Sheet1!F136</f>
        <v>12th Novemeber 2020</v>
      </c>
      <c r="H136" s="0" t="n">
        <f aca="false">[2]Sheet1!G136</f>
        <v>300</v>
      </c>
      <c r="I136" s="0" t="n">
        <f aca="false">[2]Sheet1!H136</f>
        <v>300</v>
      </c>
      <c r="J136" s="0" t="n">
        <f aca="false">[2]Sheet1!I136</f>
        <v>0</v>
      </c>
      <c r="K136" s="0" t="n">
        <f aca="false">[2]Sheet1!J136</f>
        <v>0</v>
      </c>
      <c r="L136" s="0" t="n">
        <f aca="false">[2]Sheet1!K136</f>
        <v>1</v>
      </c>
      <c r="M136" s="0" t="n">
        <f aca="false">[2]Sheet1!L136</f>
        <v>5</v>
      </c>
      <c r="N136" s="0" t="n">
        <f aca="false">[2]Sheet1!M136</f>
        <v>19</v>
      </c>
      <c r="O136" s="0" t="n">
        <f aca="false">[2]Sheet1!N136</f>
        <v>0</v>
      </c>
      <c r="P136" s="226" t="n">
        <f aca="false">SUM(AY136+BA136)</f>
        <v>0</v>
      </c>
      <c r="Q136" s="201"/>
      <c r="R136" s="71"/>
      <c r="S136" s="227"/>
      <c r="T136" s="71"/>
      <c r="U136" s="201"/>
      <c r="V136" s="71"/>
      <c r="W136" s="227"/>
      <c r="X136" s="71"/>
      <c r="Y136" s="201"/>
      <c r="Z136" s="71"/>
      <c r="AA136" s="227"/>
      <c r="AB136" s="71"/>
      <c r="AC136" s="201"/>
      <c r="AD136" s="71"/>
      <c r="AE136" s="227"/>
      <c r="AF136" s="71"/>
      <c r="AG136" s="201"/>
      <c r="AH136" s="71"/>
      <c r="AI136" s="227"/>
      <c r="AJ136" s="71"/>
      <c r="AK136" s="201"/>
      <c r="AL136" s="71"/>
      <c r="AM136" s="227"/>
      <c r="AN136" s="71"/>
      <c r="AO136" s="201"/>
      <c r="AP136" s="71"/>
      <c r="AQ136" s="227"/>
      <c r="AR136" s="71"/>
      <c r="AS136" s="227"/>
      <c r="AT136" s="228"/>
      <c r="AU136" s="227"/>
      <c r="AV136" s="228"/>
      <c r="AW136" s="227"/>
      <c r="AX136" s="229" t="n">
        <f aca="false">SUM(R136+T136+V136+X136+Z136+AB136+AD136+AF136+AH136+AJ136+AL136+AN136+AP136+AR136)</f>
        <v>0</v>
      </c>
      <c r="AY136" s="230" t="n">
        <f aca="false">SUM(AX136*1000)/48</f>
        <v>0</v>
      </c>
      <c r="AZ136" s="231" t="n">
        <f aca="false">IFERROR(VLOOKUP(A136,'Site check'!$A$14:$O$47,15,0),0)</f>
        <v>0</v>
      </c>
      <c r="BA136" s="232" t="n">
        <f aca="false">SUM(AZ136*1000)/48</f>
        <v>0</v>
      </c>
      <c r="BB136" s="90" t="e">
        <f aca="false">SUM(P136/2)+E136</f>
        <v>#VALUE!</v>
      </c>
      <c r="BC136" s="90" t="e">
        <f aca="false">SUM(P136/2)+F136</f>
        <v>#VALUE!</v>
      </c>
    </row>
    <row r="137" customFormat="false" ht="13.15" hidden="false" customHeight="false" outlineLevel="0" collapsed="false">
      <c r="A137" s="0" t="str">
        <f aca="false">[2]Sheet1!A137</f>
        <v>BMGV03_SEC_CBDB_8_9_B</v>
      </c>
      <c r="B137" s="0" t="str">
        <f aca="false">[2]Sheet1!B137</f>
        <v>BMGV03; DC SYS A</v>
      </c>
      <c r="C137" s="44" t="str">
        <f aca="false">[2]Sheet1!C137</f>
        <v>BMGV03</v>
      </c>
      <c r="D137" s="44" t="s">
        <v>434</v>
      </c>
      <c r="E137" s="0" t="str">
        <f aca="false">[2]Sheet1!D137</f>
        <v>NO PANEL TO READ</v>
      </c>
      <c r="F137" s="0" t="str">
        <f aca="false">[2]Sheet1!E137</f>
        <v>NO PANEL TO READ</v>
      </c>
      <c r="G137" s="45" t="str">
        <f aca="false">[2]Sheet1!F137</f>
        <v>12th Novemeber 2020</v>
      </c>
      <c r="H137" s="0" t="n">
        <f aca="false">[2]Sheet1!G137</f>
        <v>300</v>
      </c>
      <c r="I137" s="0" t="n">
        <f aca="false">[2]Sheet1!H137</f>
        <v>300</v>
      </c>
      <c r="J137" s="0" t="n">
        <f aca="false">[2]Sheet1!I137</f>
        <v>0</v>
      </c>
      <c r="K137" s="0" t="n">
        <f aca="false">[2]Sheet1!J137</f>
        <v>0</v>
      </c>
      <c r="L137" s="0" t="n">
        <f aca="false">[2]Sheet1!K137</f>
        <v>0</v>
      </c>
      <c r="M137" s="0" t="n">
        <f aca="false">[2]Sheet1!L137</f>
        <v>2</v>
      </c>
      <c r="N137" s="0" t="n">
        <f aca="false">[2]Sheet1!M137</f>
        <v>15</v>
      </c>
      <c r="O137" s="0" t="n">
        <f aca="false">[2]Sheet1!N137</f>
        <v>0</v>
      </c>
      <c r="P137" s="226" t="n">
        <f aca="false">SUM(AY137+BA137)</f>
        <v>0</v>
      </c>
      <c r="Q137" s="201"/>
      <c r="R137" s="71"/>
      <c r="S137" s="227"/>
      <c r="T137" s="71"/>
      <c r="U137" s="201"/>
      <c r="V137" s="71"/>
      <c r="W137" s="227"/>
      <c r="X137" s="71"/>
      <c r="Y137" s="201"/>
      <c r="Z137" s="71"/>
      <c r="AA137" s="227"/>
      <c r="AB137" s="71"/>
      <c r="AC137" s="201"/>
      <c r="AD137" s="71"/>
      <c r="AE137" s="227"/>
      <c r="AF137" s="71"/>
      <c r="AG137" s="201"/>
      <c r="AH137" s="71"/>
      <c r="AI137" s="227"/>
      <c r="AJ137" s="71"/>
      <c r="AK137" s="201"/>
      <c r="AL137" s="71"/>
      <c r="AM137" s="227"/>
      <c r="AN137" s="71"/>
      <c r="AO137" s="201"/>
      <c r="AP137" s="71"/>
      <c r="AQ137" s="227"/>
      <c r="AR137" s="71"/>
      <c r="AS137" s="227"/>
      <c r="AT137" s="228"/>
      <c r="AU137" s="227"/>
      <c r="AV137" s="228"/>
      <c r="AW137" s="227"/>
      <c r="AX137" s="229" t="n">
        <f aca="false">SUM(R137+T137+V137+X137+Z137+AB137+AD137+AF137+AH137+AJ137+AL137+AN137+AP137+AR137)</f>
        <v>0</v>
      </c>
      <c r="AY137" s="230" t="n">
        <f aca="false">SUM(AX137*1000)/48</f>
        <v>0</v>
      </c>
      <c r="AZ137" s="231" t="n">
        <f aca="false">IFERROR(VLOOKUP(A137,'Site check'!$A$14:$O$47,15,0),0)</f>
        <v>0</v>
      </c>
      <c r="BA137" s="232" t="n">
        <f aca="false">SUM(AZ137*1000)/48</f>
        <v>0</v>
      </c>
      <c r="BB137" s="90" t="e">
        <f aca="false">SUM(P137/2)+E137</f>
        <v>#VALUE!</v>
      </c>
      <c r="BC137" s="90" t="e">
        <f aca="false">SUM(P137/2)+F137</f>
        <v>#VALUE!</v>
      </c>
    </row>
    <row r="138" customFormat="false" ht="13.15" hidden="false" customHeight="false" outlineLevel="0" collapsed="false">
      <c r="A138" s="0" t="str">
        <f aca="false">[2]Sheet1!A138</f>
        <v>BHMN05_SEC_DCDB_AG01</v>
      </c>
      <c r="B138" s="0" t="str">
        <f aca="false">[2]Sheet1!B138</f>
        <v>BHMN05;DC SYS A</v>
      </c>
      <c r="C138" s="44" t="str">
        <f aca="false">[2]Sheet1!C138</f>
        <v>BHMN05</v>
      </c>
      <c r="D138" s="44" t="s">
        <v>411</v>
      </c>
      <c r="E138" s="0" t="n">
        <f aca="false">[2]Sheet1!D138</f>
        <v>260</v>
      </c>
      <c r="F138" s="0" t="n">
        <f aca="false">[2]Sheet1!E138</f>
        <v>280</v>
      </c>
      <c r="G138" s="45" t="n">
        <f aca="false">[2]Sheet1!F138</f>
        <v>44958</v>
      </c>
      <c r="H138" s="0" t="n">
        <f aca="false">[2]Sheet1!G138</f>
        <v>300</v>
      </c>
      <c r="I138" s="0" t="n">
        <f aca="false">[2]Sheet1!H138</f>
        <v>300</v>
      </c>
      <c r="J138" s="0" t="n">
        <f aca="false">[2]Sheet1!I138</f>
        <v>0</v>
      </c>
      <c r="K138" s="0" t="n">
        <f aca="false">[2]Sheet1!J138</f>
        <v>0</v>
      </c>
      <c r="L138" s="0" t="n">
        <f aca="false">[2]Sheet1!K138</f>
        <v>0</v>
      </c>
      <c r="M138" s="0" t="n">
        <f aca="false">[2]Sheet1!L138</f>
        <v>5</v>
      </c>
      <c r="N138" s="0" t="n">
        <f aca="false">[2]Sheet1!M138</f>
        <v>6</v>
      </c>
      <c r="O138" s="0" t="n">
        <f aca="false">[2]Sheet1!N138</f>
        <v>0</v>
      </c>
      <c r="P138" s="226" t="n">
        <f aca="false">SUM(AY138+BA138)</f>
        <v>0</v>
      </c>
      <c r="Q138" s="201"/>
      <c r="R138" s="71"/>
      <c r="S138" s="227"/>
      <c r="T138" s="71"/>
      <c r="U138" s="201"/>
      <c r="V138" s="71"/>
      <c r="W138" s="227"/>
      <c r="X138" s="71"/>
      <c r="Y138" s="201"/>
      <c r="Z138" s="71"/>
      <c r="AA138" s="227"/>
      <c r="AB138" s="71"/>
      <c r="AC138" s="201"/>
      <c r="AD138" s="71"/>
      <c r="AE138" s="227"/>
      <c r="AF138" s="71"/>
      <c r="AG138" s="201"/>
      <c r="AH138" s="71"/>
      <c r="AI138" s="227"/>
      <c r="AJ138" s="71"/>
      <c r="AK138" s="201"/>
      <c r="AL138" s="71"/>
      <c r="AM138" s="227"/>
      <c r="AN138" s="71"/>
      <c r="AO138" s="201"/>
      <c r="AP138" s="71"/>
      <c r="AQ138" s="227"/>
      <c r="AR138" s="71"/>
      <c r="AS138" s="227"/>
      <c r="AT138" s="228"/>
      <c r="AU138" s="227"/>
      <c r="AV138" s="228"/>
      <c r="AW138" s="227"/>
      <c r="AX138" s="229" t="n">
        <f aca="false">SUM(R138+T138+V138+X138+Z138+AB138+AD138+AF138+AH138+AJ138+AL138+AN138+AP138+AR138)</f>
        <v>0</v>
      </c>
      <c r="AY138" s="230" t="n">
        <f aca="false">SUM(AX138*1000)/48</f>
        <v>0</v>
      </c>
      <c r="AZ138" s="231" t="n">
        <f aca="false">IFERROR(VLOOKUP(A138,'Site check'!$A$14:$O$47,15,0),0)</f>
        <v>0</v>
      </c>
      <c r="BA138" s="232" t="n">
        <f aca="false">SUM(AZ138*1000)/48</f>
        <v>0</v>
      </c>
      <c r="BB138" s="90" t="n">
        <f aca="false">SUM(P138/2)+E138</f>
        <v>260</v>
      </c>
      <c r="BC138" s="90" t="n">
        <f aca="false">SUM(P138/2)+F138</f>
        <v>280</v>
      </c>
    </row>
    <row r="139" customFormat="false" ht="13.15" hidden="false" customHeight="false" outlineLevel="0" collapsed="false">
      <c r="A139" s="0" t="str">
        <f aca="false">[2]Sheet1!A139</f>
        <v>BHMN05_SEC_WALL_DCDB_A</v>
      </c>
      <c r="B139" s="0" t="str">
        <f aca="false">[2]Sheet1!B139</f>
        <v>BHMN05;DC SYS A</v>
      </c>
      <c r="C139" s="44" t="str">
        <f aca="false">[2]Sheet1!C139</f>
        <v>BHMN05</v>
      </c>
      <c r="D139" s="44" t="s">
        <v>411</v>
      </c>
      <c r="E139" s="0" t="n">
        <f aca="false">[2]Sheet1!D139</f>
        <v>120</v>
      </c>
      <c r="F139" s="0" t="n">
        <f aca="false">[2]Sheet1!E139</f>
        <v>120</v>
      </c>
      <c r="G139" s="45" t="n">
        <f aca="false">[2]Sheet1!F139</f>
        <v>44958</v>
      </c>
      <c r="H139" s="0" t="n">
        <f aca="false">[2]Sheet1!G139</f>
        <v>200</v>
      </c>
      <c r="I139" s="0" t="n">
        <f aca="false">[2]Sheet1!H139</f>
        <v>200</v>
      </c>
      <c r="J139" s="0" t="n">
        <f aca="false">[2]Sheet1!I139</f>
        <v>4</v>
      </c>
      <c r="K139" s="0" t="n">
        <f aca="false">[2]Sheet1!J139</f>
        <v>1</v>
      </c>
      <c r="L139" s="0" t="n">
        <f aca="false">[2]Sheet1!K139</f>
        <v>1</v>
      </c>
      <c r="M139" s="0" t="n">
        <f aca="false">[2]Sheet1!L139</f>
        <v>0</v>
      </c>
      <c r="N139" s="0" t="n">
        <f aca="false">[2]Sheet1!M139</f>
        <v>3</v>
      </c>
      <c r="O139" s="0" t="n">
        <f aca="false">[2]Sheet1!N139</f>
        <v>0</v>
      </c>
      <c r="P139" s="226" t="n">
        <f aca="false">SUM(AY139+BA139)</f>
        <v>0</v>
      </c>
      <c r="Q139" s="201"/>
      <c r="R139" s="71"/>
      <c r="S139" s="227"/>
      <c r="T139" s="71"/>
      <c r="U139" s="201"/>
      <c r="V139" s="71"/>
      <c r="W139" s="227"/>
      <c r="X139" s="71"/>
      <c r="Y139" s="201"/>
      <c r="Z139" s="71"/>
      <c r="AA139" s="227"/>
      <c r="AB139" s="71"/>
      <c r="AC139" s="201"/>
      <c r="AD139" s="71"/>
      <c r="AE139" s="227"/>
      <c r="AF139" s="71"/>
      <c r="AG139" s="201"/>
      <c r="AH139" s="71"/>
      <c r="AI139" s="227"/>
      <c r="AJ139" s="71"/>
      <c r="AK139" s="201"/>
      <c r="AL139" s="71"/>
      <c r="AM139" s="227"/>
      <c r="AN139" s="71"/>
      <c r="AO139" s="201"/>
      <c r="AP139" s="71"/>
      <c r="AQ139" s="227"/>
      <c r="AR139" s="71"/>
      <c r="AS139" s="227"/>
      <c r="AT139" s="228"/>
      <c r="AU139" s="227"/>
      <c r="AV139" s="228"/>
      <c r="AW139" s="227"/>
      <c r="AX139" s="229" t="n">
        <f aca="false">SUM(R139+T139+V139+X139+Z139+AB139+AD139+AF139+AH139+AJ139+AL139+AN139+AP139+AR139)</f>
        <v>0</v>
      </c>
      <c r="AY139" s="230" t="n">
        <f aca="false">SUM(AX139*1000)/48</f>
        <v>0</v>
      </c>
      <c r="AZ139" s="231" t="n">
        <f aca="false">IFERROR(VLOOKUP(A139,'Site check'!$A$14:$O$47,15,0),0)</f>
        <v>0</v>
      </c>
      <c r="BA139" s="232" t="n">
        <f aca="false">SUM(AZ139*1000)/48</f>
        <v>0</v>
      </c>
      <c r="BB139" s="90" t="n">
        <f aca="false">SUM(P139/2)+E139</f>
        <v>120</v>
      </c>
      <c r="BC139" s="90" t="n">
        <f aca="false">SUM(P139/2)+F139</f>
        <v>120</v>
      </c>
    </row>
    <row r="140" customFormat="false" ht="13.15" hidden="false" customHeight="false" outlineLevel="0" collapsed="false">
      <c r="A140" s="0" t="str">
        <f aca="false">[2]Sheet1!A140</f>
        <v>BHMN05_SEC_WALL_DCDB_B</v>
      </c>
      <c r="B140" s="0" t="str">
        <f aca="false">[2]Sheet1!B140</f>
        <v>BHMN05;DC SYS A</v>
      </c>
      <c r="C140" s="44" t="str">
        <f aca="false">[2]Sheet1!C140</f>
        <v>BHMN05</v>
      </c>
      <c r="D140" s="44" t="s">
        <v>411</v>
      </c>
      <c r="E140" s="0" t="n">
        <f aca="false">[2]Sheet1!D140</f>
        <v>95</v>
      </c>
      <c r="F140" s="0" t="n">
        <f aca="false">[2]Sheet1!E140</f>
        <v>95</v>
      </c>
      <c r="G140" s="45" t="n">
        <f aca="false">[2]Sheet1!F140</f>
        <v>44958</v>
      </c>
      <c r="H140" s="0" t="n">
        <f aca="false">[2]Sheet1!G140</f>
        <v>200</v>
      </c>
      <c r="I140" s="0" t="n">
        <f aca="false">[2]Sheet1!H140</f>
        <v>200</v>
      </c>
      <c r="J140" s="0" t="n">
        <f aca="false">[2]Sheet1!I140</f>
        <v>6</v>
      </c>
      <c r="K140" s="0" t="n">
        <f aca="false">[2]Sheet1!J140</f>
        <v>0</v>
      </c>
      <c r="L140" s="0" t="n">
        <f aca="false">[2]Sheet1!K140</f>
        <v>0</v>
      </c>
      <c r="M140" s="0" t="n">
        <f aca="false">[2]Sheet1!L140</f>
        <v>0</v>
      </c>
      <c r="N140" s="0" t="n">
        <f aca="false">[2]Sheet1!M140</f>
        <v>7</v>
      </c>
      <c r="O140" s="0" t="n">
        <f aca="false">[2]Sheet1!N140</f>
        <v>0</v>
      </c>
      <c r="P140" s="226" t="n">
        <f aca="false">SUM(AY140+BA140)</f>
        <v>0</v>
      </c>
      <c r="Q140" s="201"/>
      <c r="R140" s="71"/>
      <c r="S140" s="227"/>
      <c r="T140" s="71"/>
      <c r="U140" s="201"/>
      <c r="V140" s="71"/>
      <c r="W140" s="227"/>
      <c r="X140" s="71"/>
      <c r="Y140" s="201"/>
      <c r="Z140" s="71"/>
      <c r="AA140" s="227"/>
      <c r="AB140" s="71"/>
      <c r="AC140" s="201"/>
      <c r="AD140" s="71"/>
      <c r="AE140" s="227"/>
      <c r="AF140" s="71"/>
      <c r="AG140" s="201"/>
      <c r="AH140" s="71"/>
      <c r="AI140" s="227"/>
      <c r="AJ140" s="71"/>
      <c r="AK140" s="201"/>
      <c r="AL140" s="71"/>
      <c r="AM140" s="227"/>
      <c r="AN140" s="71"/>
      <c r="AO140" s="201"/>
      <c r="AP140" s="71"/>
      <c r="AQ140" s="227"/>
      <c r="AR140" s="71"/>
      <c r="AS140" s="227"/>
      <c r="AT140" s="228"/>
      <c r="AU140" s="227"/>
      <c r="AV140" s="228"/>
      <c r="AW140" s="227"/>
      <c r="AX140" s="229" t="n">
        <f aca="false">SUM(R140+T140+V140+X140+Z140+AB140+AD140+AF140+AH140+AJ140+AL140+AN140+AP140+AR140)</f>
        <v>0</v>
      </c>
      <c r="AY140" s="230" t="n">
        <f aca="false">SUM(AX140*1000)/48</f>
        <v>0</v>
      </c>
      <c r="AZ140" s="231" t="n">
        <f aca="false">IFERROR(VLOOKUP(A140,'Site check'!$A$14:$O$47,15,0),0)</f>
        <v>0</v>
      </c>
      <c r="BA140" s="232" t="n">
        <f aca="false">SUM(AZ140*1000)/48</f>
        <v>0</v>
      </c>
      <c r="BB140" s="90" t="n">
        <f aca="false">SUM(P140/2)+E140</f>
        <v>95</v>
      </c>
      <c r="BC140" s="90" t="n">
        <f aca="false">SUM(P140/2)+F140</f>
        <v>95</v>
      </c>
    </row>
    <row r="141" customFormat="false" ht="13.15" hidden="false" customHeight="false" outlineLevel="0" collapsed="false">
      <c r="A141" s="0" t="str">
        <f aca="false">[2]Sheet1!A141</f>
        <v>BHMN05_SEC_WALL_DCDB_C</v>
      </c>
      <c r="B141" s="0" t="str">
        <f aca="false">[2]Sheet1!B141</f>
        <v>BHMN05;DC SYS A</v>
      </c>
      <c r="C141" s="44" t="str">
        <f aca="false">[2]Sheet1!C141</f>
        <v>BHMN05</v>
      </c>
      <c r="D141" s="44" t="s">
        <v>411</v>
      </c>
      <c r="E141" s="0" t="n">
        <f aca="false">[2]Sheet1!D141</f>
        <v>90</v>
      </c>
      <c r="F141" s="0" t="n">
        <f aca="false">[2]Sheet1!E141</f>
        <v>105</v>
      </c>
      <c r="G141" s="45" t="n">
        <f aca="false">[2]Sheet1!F141</f>
        <v>44958</v>
      </c>
      <c r="H141" s="0" t="n">
        <f aca="false">[2]Sheet1!G141</f>
        <v>200</v>
      </c>
      <c r="I141" s="0" t="n">
        <f aca="false">[2]Sheet1!H141</f>
        <v>200</v>
      </c>
      <c r="J141" s="0" t="n">
        <f aca="false">[2]Sheet1!I141</f>
        <v>6</v>
      </c>
      <c r="K141" s="0" t="n">
        <f aca="false">[2]Sheet1!J141</f>
        <v>1</v>
      </c>
      <c r="L141" s="0" t="n">
        <f aca="false">[2]Sheet1!K141</f>
        <v>0</v>
      </c>
      <c r="M141" s="0" t="n">
        <f aca="false">[2]Sheet1!L141</f>
        <v>1</v>
      </c>
      <c r="N141" s="0" t="n">
        <f aca="false">[2]Sheet1!M141</f>
        <v>2</v>
      </c>
      <c r="O141" s="0" t="n">
        <f aca="false">[2]Sheet1!N141</f>
        <v>0</v>
      </c>
      <c r="P141" s="226" t="n">
        <f aca="false">SUM(AY141+BA141)</f>
        <v>41.6666666666667</v>
      </c>
      <c r="Q141" s="181" t="s">
        <v>1001</v>
      </c>
      <c r="R141" s="234" t="n">
        <v>2</v>
      </c>
      <c r="S141" s="204"/>
      <c r="T141" s="221"/>
      <c r="U141" s="204"/>
      <c r="V141" s="221"/>
      <c r="W141" s="227"/>
      <c r="X141" s="71"/>
      <c r="Y141" s="201"/>
      <c r="Z141" s="71"/>
      <c r="AA141" s="227"/>
      <c r="AB141" s="71"/>
      <c r="AC141" s="201"/>
      <c r="AD141" s="71"/>
      <c r="AE141" s="227"/>
      <c r="AF141" s="71"/>
      <c r="AG141" s="201"/>
      <c r="AH141" s="71"/>
      <c r="AI141" s="227"/>
      <c r="AJ141" s="71"/>
      <c r="AK141" s="201"/>
      <c r="AL141" s="71"/>
      <c r="AM141" s="227"/>
      <c r="AN141" s="71"/>
      <c r="AO141" s="201"/>
      <c r="AP141" s="71"/>
      <c r="AQ141" s="227"/>
      <c r="AR141" s="71"/>
      <c r="AS141" s="227"/>
      <c r="AT141" s="228"/>
      <c r="AU141" s="227"/>
      <c r="AV141" s="228"/>
      <c r="AW141" s="227"/>
      <c r="AX141" s="229" t="n">
        <f aca="false">SUM(R141+T141+V141+X141+Z141+AB141+AD141+AF141+AH141+AJ141+AL141+AN141+AP141+AR141)</f>
        <v>2</v>
      </c>
      <c r="AY141" s="230" t="n">
        <f aca="false">SUM(AX141*1000)/48</f>
        <v>41.6666666666667</v>
      </c>
      <c r="AZ141" s="231" t="n">
        <f aca="false">IFERROR(VLOOKUP(A141,'Site check'!$A$14:$O$47,15,0),0)</f>
        <v>0</v>
      </c>
      <c r="BA141" s="232" t="n">
        <f aca="false">SUM(AZ141*1000)/48</f>
        <v>0</v>
      </c>
      <c r="BB141" s="90" t="n">
        <f aca="false">SUM(P141/2)+E141</f>
        <v>110.833333333333</v>
      </c>
      <c r="BC141" s="90" t="n">
        <f aca="false">SUM(P141/2)+F141</f>
        <v>125.833333333333</v>
      </c>
    </row>
    <row r="142" customFormat="false" ht="13.15" hidden="false" customHeight="false" outlineLevel="0" collapsed="false">
      <c r="A142" s="0" t="str">
        <f aca="false">[2]Sheet1!A142</f>
        <v>BHMN05_SEC_WALL_DCDB_D</v>
      </c>
      <c r="B142" s="0" t="str">
        <f aca="false">[2]Sheet1!B142</f>
        <v>BHMN05;DC SYS A</v>
      </c>
      <c r="C142" s="44" t="str">
        <f aca="false">[2]Sheet1!C142</f>
        <v>BHMN05</v>
      </c>
      <c r="D142" s="44" t="s">
        <v>411</v>
      </c>
      <c r="E142" s="0" t="n">
        <f aca="false">[2]Sheet1!D142</f>
        <v>100</v>
      </c>
      <c r="F142" s="0" t="n">
        <f aca="false">[2]Sheet1!E142</f>
        <v>120</v>
      </c>
      <c r="G142" s="45" t="n">
        <f aca="false">[2]Sheet1!F142</f>
        <v>44958</v>
      </c>
      <c r="H142" s="0" t="n">
        <f aca="false">[2]Sheet1!G142</f>
        <v>200</v>
      </c>
      <c r="I142" s="0" t="n">
        <f aca="false">[2]Sheet1!H142</f>
        <v>200</v>
      </c>
      <c r="J142" s="0" t="n">
        <f aca="false">[2]Sheet1!I142</f>
        <v>0</v>
      </c>
      <c r="K142" s="0" t="n">
        <f aca="false">[2]Sheet1!J142</f>
        <v>1</v>
      </c>
      <c r="L142" s="0" t="n">
        <f aca="false">[2]Sheet1!K142</f>
        <v>0</v>
      </c>
      <c r="M142" s="0" t="n">
        <f aca="false">[2]Sheet1!L142</f>
        <v>0</v>
      </c>
      <c r="N142" s="0" t="n">
        <f aca="false">[2]Sheet1!M142</f>
        <v>9</v>
      </c>
      <c r="O142" s="0" t="n">
        <f aca="false">[2]Sheet1!N142</f>
        <v>1</v>
      </c>
      <c r="P142" s="226" t="n">
        <f aca="false">SUM(AY142+BA142)</f>
        <v>0</v>
      </c>
      <c r="Q142" s="201"/>
      <c r="R142" s="71"/>
      <c r="S142" s="227"/>
      <c r="T142" s="71"/>
      <c r="U142" s="201"/>
      <c r="V142" s="71"/>
      <c r="W142" s="227"/>
      <c r="X142" s="71"/>
      <c r="Y142" s="201"/>
      <c r="Z142" s="71"/>
      <c r="AA142" s="227"/>
      <c r="AB142" s="71"/>
      <c r="AC142" s="201"/>
      <c r="AD142" s="71"/>
      <c r="AE142" s="227"/>
      <c r="AF142" s="71"/>
      <c r="AG142" s="201"/>
      <c r="AH142" s="71"/>
      <c r="AI142" s="227"/>
      <c r="AJ142" s="71"/>
      <c r="AK142" s="201"/>
      <c r="AL142" s="71"/>
      <c r="AM142" s="227"/>
      <c r="AN142" s="71"/>
      <c r="AO142" s="201"/>
      <c r="AP142" s="71"/>
      <c r="AQ142" s="227"/>
      <c r="AR142" s="71"/>
      <c r="AS142" s="227"/>
      <c r="AT142" s="228"/>
      <c r="AU142" s="227"/>
      <c r="AV142" s="228"/>
      <c r="AW142" s="227"/>
      <c r="AX142" s="229" t="n">
        <f aca="false">SUM(R142+T142+V142+X142+Z142+AB142+AD142+AF142+AH142+AJ142+AL142+AN142+AP142+AR142)</f>
        <v>0</v>
      </c>
      <c r="AY142" s="230" t="n">
        <f aca="false">SUM(AX142*1000)/48</f>
        <v>0</v>
      </c>
      <c r="AZ142" s="231" t="n">
        <f aca="false">IFERROR(VLOOKUP(A142,'Site check'!$A$14:$O$47,15,0),0)</f>
        <v>0</v>
      </c>
      <c r="BA142" s="232" t="n">
        <f aca="false">SUM(AZ142*1000)/48</f>
        <v>0</v>
      </c>
      <c r="BB142" s="90" t="n">
        <f aca="false">SUM(P142/2)+E142</f>
        <v>100</v>
      </c>
      <c r="BC142" s="90" t="n">
        <f aca="false">SUM(P142/2)+F142</f>
        <v>120</v>
      </c>
    </row>
    <row r="143" customFormat="false" ht="13.15" hidden="false" customHeight="false" outlineLevel="0" collapsed="false">
      <c r="A143" s="0" t="str">
        <f aca="false">[2]Sheet1!A143</f>
        <v>BHMN08_PDU1A_B.</v>
      </c>
      <c r="B143" s="0" t="str">
        <f aca="false">[2]Sheet1!B143</f>
        <v>BHMN08;DCSYS03B</v>
      </c>
      <c r="C143" s="44" t="str">
        <f aca="false">[2]Sheet1!C143</f>
        <v>BHMN08</v>
      </c>
      <c r="D143" s="44" t="s">
        <v>414</v>
      </c>
      <c r="E143" s="0" t="n">
        <f aca="false">[2]Sheet1!D143</f>
        <v>131</v>
      </c>
      <c r="F143" s="0" t="n">
        <f aca="false">[2]Sheet1!E143</f>
        <v>157.65</v>
      </c>
      <c r="G143" s="45" t="n">
        <f aca="false">[2]Sheet1!F143</f>
        <v>45665</v>
      </c>
      <c r="H143" s="0" t="n">
        <f aca="false">[2]Sheet1!G143</f>
        <v>360</v>
      </c>
      <c r="I143" s="0" t="n">
        <f aca="false">[2]Sheet1!H143</f>
        <v>360</v>
      </c>
      <c r="J143" s="0" t="n">
        <f aca="false">[2]Sheet1!I143</f>
        <v>0</v>
      </c>
      <c r="K143" s="0" t="n">
        <f aca="false">[2]Sheet1!J143</f>
        <v>0</v>
      </c>
      <c r="L143" s="0" t="n">
        <f aca="false">[2]Sheet1!K143</f>
        <v>0</v>
      </c>
      <c r="M143" s="0" t="n">
        <f aca="false">[2]Sheet1!L143</f>
        <v>0</v>
      </c>
      <c r="N143" s="0" t="n">
        <f aca="false">[2]Sheet1!M143</f>
        <v>0</v>
      </c>
      <c r="O143" s="0" t="n">
        <f aca="false">[2]Sheet1!N143</f>
        <v>0</v>
      </c>
      <c r="P143" s="226" t="n">
        <f aca="false">SUM(AY143+BA143)</f>
        <v>368.75</v>
      </c>
      <c r="Q143" s="181" t="s">
        <v>1002</v>
      </c>
      <c r="R143" s="237" t="n">
        <v>0.8</v>
      </c>
      <c r="S143" s="170" t="s">
        <v>1003</v>
      </c>
      <c r="T143" s="234" t="n">
        <v>2.6</v>
      </c>
      <c r="U143" s="170" t="s">
        <v>1004</v>
      </c>
      <c r="V143" s="234" t="n">
        <v>1.8</v>
      </c>
      <c r="W143" s="170" t="s">
        <v>1005</v>
      </c>
      <c r="X143" s="234" t="n">
        <v>3.3</v>
      </c>
      <c r="Y143" s="170" t="s">
        <v>1006</v>
      </c>
      <c r="Z143" s="234" t="n">
        <v>1.3</v>
      </c>
      <c r="AA143" s="170" t="s">
        <v>1007</v>
      </c>
      <c r="AB143" s="234" t="n">
        <v>2.6</v>
      </c>
      <c r="AC143" s="170" t="s">
        <v>1480</v>
      </c>
      <c r="AD143" s="234" t="n">
        <v>3.7</v>
      </c>
      <c r="AE143" s="179" t="s">
        <v>1009</v>
      </c>
      <c r="AF143" s="180" t="n">
        <v>1.6</v>
      </c>
      <c r="AG143" s="201"/>
      <c r="AH143" s="71"/>
      <c r="AI143" s="227"/>
      <c r="AJ143" s="71"/>
      <c r="AK143" s="201"/>
      <c r="AL143" s="71"/>
      <c r="AM143" s="227"/>
      <c r="AN143" s="71"/>
      <c r="AO143" s="201"/>
      <c r="AP143" s="71"/>
      <c r="AQ143" s="227"/>
      <c r="AR143" s="71"/>
      <c r="AS143" s="227"/>
      <c r="AT143" s="228"/>
      <c r="AU143" s="227"/>
      <c r="AV143" s="228"/>
      <c r="AW143" s="227"/>
      <c r="AX143" s="229" t="n">
        <f aca="false">SUM(R143+T143+V143+X143+Z143+AB143+AD143+AF143+AH143+AJ143+AL143+AN143+AP143+AR143)</f>
        <v>17.7</v>
      </c>
      <c r="AY143" s="230" t="n">
        <f aca="false">SUM(AX143*1000)/48</f>
        <v>368.75</v>
      </c>
      <c r="AZ143" s="231" t="n">
        <f aca="false">IFERROR(VLOOKUP(A143,'Site check'!$A$14:$O$47,15,0),0)</f>
        <v>0</v>
      </c>
      <c r="BA143" s="232" t="n">
        <f aca="false">SUM(AZ143*1000)/48</f>
        <v>0</v>
      </c>
      <c r="BB143" s="90" t="n">
        <f aca="false">SUM(P143/2)+E143</f>
        <v>315.375</v>
      </c>
      <c r="BC143" s="90" t="n">
        <f aca="false">SUM(P143/2)+F143</f>
        <v>342.025</v>
      </c>
    </row>
    <row r="144" customFormat="false" ht="13.15" hidden="false" customHeight="false" outlineLevel="0" collapsed="false">
      <c r="A144" s="0" t="str">
        <f aca="false">[2]Sheet1!A144</f>
        <v>NECCD1 (EATON RACKS)_Suite G 1&amp;2.</v>
      </c>
      <c r="B144" s="0" t="str">
        <f aca="false">[2]Sheet1!B144</f>
        <v>NECCD1;DC SYS01</v>
      </c>
      <c r="C144" s="44" t="str">
        <f aca="false">[2]Sheet1!C144</f>
        <v>NECCD1</v>
      </c>
      <c r="D144" s="44" t="s">
        <v>686</v>
      </c>
      <c r="E144" s="0" t="str">
        <f aca="false">[2]Sheet1!D144</f>
        <v>NONE</v>
      </c>
      <c r="F144" s="0" t="str">
        <f aca="false">[2]Sheet1!E144</f>
        <v>NONE</v>
      </c>
      <c r="G144" s="45" t="str">
        <f aca="false">[2]Sheet1!F144</f>
        <v>21ST OCTOBER 2020</v>
      </c>
      <c r="H144" s="0" t="n">
        <f aca="false">[2]Sheet1!G144</f>
        <v>200</v>
      </c>
      <c r="I144" s="0" t="n">
        <f aca="false">[2]Sheet1!H144</f>
        <v>200</v>
      </c>
      <c r="J144" s="0" t="n">
        <f aca="false">[2]Sheet1!I144</f>
        <v>0</v>
      </c>
      <c r="K144" s="0" t="n">
        <f aca="false">[2]Sheet1!J144</f>
        <v>0</v>
      </c>
      <c r="L144" s="0" t="n">
        <f aca="false">[2]Sheet1!K144</f>
        <v>0</v>
      </c>
      <c r="M144" s="0" t="n">
        <f aca="false">[2]Sheet1!L144</f>
        <v>0</v>
      </c>
      <c r="N144" s="0" t="n">
        <f aca="false">[2]Sheet1!M144</f>
        <v>0</v>
      </c>
      <c r="O144" s="0" t="n">
        <f aca="false">[2]Sheet1!N144</f>
        <v>0</v>
      </c>
      <c r="P144" s="226" t="n">
        <f aca="false">SUM(AY144+BA144)</f>
        <v>0</v>
      </c>
      <c r="Q144" s="201"/>
      <c r="R144" s="71"/>
      <c r="S144" s="227"/>
      <c r="T144" s="71"/>
      <c r="U144" s="201"/>
      <c r="V144" s="71"/>
      <c r="W144" s="227"/>
      <c r="X144" s="71"/>
      <c r="Y144" s="201"/>
      <c r="Z144" s="71"/>
      <c r="AA144" s="227"/>
      <c r="AB144" s="71"/>
      <c r="AC144" s="201"/>
      <c r="AD144" s="71"/>
      <c r="AE144" s="227"/>
      <c r="AF144" s="71"/>
      <c r="AG144" s="201"/>
      <c r="AH144" s="71"/>
      <c r="AI144" s="227"/>
      <c r="AJ144" s="71"/>
      <c r="AK144" s="201"/>
      <c r="AL144" s="71"/>
      <c r="AM144" s="227"/>
      <c r="AN144" s="71"/>
      <c r="AO144" s="201"/>
      <c r="AP144" s="71"/>
      <c r="AQ144" s="227"/>
      <c r="AR144" s="71"/>
      <c r="AS144" s="227"/>
      <c r="AT144" s="228"/>
      <c r="AU144" s="227"/>
      <c r="AV144" s="228"/>
      <c r="AW144" s="227"/>
      <c r="AX144" s="229" t="n">
        <f aca="false">SUM(R144+T144+V144+X144+Z144+AB144+AD144+AF144+AH144+AJ144+AL144+AN144+AP144+AR144)</f>
        <v>0</v>
      </c>
      <c r="AY144" s="230" t="n">
        <f aca="false">SUM(AX144*1000)/48</f>
        <v>0</v>
      </c>
      <c r="AZ144" s="231" t="n">
        <f aca="false">IFERROR(VLOOKUP(A144,'Site check'!$A$14:$O$47,15,0),0)</f>
        <v>0</v>
      </c>
      <c r="BA144" s="232" t="n">
        <f aca="false">SUM(AZ144*1000)/48</f>
        <v>0</v>
      </c>
      <c r="BB144" s="90" t="e">
        <f aca="false">SUM(P144/2)+E144</f>
        <v>#VALUE!</v>
      </c>
      <c r="BC144" s="90" t="e">
        <f aca="false">SUM(P144/2)+F144</f>
        <v>#VALUE!</v>
      </c>
    </row>
    <row r="145" customFormat="false" ht="13.15" hidden="false" customHeight="false" outlineLevel="0" collapsed="false">
      <c r="A145" s="0" t="str">
        <f aca="false">[2]Sheet1!A145</f>
        <v>NECCD1_DC-DB (Wall Mounted ).</v>
      </c>
      <c r="B145" s="0" t="str">
        <f aca="false">[2]Sheet1!B145</f>
        <v>NECCD1;DC SYS01</v>
      </c>
      <c r="C145" s="44" t="str">
        <f aca="false">[2]Sheet1!C145</f>
        <v>NECCD1</v>
      </c>
      <c r="D145" s="44" t="s">
        <v>686</v>
      </c>
      <c r="E145" s="0" t="str">
        <f aca="false">[2]Sheet1!D145</f>
        <v>NONE</v>
      </c>
      <c r="F145" s="0" t="str">
        <f aca="false">[2]Sheet1!E145</f>
        <v>NONE</v>
      </c>
      <c r="G145" s="45" t="str">
        <f aca="false">[2]Sheet1!F145</f>
        <v>21ST OCTOBER 2020</v>
      </c>
      <c r="H145" s="0" t="n">
        <f aca="false">[2]Sheet1!G145</f>
        <v>200</v>
      </c>
      <c r="I145" s="0" t="n">
        <f aca="false">[2]Sheet1!H145</f>
        <v>200</v>
      </c>
      <c r="J145" s="0" t="n">
        <f aca="false">[2]Sheet1!I145</f>
        <v>0</v>
      </c>
      <c r="K145" s="0" t="n">
        <f aca="false">[2]Sheet1!J145</f>
        <v>0</v>
      </c>
      <c r="L145" s="0" t="n">
        <f aca="false">[2]Sheet1!K145</f>
        <v>8</v>
      </c>
      <c r="M145" s="0" t="n">
        <f aca="false">[2]Sheet1!L145</f>
        <v>0</v>
      </c>
      <c r="N145" s="0" t="n">
        <f aca="false">[2]Sheet1!M145</f>
        <v>0</v>
      </c>
      <c r="O145" s="0" t="n">
        <f aca="false">[2]Sheet1!N145</f>
        <v>0</v>
      </c>
      <c r="P145" s="226" t="n">
        <f aca="false">SUM(AY145+BA145)</f>
        <v>0</v>
      </c>
      <c r="Q145" s="201"/>
      <c r="R145" s="71"/>
      <c r="S145" s="227"/>
      <c r="T145" s="71"/>
      <c r="U145" s="201"/>
      <c r="V145" s="71"/>
      <c r="W145" s="227"/>
      <c r="X145" s="71"/>
      <c r="Y145" s="201"/>
      <c r="Z145" s="71"/>
      <c r="AA145" s="227"/>
      <c r="AB145" s="71"/>
      <c r="AC145" s="201"/>
      <c r="AD145" s="71"/>
      <c r="AE145" s="227"/>
      <c r="AF145" s="71"/>
      <c r="AG145" s="201"/>
      <c r="AH145" s="71"/>
      <c r="AI145" s="227"/>
      <c r="AJ145" s="71"/>
      <c r="AK145" s="201"/>
      <c r="AL145" s="71"/>
      <c r="AM145" s="227"/>
      <c r="AN145" s="71"/>
      <c r="AO145" s="201"/>
      <c r="AP145" s="71"/>
      <c r="AQ145" s="227"/>
      <c r="AR145" s="71"/>
      <c r="AS145" s="227"/>
      <c r="AT145" s="228"/>
      <c r="AU145" s="227"/>
      <c r="AV145" s="228"/>
      <c r="AW145" s="227"/>
      <c r="AX145" s="229" t="n">
        <f aca="false">SUM(R145+T145+V145+X145+Z145+AB145+AD145+AF145+AH145+AJ145+AL145+AN145+AP145+AR145)</f>
        <v>0</v>
      </c>
      <c r="AY145" s="230" t="n">
        <f aca="false">SUM(AX145*1000)/48</f>
        <v>0</v>
      </c>
      <c r="AZ145" s="231" t="n">
        <f aca="false">IFERROR(VLOOKUP(A145,'Site check'!$A$14:$O$47,15,0),0)</f>
        <v>0</v>
      </c>
      <c r="BA145" s="232" t="n">
        <f aca="false">SUM(AZ145*1000)/48</f>
        <v>0</v>
      </c>
      <c r="BB145" s="90" t="e">
        <f aca="false">SUM(P145/2)+E145</f>
        <v>#VALUE!</v>
      </c>
      <c r="BC145" s="90" t="e">
        <f aca="false">SUM(P145/2)+F145</f>
        <v>#VALUE!</v>
      </c>
    </row>
    <row r="146" customFormat="false" ht="13.15" hidden="false" customHeight="false" outlineLevel="0" collapsed="false">
      <c r="A146" s="0" t="str">
        <f aca="false">[2]Sheet1!A146</f>
        <v>CELL01 - ADVANCE DC 600  Suite 2C.</v>
      </c>
      <c r="B146" s="0" t="str">
        <f aca="false">[2]Sheet1!B146</f>
        <v>CELL01;DC SYS01</v>
      </c>
      <c r="C146" s="44" t="str">
        <f aca="false">[2]Sheet1!C146</f>
        <v>CELL01</v>
      </c>
      <c r="D146" s="44" t="s">
        <v>492</v>
      </c>
      <c r="E146" s="0" t="n">
        <f aca="false">[2]Sheet1!D146</f>
        <v>20</v>
      </c>
      <c r="F146" s="0" t="n">
        <f aca="false">[2]Sheet1!E146</f>
        <v>20</v>
      </c>
      <c r="G146" s="45" t="str">
        <f aca="false">[2]Sheet1!F146</f>
        <v>17th December 2020</v>
      </c>
      <c r="H146" s="0" t="n">
        <f aca="false">[2]Sheet1!G146</f>
        <v>300</v>
      </c>
      <c r="I146" s="0" t="n">
        <f aca="false">[2]Sheet1!H146</f>
        <v>300</v>
      </c>
      <c r="J146" s="0" t="n">
        <f aca="false">[2]Sheet1!I146</f>
        <v>0</v>
      </c>
      <c r="K146" s="0" t="n">
        <f aca="false">[2]Sheet1!J146</f>
        <v>0</v>
      </c>
      <c r="L146" s="0" t="n">
        <f aca="false">[2]Sheet1!K146</f>
        <v>0</v>
      </c>
      <c r="M146" s="0" t="n">
        <f aca="false">[2]Sheet1!L146</f>
        <v>0</v>
      </c>
      <c r="N146" s="0" t="n">
        <f aca="false">[2]Sheet1!M146</f>
        <v>0</v>
      </c>
      <c r="O146" s="0" t="n">
        <f aca="false">[2]Sheet1!N146</f>
        <v>0</v>
      </c>
      <c r="P146" s="226" t="n">
        <f aca="false">SUM(AY146+BA146)</f>
        <v>0</v>
      </c>
      <c r="Q146" s="201"/>
      <c r="R146" s="71"/>
      <c r="S146" s="227"/>
      <c r="T146" s="71"/>
      <c r="U146" s="201"/>
      <c r="V146" s="71"/>
      <c r="W146" s="227"/>
      <c r="X146" s="71"/>
      <c r="Y146" s="201"/>
      <c r="Z146" s="71"/>
      <c r="AA146" s="227"/>
      <c r="AB146" s="71"/>
      <c r="AC146" s="201"/>
      <c r="AD146" s="71"/>
      <c r="AE146" s="227"/>
      <c r="AF146" s="71"/>
      <c r="AG146" s="201"/>
      <c r="AH146" s="71"/>
      <c r="AI146" s="227"/>
      <c r="AJ146" s="71"/>
      <c r="AK146" s="201"/>
      <c r="AL146" s="71"/>
      <c r="AM146" s="227"/>
      <c r="AN146" s="71"/>
      <c r="AO146" s="201"/>
      <c r="AP146" s="71"/>
      <c r="AQ146" s="227"/>
      <c r="AR146" s="71"/>
      <c r="AS146" s="227"/>
      <c r="AT146" s="228"/>
      <c r="AU146" s="227"/>
      <c r="AV146" s="228"/>
      <c r="AW146" s="227"/>
      <c r="AX146" s="229" t="n">
        <f aca="false">SUM(R146+T146+V146+X146+Z146+AB146+AD146+AF146+AH146+AJ146+AL146+AN146+AP146+AR146)</f>
        <v>0</v>
      </c>
      <c r="AY146" s="230" t="n">
        <f aca="false">SUM(AX146*1000)/48</f>
        <v>0</v>
      </c>
      <c r="AZ146" s="231" t="n">
        <f aca="false">IFERROR(VLOOKUP(A146,'Site check'!$A$14:$O$47,15,0),0)</f>
        <v>0</v>
      </c>
      <c r="BA146" s="232" t="n">
        <f aca="false">SUM(AZ146*1000)/48</f>
        <v>0</v>
      </c>
      <c r="BB146" s="90" t="n">
        <f aca="false">SUM(P146/2)+E146</f>
        <v>20</v>
      </c>
      <c r="BC146" s="90" t="n">
        <f aca="false">SUM(P146/2)+F146</f>
        <v>20</v>
      </c>
    </row>
    <row r="147" customFormat="false" ht="13.15" hidden="false" customHeight="false" outlineLevel="0" collapsed="false">
      <c r="A147" s="0" t="str">
        <f aca="false">[2]Sheet1!A147</f>
        <v>CELL01 - ADVANCE DC 600  Suite 3C.</v>
      </c>
      <c r="B147" s="0" t="str">
        <f aca="false">[2]Sheet1!B147</f>
        <v>CELL01;DC SYS01</v>
      </c>
      <c r="C147" s="44" t="str">
        <f aca="false">[2]Sheet1!C147</f>
        <v>CELL01</v>
      </c>
      <c r="D147" s="44" t="s">
        <v>1481</v>
      </c>
      <c r="E147" s="0" t="n">
        <f aca="false">[2]Sheet1!D147</f>
        <v>20</v>
      </c>
      <c r="F147" s="0" t="n">
        <f aca="false">[2]Sheet1!E147</f>
        <v>20</v>
      </c>
      <c r="G147" s="45" t="str">
        <f aca="false">[2]Sheet1!F147</f>
        <v>17th December 2020</v>
      </c>
      <c r="H147" s="0" t="n">
        <f aca="false">[2]Sheet1!G147</f>
        <v>300</v>
      </c>
      <c r="I147" s="0" t="n">
        <f aca="false">[2]Sheet1!H147</f>
        <v>300</v>
      </c>
      <c r="J147" s="0" t="n">
        <f aca="false">[2]Sheet1!I147</f>
        <v>0</v>
      </c>
      <c r="K147" s="0" t="n">
        <f aca="false">[2]Sheet1!J147</f>
        <v>0</v>
      </c>
      <c r="L147" s="0" t="n">
        <f aca="false">[2]Sheet1!K147</f>
        <v>0</v>
      </c>
      <c r="M147" s="0" t="n">
        <f aca="false">[2]Sheet1!L147</f>
        <v>1</v>
      </c>
      <c r="N147" s="0" t="n">
        <f aca="false">[2]Sheet1!M147</f>
        <v>0</v>
      </c>
      <c r="O147" s="0" t="n">
        <f aca="false">[2]Sheet1!N147</f>
        <v>0</v>
      </c>
      <c r="P147" s="226" t="n">
        <f aca="false">SUM(AY147+BA147)</f>
        <v>0</v>
      </c>
      <c r="Q147" s="201"/>
      <c r="R147" s="71"/>
      <c r="S147" s="227"/>
      <c r="T147" s="71"/>
      <c r="U147" s="201"/>
      <c r="V147" s="71"/>
      <c r="W147" s="227"/>
      <c r="X147" s="71"/>
      <c r="Y147" s="201"/>
      <c r="Z147" s="71"/>
      <c r="AA147" s="227"/>
      <c r="AB147" s="71"/>
      <c r="AC147" s="201"/>
      <c r="AD147" s="71"/>
      <c r="AE147" s="227"/>
      <c r="AF147" s="71"/>
      <c r="AG147" s="201"/>
      <c r="AH147" s="71"/>
      <c r="AI147" s="227"/>
      <c r="AJ147" s="71"/>
      <c r="AK147" s="201"/>
      <c r="AL147" s="71"/>
      <c r="AM147" s="227"/>
      <c r="AN147" s="71"/>
      <c r="AO147" s="201"/>
      <c r="AP147" s="71"/>
      <c r="AQ147" s="227"/>
      <c r="AR147" s="71"/>
      <c r="AS147" s="227"/>
      <c r="AT147" s="228"/>
      <c r="AU147" s="227"/>
      <c r="AV147" s="228"/>
      <c r="AW147" s="227"/>
      <c r="AX147" s="229" t="n">
        <f aca="false">SUM(R147+T147+V147+X147+Z147+AB147+AD147+AF147+AH147+AJ147+AL147+AN147+AP147+AR147)</f>
        <v>0</v>
      </c>
      <c r="AY147" s="230" t="n">
        <f aca="false">SUM(AX147*1000)/48</f>
        <v>0</v>
      </c>
      <c r="AZ147" s="231" t="n">
        <f aca="false">IFERROR(VLOOKUP(A147,'Site check'!$A$14:$O$47,15,0),0)</f>
        <v>0</v>
      </c>
      <c r="BA147" s="232" t="n">
        <f aca="false">SUM(AZ147*1000)/48</f>
        <v>0</v>
      </c>
      <c r="BB147" s="90" t="n">
        <f aca="false">SUM(P147/2)+E147</f>
        <v>20</v>
      </c>
      <c r="BC147" s="90" t="n">
        <f aca="false">SUM(P147/2)+F147</f>
        <v>20</v>
      </c>
    </row>
    <row r="148" customFormat="false" ht="13.15" hidden="false" customHeight="false" outlineLevel="0" collapsed="false">
      <c r="A148" s="0" t="str">
        <f aca="false">[2]Sheet1!A148</f>
        <v>COV_SEC_DD770_AC01</v>
      </c>
      <c r="B148" s="20" t="s">
        <v>91</v>
      </c>
      <c r="C148" s="44" t="str">
        <f aca="false">[2]Sheet1!C148</f>
        <v>COV</v>
      </c>
      <c r="D148" s="44" t="s">
        <v>507</v>
      </c>
      <c r="E148" s="0" t="n">
        <f aca="false">[2]Sheet1!D148</f>
        <v>100</v>
      </c>
      <c r="F148" s="0" t="n">
        <f aca="false">[2]Sheet1!E148</f>
        <v>100</v>
      </c>
      <c r="G148" s="45" t="n">
        <f aca="false">[2]Sheet1!F148</f>
        <v>44998</v>
      </c>
      <c r="H148" s="0" t="n">
        <f aca="false">[2]Sheet1!G148</f>
        <v>300</v>
      </c>
      <c r="I148" s="0" t="n">
        <f aca="false">[2]Sheet1!H148</f>
        <v>300</v>
      </c>
      <c r="J148" s="0" t="n">
        <f aca="false">[2]Sheet1!I148</f>
        <v>2</v>
      </c>
      <c r="K148" s="0" t="n">
        <f aca="false">[2]Sheet1!J148</f>
        <v>9</v>
      </c>
      <c r="L148" s="0" t="n">
        <f aca="false">[2]Sheet1!K148</f>
        <v>0</v>
      </c>
      <c r="M148" s="0" t="n">
        <f aca="false">[2]Sheet1!L148</f>
        <v>6</v>
      </c>
      <c r="N148" s="0" t="n">
        <f aca="false">[2]Sheet1!M148</f>
        <v>12</v>
      </c>
      <c r="O148" s="0" t="n">
        <f aca="false">[2]Sheet1!N148</f>
        <v>0</v>
      </c>
      <c r="P148" s="226" t="n">
        <f aca="false">SUM(AY148+BA148)</f>
        <v>327.083333333333</v>
      </c>
      <c r="Q148" s="170" t="s">
        <v>1132</v>
      </c>
      <c r="R148" s="234" t="n">
        <v>4.5</v>
      </c>
      <c r="S148" s="170" t="s">
        <v>1133</v>
      </c>
      <c r="T148" s="234" t="n">
        <v>4.5</v>
      </c>
      <c r="U148" s="170" t="s">
        <v>1134</v>
      </c>
      <c r="V148" s="234" t="n">
        <v>4.5</v>
      </c>
      <c r="W148" s="179" t="s">
        <v>1137</v>
      </c>
      <c r="X148" s="180" t="n">
        <v>2.2</v>
      </c>
      <c r="Y148" s="201"/>
      <c r="Z148" s="71"/>
      <c r="AA148" s="227"/>
      <c r="AB148" s="71"/>
      <c r="AC148" s="201"/>
      <c r="AD148" s="71"/>
      <c r="AE148" s="227"/>
      <c r="AF148" s="71"/>
      <c r="AG148" s="201"/>
      <c r="AH148" s="71"/>
      <c r="AI148" s="227"/>
      <c r="AJ148" s="71"/>
      <c r="AK148" s="201"/>
      <c r="AL148" s="71"/>
      <c r="AM148" s="227"/>
      <c r="AN148" s="71"/>
      <c r="AO148" s="201"/>
      <c r="AP148" s="71"/>
      <c r="AQ148" s="227"/>
      <c r="AR148" s="71"/>
      <c r="AS148" s="227"/>
      <c r="AT148" s="228"/>
      <c r="AU148" s="227"/>
      <c r="AV148" s="228"/>
      <c r="AW148" s="227"/>
      <c r="AX148" s="229" t="n">
        <f aca="false">SUM(R148+T148+V148+X148+Z148+AB148+AD148+AF148+AH148+AJ148+AL148+AN148+AP148+AR148)</f>
        <v>15.7</v>
      </c>
      <c r="AY148" s="230" t="n">
        <f aca="false">SUM(AX148*1000)/48</f>
        <v>327.083333333333</v>
      </c>
      <c r="AZ148" s="231" t="n">
        <f aca="false">IFERROR(VLOOKUP(A148,'Site check'!$A$14:$O$47,15,0),0)</f>
        <v>0</v>
      </c>
      <c r="BA148" s="232" t="n">
        <f aca="false">SUM(AZ148*1000)/48</f>
        <v>0</v>
      </c>
      <c r="BB148" s="90" t="n">
        <f aca="false">SUM(P148/2)+E148</f>
        <v>263.541666666667</v>
      </c>
      <c r="BC148" s="90" t="n">
        <f aca="false">SUM(P148/2)+F148</f>
        <v>263.541666666667</v>
      </c>
    </row>
    <row r="149" customFormat="false" ht="13.15" hidden="false" customHeight="false" outlineLevel="0" collapsed="false">
      <c r="A149" s="0" t="str">
        <f aca="false">[2]Sheet1!A149</f>
        <v>COV_SEC_DD770_AJ01</v>
      </c>
      <c r="B149" s="20" t="s">
        <v>91</v>
      </c>
      <c r="C149" s="44" t="str">
        <f aca="false">[2]Sheet1!C149</f>
        <v>COV</v>
      </c>
      <c r="D149" s="44" t="s">
        <v>507</v>
      </c>
      <c r="E149" s="0" t="n">
        <f aca="false">[2]Sheet1!D149</f>
        <v>100</v>
      </c>
      <c r="F149" s="0" t="n">
        <f aca="false">[2]Sheet1!E149</f>
        <v>100</v>
      </c>
      <c r="G149" s="45" t="str">
        <f aca="false">[2]Sheet1!F149</f>
        <v>22nd October 2020</v>
      </c>
      <c r="H149" s="0" t="n">
        <f aca="false">[2]Sheet1!G149</f>
        <v>300</v>
      </c>
      <c r="I149" s="0" t="n">
        <f aca="false">[2]Sheet1!H149</f>
        <v>300</v>
      </c>
      <c r="J149" s="0" t="n">
        <f aca="false">[2]Sheet1!I149</f>
        <v>2</v>
      </c>
      <c r="K149" s="0" t="n">
        <f aca="false">[2]Sheet1!J149</f>
        <v>1</v>
      </c>
      <c r="L149" s="0" t="n">
        <f aca="false">[2]Sheet1!K149</f>
        <v>0</v>
      </c>
      <c r="M149" s="0" t="n">
        <f aca="false">[2]Sheet1!L149</f>
        <v>11</v>
      </c>
      <c r="N149" s="0" t="n">
        <f aca="false">[2]Sheet1!M149</f>
        <v>9</v>
      </c>
      <c r="O149" s="0" t="n">
        <f aca="false">[2]Sheet1!N149</f>
        <v>0</v>
      </c>
      <c r="P149" s="226" t="n">
        <f aca="false">SUM(AY149+BA149)</f>
        <v>62.5</v>
      </c>
      <c r="Q149" s="177" t="s">
        <v>1136</v>
      </c>
      <c r="R149" s="235" t="n">
        <v>3</v>
      </c>
      <c r="S149" s="227"/>
      <c r="T149" s="71"/>
      <c r="U149" s="201"/>
      <c r="V149" s="71"/>
      <c r="W149" s="227"/>
      <c r="X149" s="71"/>
      <c r="Y149" s="201"/>
      <c r="Z149" s="71"/>
      <c r="AA149" s="227"/>
      <c r="AB149" s="71"/>
      <c r="AC149" s="201"/>
      <c r="AD149" s="71"/>
      <c r="AE149" s="227"/>
      <c r="AF149" s="71"/>
      <c r="AG149" s="201"/>
      <c r="AH149" s="71"/>
      <c r="AI149" s="227"/>
      <c r="AJ149" s="71"/>
      <c r="AK149" s="201"/>
      <c r="AL149" s="71"/>
      <c r="AM149" s="227"/>
      <c r="AN149" s="71"/>
      <c r="AO149" s="201"/>
      <c r="AP149" s="71"/>
      <c r="AQ149" s="227"/>
      <c r="AR149" s="71"/>
      <c r="AS149" s="227"/>
      <c r="AT149" s="228"/>
      <c r="AU149" s="227"/>
      <c r="AV149" s="228"/>
      <c r="AW149" s="227"/>
      <c r="AX149" s="229" t="n">
        <f aca="false">SUM(R149+T149+V149+X149+Z149+AB149+AD149+AF149+AH149+AJ149+AL149+AN149+AP149+AR149)</f>
        <v>3</v>
      </c>
      <c r="AY149" s="230" t="n">
        <f aca="false">SUM(AX149*1000)/48</f>
        <v>62.5</v>
      </c>
      <c r="AZ149" s="231" t="n">
        <f aca="false">IFERROR(VLOOKUP(A149,'Site check'!$A$14:$O$47,15,0),0)</f>
        <v>0</v>
      </c>
      <c r="BA149" s="232" t="n">
        <f aca="false">SUM(AZ149*1000)/48</f>
        <v>0</v>
      </c>
      <c r="BB149" s="90" t="n">
        <f aca="false">SUM(P149/2)+E149</f>
        <v>131.25</v>
      </c>
      <c r="BC149" s="90" t="n">
        <f aca="false">SUM(P149/2)+F149</f>
        <v>131.25</v>
      </c>
    </row>
    <row r="150" customFormat="false" ht="13.15" hidden="false" customHeight="false" outlineLevel="0" collapsed="false">
      <c r="A150" s="0" t="str">
        <f aca="false">[2]Sheet1!A150</f>
        <v>COV_SEC_DD770_RS04</v>
      </c>
      <c r="B150" s="20" t="s">
        <v>91</v>
      </c>
      <c r="C150" s="44" t="str">
        <f aca="false">[2]Sheet1!C150</f>
        <v>COV</v>
      </c>
      <c r="D150" s="44" t="s">
        <v>507</v>
      </c>
      <c r="E150" s="0" t="n">
        <f aca="false">[2]Sheet1!D150</f>
        <v>200</v>
      </c>
      <c r="F150" s="0" t="n">
        <f aca="false">[2]Sheet1!E150</f>
        <v>200</v>
      </c>
      <c r="G150" s="45" t="str">
        <f aca="false">[2]Sheet1!F150</f>
        <v>22nd October 2020</v>
      </c>
      <c r="H150" s="0" t="n">
        <f aca="false">[2]Sheet1!G150</f>
        <v>300</v>
      </c>
      <c r="I150" s="0" t="n">
        <f aca="false">[2]Sheet1!H150</f>
        <v>300</v>
      </c>
      <c r="J150" s="0" t="n">
        <f aca="false">[2]Sheet1!I150</f>
        <v>6</v>
      </c>
      <c r="K150" s="0" t="n">
        <f aca="false">[2]Sheet1!J150</f>
        <v>4</v>
      </c>
      <c r="L150" s="0" t="n">
        <f aca="false">[2]Sheet1!K150</f>
        <v>0</v>
      </c>
      <c r="M150" s="0" t="n">
        <f aca="false">[2]Sheet1!L150</f>
        <v>20</v>
      </c>
      <c r="N150" s="0" t="n">
        <f aca="false">[2]Sheet1!M150</f>
        <v>6</v>
      </c>
      <c r="O150" s="0" t="n">
        <f aca="false">[2]Sheet1!N150</f>
        <v>0</v>
      </c>
      <c r="P150" s="226" t="n">
        <f aca="false">SUM(AY150+BA150)</f>
        <v>41.6666666666667</v>
      </c>
      <c r="Q150" s="204" t="s">
        <v>1135</v>
      </c>
      <c r="R150" s="221" t="n">
        <v>1</v>
      </c>
      <c r="S150" s="204" t="s">
        <v>1135</v>
      </c>
      <c r="T150" s="221" t="n">
        <v>1</v>
      </c>
      <c r="U150" s="201"/>
      <c r="V150" s="71"/>
      <c r="W150" s="227"/>
      <c r="X150" s="71"/>
      <c r="Y150" s="201"/>
      <c r="Z150" s="71"/>
      <c r="AA150" s="227"/>
      <c r="AB150" s="71"/>
      <c r="AC150" s="201"/>
      <c r="AD150" s="71"/>
      <c r="AE150" s="227"/>
      <c r="AF150" s="71"/>
      <c r="AG150" s="201"/>
      <c r="AH150" s="71"/>
      <c r="AI150" s="227"/>
      <c r="AJ150" s="71"/>
      <c r="AK150" s="201"/>
      <c r="AL150" s="71"/>
      <c r="AM150" s="227"/>
      <c r="AN150" s="71"/>
      <c r="AO150" s="201"/>
      <c r="AP150" s="71"/>
      <c r="AQ150" s="227"/>
      <c r="AR150" s="71"/>
      <c r="AS150" s="227"/>
      <c r="AT150" s="228"/>
      <c r="AU150" s="227"/>
      <c r="AV150" s="228"/>
      <c r="AW150" s="227"/>
      <c r="AX150" s="229" t="n">
        <f aca="false">SUM(R150+T150+V150+X150+Z150+AB150+AD150+AF150+AH150+AJ150+AL150+AN150+AP150+AR150)</f>
        <v>2</v>
      </c>
      <c r="AY150" s="230" t="n">
        <f aca="false">SUM(AX150*1000)/48</f>
        <v>41.6666666666667</v>
      </c>
      <c r="AZ150" s="231" t="n">
        <f aca="false">IFERROR(VLOOKUP(A150,'Site check'!$A$14:$O$47,15,0),0)</f>
        <v>0</v>
      </c>
      <c r="BA150" s="232" t="n">
        <f aca="false">SUM(AZ150*1000)/48</f>
        <v>0</v>
      </c>
      <c r="BB150" s="90" t="n">
        <f aca="false">SUM(P150/2)+E150</f>
        <v>220.833333333333</v>
      </c>
      <c r="BC150" s="90" t="n">
        <f aca="false">SUM(P150/2)+F150</f>
        <v>220.833333333333</v>
      </c>
    </row>
    <row r="151" customFormat="false" ht="13.15" hidden="false" customHeight="false" outlineLevel="0" collapsed="false">
      <c r="A151" s="0" t="str">
        <f aca="false">[2]Sheet1!A151</f>
        <v>DBY_SEC_DD770_PQ1</v>
      </c>
      <c r="B151" s="0" t="str">
        <f aca="false">[2]Sheet1!B151</f>
        <v>DBY;DC SYS01</v>
      </c>
      <c r="C151" s="44" t="str">
        <f aca="false">[2]Sheet1!C151</f>
        <v>DBY</v>
      </c>
      <c r="D151" s="44" t="s">
        <v>526</v>
      </c>
      <c r="E151" s="0" t="n">
        <f aca="false">[2]Sheet1!D151</f>
        <v>100</v>
      </c>
      <c r="F151" s="0" t="n">
        <f aca="false">[2]Sheet1!E151</f>
        <v>100</v>
      </c>
      <c r="G151" s="45" t="n">
        <f aca="false">[2]Sheet1!F151</f>
        <v>45105</v>
      </c>
      <c r="H151" s="0" t="n">
        <f aca="false">[2]Sheet1!G151</f>
        <v>300</v>
      </c>
      <c r="I151" s="0" t="n">
        <f aca="false">[2]Sheet1!H151</f>
        <v>300</v>
      </c>
      <c r="J151" s="0" t="n">
        <f aca="false">[2]Sheet1!I151</f>
        <v>5</v>
      </c>
      <c r="K151" s="0" t="n">
        <f aca="false">[2]Sheet1!J151</f>
        <v>3</v>
      </c>
      <c r="L151" s="0" t="n">
        <f aca="false">[2]Sheet1!K151</f>
        <v>0</v>
      </c>
      <c r="M151" s="0" t="n">
        <f aca="false">[2]Sheet1!L151</f>
        <v>11</v>
      </c>
      <c r="N151" s="0" t="n">
        <f aca="false">[2]Sheet1!M151</f>
        <v>6</v>
      </c>
      <c r="O151" s="0" t="n">
        <f aca="false">[2]Sheet1!N151</f>
        <v>0</v>
      </c>
      <c r="P151" s="226" t="n">
        <f aca="false">SUM(AY151+BA151)</f>
        <v>20.8333333333333</v>
      </c>
      <c r="Q151" s="170" t="s">
        <v>1145</v>
      </c>
      <c r="R151" s="234" t="n">
        <v>1</v>
      </c>
      <c r="S151" s="227"/>
      <c r="T151" s="71"/>
      <c r="U151" s="201"/>
      <c r="V151" s="71"/>
      <c r="W151" s="227"/>
      <c r="X151" s="71"/>
      <c r="Y151" s="201"/>
      <c r="Z151" s="71"/>
      <c r="AA151" s="227"/>
      <c r="AB151" s="71"/>
      <c r="AC151" s="201"/>
      <c r="AD151" s="71"/>
      <c r="AE151" s="227"/>
      <c r="AF151" s="71"/>
      <c r="AG151" s="201"/>
      <c r="AH151" s="71"/>
      <c r="AI151" s="227"/>
      <c r="AJ151" s="71"/>
      <c r="AK151" s="201"/>
      <c r="AL151" s="71"/>
      <c r="AM151" s="227"/>
      <c r="AN151" s="71"/>
      <c r="AO151" s="201"/>
      <c r="AP151" s="71"/>
      <c r="AQ151" s="227"/>
      <c r="AR151" s="71"/>
      <c r="AS151" s="227"/>
      <c r="AT151" s="228"/>
      <c r="AU151" s="227"/>
      <c r="AV151" s="228"/>
      <c r="AW151" s="227"/>
      <c r="AX151" s="229" t="n">
        <f aca="false">SUM(R151+T151+V151+X151+Z151+AB151+AD151+AF151+AH151+AJ151+AL151+AN151+AP151+AR151)</f>
        <v>1</v>
      </c>
      <c r="AY151" s="230" t="n">
        <f aca="false">SUM(AX151*1000)/48</f>
        <v>20.8333333333333</v>
      </c>
      <c r="AZ151" s="231" t="n">
        <f aca="false">IFERROR(VLOOKUP(A151,'Site check'!$A$14:$O$47,15,0),0)</f>
        <v>0</v>
      </c>
      <c r="BA151" s="232" t="n">
        <f aca="false">SUM(AZ151*1000)/48</f>
        <v>0</v>
      </c>
      <c r="BB151" s="90" t="n">
        <f aca="false">SUM(P151/2)+E151</f>
        <v>110.416666666667</v>
      </c>
      <c r="BC151" s="90" t="n">
        <f aca="false">SUM(P151/2)+F151</f>
        <v>110.416666666667</v>
      </c>
    </row>
    <row r="152" customFormat="false" ht="13.15" hidden="false" customHeight="false" outlineLevel="0" collapsed="false">
      <c r="A152" s="0" t="str">
        <f aca="false">[2]Sheet1!A152</f>
        <v>EVMN01_DCDIST_GH04</v>
      </c>
      <c r="B152" s="0" t="str">
        <f aca="false">[2]Sheet1!B152</f>
        <v>EVMN01;DC SYS01</v>
      </c>
      <c r="C152" s="44" t="str">
        <f aca="false">[2]Sheet1!C152</f>
        <v>EVMN01</v>
      </c>
      <c r="D152" s="44" t="s">
        <v>576</v>
      </c>
      <c r="E152" s="0" t="n">
        <f aca="false">[2]Sheet1!D152</f>
        <v>0</v>
      </c>
      <c r="F152" s="0" t="n">
        <f aca="false">[2]Sheet1!E152</f>
        <v>0</v>
      </c>
      <c r="G152" s="45" t="str">
        <f aca="false">[2]Sheet1!F152</f>
        <v>5th November 2020</v>
      </c>
      <c r="H152" s="0" t="n">
        <f aca="false">[2]Sheet1!G152</f>
        <v>300</v>
      </c>
      <c r="I152" s="0" t="n">
        <f aca="false">[2]Sheet1!H152</f>
        <v>300</v>
      </c>
      <c r="J152" s="0" t="n">
        <f aca="false">[2]Sheet1!I152</f>
        <v>10</v>
      </c>
      <c r="K152" s="0" t="n">
        <f aca="false">[2]Sheet1!J152</f>
        <v>10</v>
      </c>
      <c r="L152" s="0" t="n">
        <f aca="false">[2]Sheet1!K152</f>
        <v>6</v>
      </c>
      <c r="M152" s="0" t="n">
        <f aca="false">[2]Sheet1!L152</f>
        <v>0</v>
      </c>
      <c r="N152" s="0" t="n">
        <f aca="false">[2]Sheet1!M152</f>
        <v>0</v>
      </c>
      <c r="O152" s="0" t="n">
        <f aca="false">[2]Sheet1!N152</f>
        <v>15</v>
      </c>
      <c r="P152" s="226" t="n">
        <f aca="false">SUM(AY152+BA152)</f>
        <v>20.8333333333333</v>
      </c>
      <c r="Q152" s="204" t="s">
        <v>1482</v>
      </c>
      <c r="R152" s="221" t="n">
        <v>1</v>
      </c>
      <c r="S152" s="227"/>
      <c r="T152" s="71"/>
      <c r="U152" s="201"/>
      <c r="V152" s="71"/>
      <c r="W152" s="227"/>
      <c r="X152" s="71"/>
      <c r="Y152" s="201"/>
      <c r="Z152" s="71"/>
      <c r="AA152" s="227"/>
      <c r="AB152" s="71"/>
      <c r="AC152" s="201"/>
      <c r="AD152" s="71"/>
      <c r="AE152" s="227"/>
      <c r="AF152" s="71"/>
      <c r="AG152" s="201"/>
      <c r="AH152" s="71"/>
      <c r="AI152" s="227"/>
      <c r="AJ152" s="71"/>
      <c r="AK152" s="201"/>
      <c r="AL152" s="71"/>
      <c r="AM152" s="227"/>
      <c r="AN152" s="71"/>
      <c r="AO152" s="201"/>
      <c r="AP152" s="71"/>
      <c r="AQ152" s="227"/>
      <c r="AR152" s="71"/>
      <c r="AS152" s="227"/>
      <c r="AT152" s="228"/>
      <c r="AU152" s="227"/>
      <c r="AV152" s="228"/>
      <c r="AW152" s="227"/>
      <c r="AX152" s="229" t="n">
        <f aca="false">SUM(R152+T152+V152+X152+Z152+AB152+AD152+AF152+AH152+AJ152+AL152+AN152+AP152+AR152)</f>
        <v>1</v>
      </c>
      <c r="AY152" s="230" t="n">
        <f aca="false">SUM(AX152*1000)/48</f>
        <v>20.8333333333333</v>
      </c>
      <c r="AZ152" s="231" t="n">
        <f aca="false">IFERROR(VLOOKUP(A152,'Site check'!$A$14:$O$47,15,0),0)</f>
        <v>0</v>
      </c>
      <c r="BA152" s="232" t="n">
        <f aca="false">SUM(AZ152*1000)/48</f>
        <v>0</v>
      </c>
      <c r="BB152" s="90" t="n">
        <f aca="false">SUM(P152/2)+E152</f>
        <v>10.4166666666667</v>
      </c>
      <c r="BC152" s="90" t="n">
        <f aca="false">SUM(P152/2)+F152</f>
        <v>10.4166666666667</v>
      </c>
    </row>
    <row r="153" customFormat="false" ht="13.15" hidden="false" customHeight="false" outlineLevel="0" collapsed="false">
      <c r="A153" s="0" t="str">
        <f aca="false">[2]Sheet1!A153</f>
        <v>EVMN01_SEC_DCDIST_GH02</v>
      </c>
      <c r="B153" s="0" t="str">
        <f aca="false">[2]Sheet1!B153</f>
        <v>EVMN01;DC SYS01</v>
      </c>
      <c r="C153" s="44" t="str">
        <f aca="false">[2]Sheet1!C153</f>
        <v>EVMN01</v>
      </c>
      <c r="D153" s="44" t="s">
        <v>576</v>
      </c>
      <c r="E153" s="0" t="n">
        <f aca="false">[2]Sheet1!D153</f>
        <v>15</v>
      </c>
      <c r="F153" s="0" t="n">
        <f aca="false">[2]Sheet1!E153</f>
        <v>15</v>
      </c>
      <c r="G153" s="45" t="n">
        <f aca="false">[2]Sheet1!F153</f>
        <v>42720</v>
      </c>
      <c r="H153" s="0" t="n">
        <f aca="false">[2]Sheet1!G153</f>
        <v>300</v>
      </c>
      <c r="I153" s="0" t="n">
        <f aca="false">[2]Sheet1!H153</f>
        <v>300</v>
      </c>
      <c r="J153" s="0" t="n">
        <f aca="false">[2]Sheet1!I153</f>
        <v>0</v>
      </c>
      <c r="K153" s="0" t="n">
        <f aca="false">[2]Sheet1!J153</f>
        <v>0</v>
      </c>
      <c r="L153" s="0" t="n">
        <f aca="false">[2]Sheet1!K153</f>
        <v>0</v>
      </c>
      <c r="M153" s="0" t="n">
        <f aca="false">[2]Sheet1!L153</f>
        <v>0</v>
      </c>
      <c r="N153" s="0" t="n">
        <f aca="false">[2]Sheet1!M153</f>
        <v>0</v>
      </c>
      <c r="O153" s="0" t="n">
        <f aca="false">[2]Sheet1!N153</f>
        <v>61</v>
      </c>
      <c r="P153" s="226" t="n">
        <f aca="false">SUM(AY153+BA153)</f>
        <v>0</v>
      </c>
      <c r="Q153" s="201"/>
      <c r="R153" s="71"/>
      <c r="S153" s="227"/>
      <c r="T153" s="71"/>
      <c r="U153" s="201"/>
      <c r="V153" s="71"/>
      <c r="W153" s="227"/>
      <c r="X153" s="71"/>
      <c r="Y153" s="201"/>
      <c r="Z153" s="71"/>
      <c r="AA153" s="227"/>
      <c r="AB153" s="71"/>
      <c r="AC153" s="201"/>
      <c r="AD153" s="71"/>
      <c r="AE153" s="227"/>
      <c r="AF153" s="71"/>
      <c r="AG153" s="201"/>
      <c r="AH153" s="71"/>
      <c r="AI153" s="227"/>
      <c r="AJ153" s="71"/>
      <c r="AK153" s="201"/>
      <c r="AL153" s="71"/>
      <c r="AM153" s="227"/>
      <c r="AN153" s="71"/>
      <c r="AO153" s="201"/>
      <c r="AP153" s="71"/>
      <c r="AQ153" s="227"/>
      <c r="AR153" s="71"/>
      <c r="AS153" s="227"/>
      <c r="AT153" s="228"/>
      <c r="AU153" s="227"/>
      <c r="AV153" s="228"/>
      <c r="AW153" s="227"/>
      <c r="AX153" s="229" t="n">
        <f aca="false">SUM(R153+T153+V153+X153+Z153+AB153+AD153+AF153+AH153+AJ153+AL153+AN153+AP153+AR153)</f>
        <v>0</v>
      </c>
      <c r="AY153" s="230" t="n">
        <f aca="false">SUM(AX153*1000)/48</f>
        <v>0</v>
      </c>
      <c r="AZ153" s="231" t="n">
        <f aca="false">IFERROR(VLOOKUP(A153,'Site check'!$A$14:$O$47,15,0),0)</f>
        <v>0</v>
      </c>
      <c r="BA153" s="232" t="n">
        <f aca="false">SUM(AZ153*1000)/48</f>
        <v>0</v>
      </c>
      <c r="BB153" s="90" t="n">
        <f aca="false">SUM(P153/2)+E153</f>
        <v>15</v>
      </c>
      <c r="BC153" s="90" t="n">
        <f aca="false">SUM(P153/2)+F153</f>
        <v>15</v>
      </c>
    </row>
    <row r="154" customFormat="false" ht="13.15" hidden="false" customHeight="false" outlineLevel="0" collapsed="false">
      <c r="A154" s="0" t="str">
        <f aca="false">[2]Sheet1!A154</f>
        <v>LMSCN2 - DCDB - Suite D and E - Wall Mounted.</v>
      </c>
      <c r="B154" s="0" t="str">
        <f aca="false">[2]Sheet1!B154</f>
        <v>LMSCN2;DC SYS01</v>
      </c>
      <c r="C154" s="44" t="str">
        <f aca="false">[2]Sheet1!C154</f>
        <v>LMSCN2</v>
      </c>
      <c r="D154" s="44" t="s">
        <v>653</v>
      </c>
      <c r="E154" s="0" t="n">
        <f aca="false">[2]Sheet1!D154</f>
        <v>5</v>
      </c>
      <c r="F154" s="0" t="str">
        <f aca="false">[2]Sheet1!E154</f>
        <v>NONE</v>
      </c>
      <c r="G154" s="45" t="n">
        <f aca="false">[2]Sheet1!F154</f>
        <v>44119</v>
      </c>
      <c r="H154" s="0" t="n">
        <f aca="false">[2]Sheet1!G154</f>
        <v>32</v>
      </c>
      <c r="I154" s="0" t="n">
        <f aca="false">[2]Sheet1!H154</f>
        <v>0</v>
      </c>
      <c r="J154" s="0" t="n">
        <f aca="false">[2]Sheet1!I154</f>
        <v>0</v>
      </c>
      <c r="K154" s="0" t="n">
        <f aca="false">[2]Sheet1!J154</f>
        <v>0</v>
      </c>
      <c r="L154" s="0" t="n">
        <f aca="false">[2]Sheet1!K154</f>
        <v>0</v>
      </c>
      <c r="M154" s="0" t="n">
        <f aca="false">[2]Sheet1!L154</f>
        <v>0</v>
      </c>
      <c r="N154" s="0" t="n">
        <f aca="false">[2]Sheet1!M154</f>
        <v>2</v>
      </c>
      <c r="O154" s="0" t="n">
        <f aca="false">[2]Sheet1!N154</f>
        <v>0</v>
      </c>
      <c r="P154" s="226" t="n">
        <f aca="false">SUM(AY154+BA154)</f>
        <v>0</v>
      </c>
      <c r="Q154" s="201"/>
      <c r="R154" s="71"/>
      <c r="S154" s="227"/>
      <c r="T154" s="71"/>
      <c r="U154" s="201"/>
      <c r="V154" s="71"/>
      <c r="W154" s="227"/>
      <c r="X154" s="71"/>
      <c r="Y154" s="201"/>
      <c r="Z154" s="71"/>
      <c r="AA154" s="227"/>
      <c r="AB154" s="71"/>
      <c r="AC154" s="201"/>
      <c r="AD154" s="71"/>
      <c r="AE154" s="227"/>
      <c r="AF154" s="71"/>
      <c r="AG154" s="201"/>
      <c r="AH154" s="71"/>
      <c r="AI154" s="227"/>
      <c r="AJ154" s="71"/>
      <c r="AK154" s="201"/>
      <c r="AL154" s="71"/>
      <c r="AM154" s="227"/>
      <c r="AN154" s="71"/>
      <c r="AO154" s="201"/>
      <c r="AP154" s="71"/>
      <c r="AQ154" s="227"/>
      <c r="AR154" s="71"/>
      <c r="AS154" s="227"/>
      <c r="AT154" s="228"/>
      <c r="AU154" s="227"/>
      <c r="AV154" s="228"/>
      <c r="AW154" s="227"/>
      <c r="AX154" s="229" t="n">
        <f aca="false">SUM(R154+T154+V154+X154+Z154+AB154+AD154+AF154+AH154+AJ154+AL154+AN154+AP154+AR154)</f>
        <v>0</v>
      </c>
      <c r="AY154" s="230" t="n">
        <f aca="false">SUM(AX154*1000)/48</f>
        <v>0</v>
      </c>
      <c r="AZ154" s="231" t="n">
        <f aca="false">IFERROR(VLOOKUP(A154,'Site check'!$A$14:$O$47,15,0),0)</f>
        <v>0</v>
      </c>
      <c r="BA154" s="232" t="n">
        <f aca="false">SUM(AZ154*1000)/48</f>
        <v>0</v>
      </c>
      <c r="BB154" s="90" t="n">
        <f aca="false">SUM(P154/2)+E154</f>
        <v>5</v>
      </c>
      <c r="BC154" s="90" t="e">
        <f aca="false">SUM(P154/2)+F154</f>
        <v>#VALUE!</v>
      </c>
    </row>
    <row r="155" customFormat="false" ht="13.15" hidden="false" customHeight="false" outlineLevel="0" collapsed="false">
      <c r="A155" s="0" t="str">
        <f aca="false">[2]Sheet1!A155</f>
        <v>LMSCN2 - DCDB - Suite G - Wall Mounted.</v>
      </c>
      <c r="B155" s="0" t="str">
        <f aca="false">[2]Sheet1!B155</f>
        <v>LMSCN2;DC SYS01</v>
      </c>
      <c r="C155" s="44" t="str">
        <f aca="false">[2]Sheet1!C155</f>
        <v>LMSCN2</v>
      </c>
      <c r="D155" s="44" t="s">
        <v>653</v>
      </c>
      <c r="E155" s="0" t="str">
        <f aca="false">[2]Sheet1!D155</f>
        <v>NO METER ON PANEL</v>
      </c>
      <c r="F155" s="0" t="str">
        <f aca="false">[2]Sheet1!E155</f>
        <v>NO METER ON PANEL</v>
      </c>
      <c r="G155" s="45" t="n">
        <f aca="false">[2]Sheet1!F155</f>
        <v>44119</v>
      </c>
      <c r="H155" s="0" t="n">
        <f aca="false">[2]Sheet1!G155</f>
        <v>63</v>
      </c>
      <c r="I155" s="0" t="n">
        <f aca="false">[2]Sheet1!H155</f>
        <v>63</v>
      </c>
      <c r="J155" s="0" t="n">
        <f aca="false">[2]Sheet1!I155</f>
        <v>0</v>
      </c>
      <c r="K155" s="0" t="n">
        <f aca="false">[2]Sheet1!J155</f>
        <v>0</v>
      </c>
      <c r="L155" s="0" t="n">
        <f aca="false">[2]Sheet1!K155</f>
        <v>0</v>
      </c>
      <c r="M155" s="0" t="n">
        <f aca="false">[2]Sheet1!L155</f>
        <v>0</v>
      </c>
      <c r="N155" s="0" t="n">
        <f aca="false">[2]Sheet1!M155</f>
        <v>0</v>
      </c>
      <c r="O155" s="0" t="n">
        <f aca="false">[2]Sheet1!N155</f>
        <v>0</v>
      </c>
      <c r="P155" s="226" t="n">
        <f aca="false">SUM(AY155+BA155)</f>
        <v>0</v>
      </c>
      <c r="Q155" s="201"/>
      <c r="R155" s="71"/>
      <c r="S155" s="227"/>
      <c r="T155" s="71"/>
      <c r="U155" s="201"/>
      <c r="V155" s="71"/>
      <c r="W155" s="227"/>
      <c r="X155" s="71"/>
      <c r="Y155" s="201"/>
      <c r="Z155" s="71"/>
      <c r="AA155" s="227"/>
      <c r="AB155" s="71"/>
      <c r="AC155" s="201"/>
      <c r="AD155" s="71"/>
      <c r="AE155" s="227"/>
      <c r="AF155" s="71"/>
      <c r="AG155" s="201"/>
      <c r="AH155" s="71"/>
      <c r="AI155" s="227"/>
      <c r="AJ155" s="71"/>
      <c r="AK155" s="201"/>
      <c r="AL155" s="71"/>
      <c r="AM155" s="227"/>
      <c r="AN155" s="71"/>
      <c r="AO155" s="201"/>
      <c r="AP155" s="71"/>
      <c r="AQ155" s="227"/>
      <c r="AR155" s="71"/>
      <c r="AS155" s="227"/>
      <c r="AT155" s="228"/>
      <c r="AU155" s="227"/>
      <c r="AV155" s="228"/>
      <c r="AW155" s="227"/>
      <c r="AX155" s="229" t="n">
        <f aca="false">SUM(R155+T155+V155+X155+Z155+AB155+AD155+AF155+AH155+AJ155+AL155+AN155+AP155+AR155)</f>
        <v>0</v>
      </c>
      <c r="AY155" s="230" t="n">
        <f aca="false">SUM(AX155*1000)/48</f>
        <v>0</v>
      </c>
      <c r="AZ155" s="231" t="n">
        <f aca="false">IFERROR(VLOOKUP(A155,'Site check'!$A$14:$O$47,15,0),0)</f>
        <v>0</v>
      </c>
      <c r="BA155" s="232" t="n">
        <f aca="false">SUM(AZ155*1000)/48</f>
        <v>0</v>
      </c>
      <c r="BB155" s="90" t="e">
        <f aca="false">SUM(P155/2)+E155</f>
        <v>#VALUE!</v>
      </c>
      <c r="BC155" s="90" t="e">
        <f aca="false">SUM(P155/2)+F155</f>
        <v>#VALUE!</v>
      </c>
    </row>
    <row r="156" customFormat="false" ht="13.15" hidden="false" customHeight="false" outlineLevel="0" collapsed="false">
      <c r="A156" s="0" t="str">
        <f aca="false">[2]Sheet1!A156</f>
        <v>LCT_PDU1A_B</v>
      </c>
      <c r="B156" s="0" t="str">
        <f aca="false">[2]Sheet1!B156</f>
        <v>LCT;DC SYS01</v>
      </c>
      <c r="C156" s="44" t="str">
        <f aca="false">[2]Sheet1!C156</f>
        <v>LCT</v>
      </c>
      <c r="D156" s="44" t="s">
        <v>637</v>
      </c>
      <c r="E156" s="0" t="n">
        <f aca="false">[2]Sheet1!D156</f>
        <v>37.51</v>
      </c>
      <c r="F156" s="0" t="n">
        <f aca="false">[2]Sheet1!E156</f>
        <v>34.53</v>
      </c>
      <c r="G156" s="45" t="n">
        <f aca="false">[2]Sheet1!F156</f>
        <v>45631</v>
      </c>
      <c r="H156" s="0" t="n">
        <f aca="false">[2]Sheet1!G156</f>
        <v>360</v>
      </c>
      <c r="I156" s="0" t="n">
        <f aca="false">[2]Sheet1!H156</f>
        <v>360</v>
      </c>
      <c r="J156" s="0" t="n">
        <f aca="false">[2]Sheet1!I156</f>
        <v>0</v>
      </c>
      <c r="K156" s="0" t="n">
        <f aca="false">[2]Sheet1!J156</f>
        <v>0</v>
      </c>
      <c r="L156" s="0" t="n">
        <f aca="false">[2]Sheet1!K156</f>
        <v>0</v>
      </c>
      <c r="M156" s="0" t="n">
        <f aca="false">[2]Sheet1!L156</f>
        <v>0</v>
      </c>
      <c r="N156" s="0" t="n">
        <f aca="false">[2]Sheet1!M156</f>
        <v>0</v>
      </c>
      <c r="O156" s="0" t="n">
        <f aca="false">[2]Sheet1!N156</f>
        <v>0</v>
      </c>
      <c r="P156" s="226" t="n">
        <f aca="false">SUM(AY156+BA156)</f>
        <v>325</v>
      </c>
      <c r="Q156" s="170" t="s">
        <v>1158</v>
      </c>
      <c r="R156" s="171" t="n">
        <v>1</v>
      </c>
      <c r="S156" s="170" t="s">
        <v>1239</v>
      </c>
      <c r="T156" s="234" t="n">
        <v>4.9</v>
      </c>
      <c r="U156" s="204" t="s">
        <v>1483</v>
      </c>
      <c r="V156" s="221" t="n">
        <v>5.5</v>
      </c>
      <c r="W156" s="179" t="s">
        <v>1244</v>
      </c>
      <c r="X156" s="180" t="n">
        <v>4.2</v>
      </c>
      <c r="Y156" s="201"/>
      <c r="Z156" s="71"/>
      <c r="AA156" s="227"/>
      <c r="AB156" s="71"/>
      <c r="AC156" s="201"/>
      <c r="AD156" s="71"/>
      <c r="AE156" s="227"/>
      <c r="AF156" s="71"/>
      <c r="AG156" s="201"/>
      <c r="AH156" s="71"/>
      <c r="AI156" s="227"/>
      <c r="AJ156" s="71"/>
      <c r="AK156" s="201"/>
      <c r="AL156" s="71"/>
      <c r="AM156" s="227"/>
      <c r="AN156" s="71"/>
      <c r="AO156" s="201"/>
      <c r="AP156" s="71"/>
      <c r="AQ156" s="227"/>
      <c r="AR156" s="71"/>
      <c r="AS156" s="227"/>
      <c r="AT156" s="228"/>
      <c r="AU156" s="227"/>
      <c r="AV156" s="228"/>
      <c r="AW156" s="227"/>
      <c r="AX156" s="229" t="n">
        <f aca="false">SUM(R156+T156+V156+X156+Z156+AB156+AD156+AF156+AH156+AJ156+AL156+AN156+AP156+AR156)</f>
        <v>15.6</v>
      </c>
      <c r="AY156" s="230" t="n">
        <f aca="false">SUM(AX156*1000)/48</f>
        <v>325</v>
      </c>
      <c r="AZ156" s="231" t="n">
        <f aca="false">IFERROR(VLOOKUP(A156,'Site check'!$A$14:$O$47,15,0),0)</f>
        <v>0</v>
      </c>
      <c r="BA156" s="232" t="n">
        <f aca="false">SUM(AZ156*1000)/48</f>
        <v>0</v>
      </c>
      <c r="BB156" s="90" t="n">
        <f aca="false">SUM(P156/2)+E156</f>
        <v>200.01</v>
      </c>
      <c r="BC156" s="90" t="n">
        <f aca="false">SUM(P156/2)+F156</f>
        <v>197.03</v>
      </c>
    </row>
    <row r="157" customFormat="false" ht="13.15" hidden="false" customHeight="false" outlineLevel="0" collapsed="false">
      <c r="A157" s="0" t="str">
        <f aca="false">[2]Sheet1!A157</f>
        <v>LCT_SEC_CBDB#02_NN01</v>
      </c>
      <c r="B157" s="0" t="str">
        <f aca="false">[2]Sheet1!B157</f>
        <v>LCT;DC SYS01</v>
      </c>
      <c r="C157" s="44" t="str">
        <f aca="false">[2]Sheet1!C157</f>
        <v>LCT</v>
      </c>
      <c r="D157" s="44" t="s">
        <v>637</v>
      </c>
      <c r="E157" s="0" t="n">
        <f aca="false">[2]Sheet1!D157</f>
        <v>100</v>
      </c>
      <c r="F157" s="0" t="n">
        <f aca="false">[2]Sheet1!E157</f>
        <v>100</v>
      </c>
      <c r="G157" s="45" t="n">
        <f aca="false">[2]Sheet1!F157</f>
        <v>45014</v>
      </c>
      <c r="H157" s="0" t="n">
        <f aca="false">[2]Sheet1!G157</f>
        <v>300</v>
      </c>
      <c r="I157" s="0" t="n">
        <f aca="false">[2]Sheet1!H157</f>
        <v>300</v>
      </c>
      <c r="J157" s="0" t="n">
        <f aca="false">[2]Sheet1!I157</f>
        <v>3</v>
      </c>
      <c r="K157" s="0" t="n">
        <f aca="false">[2]Sheet1!J157</f>
        <v>0</v>
      </c>
      <c r="L157" s="0" t="n">
        <f aca="false">[2]Sheet1!K157</f>
        <v>0</v>
      </c>
      <c r="M157" s="0" t="n">
        <f aca="false">[2]Sheet1!L157</f>
        <v>0</v>
      </c>
      <c r="N157" s="0" t="n">
        <f aca="false">[2]Sheet1!M157</f>
        <v>0</v>
      </c>
      <c r="O157" s="0" t="n">
        <f aca="false">[2]Sheet1!N157</f>
        <v>41</v>
      </c>
      <c r="P157" s="226" t="n">
        <f aca="false">SUM(AY157+BA157)</f>
        <v>62.5</v>
      </c>
      <c r="Q157" s="177" t="s">
        <v>1241</v>
      </c>
      <c r="R157" s="235" t="n">
        <v>3</v>
      </c>
      <c r="S157" s="227"/>
      <c r="T157" s="71"/>
      <c r="U157" s="201"/>
      <c r="V157" s="71"/>
      <c r="W157" s="227"/>
      <c r="X157" s="71"/>
      <c r="Y157" s="201"/>
      <c r="Z157" s="71"/>
      <c r="AA157" s="227"/>
      <c r="AB157" s="71"/>
      <c r="AC157" s="201"/>
      <c r="AD157" s="71"/>
      <c r="AE157" s="227"/>
      <c r="AF157" s="71"/>
      <c r="AG157" s="201"/>
      <c r="AH157" s="71"/>
      <c r="AI157" s="227"/>
      <c r="AJ157" s="71"/>
      <c r="AK157" s="201"/>
      <c r="AL157" s="71"/>
      <c r="AM157" s="227"/>
      <c r="AN157" s="71"/>
      <c r="AO157" s="201"/>
      <c r="AP157" s="71"/>
      <c r="AQ157" s="227"/>
      <c r="AR157" s="71"/>
      <c r="AS157" s="227"/>
      <c r="AT157" s="228"/>
      <c r="AU157" s="227"/>
      <c r="AV157" s="228"/>
      <c r="AW157" s="227"/>
      <c r="AX157" s="229" t="n">
        <f aca="false">SUM(R157+T157+V157+X157+Z157+AB157+AD157+AF157+AH157+AJ157+AL157+AN157+AP157+AR157)</f>
        <v>3</v>
      </c>
      <c r="AY157" s="230" t="n">
        <f aca="false">SUM(AX157*1000)/48</f>
        <v>62.5</v>
      </c>
      <c r="AZ157" s="231" t="n">
        <f aca="false">IFERROR(VLOOKUP(A157,'Site check'!$A$14:$O$47,15,0),0)</f>
        <v>0</v>
      </c>
      <c r="BA157" s="232" t="n">
        <f aca="false">SUM(AZ157*1000)/48</f>
        <v>0</v>
      </c>
      <c r="BB157" s="90" t="n">
        <f aca="false">SUM(P157/2)+E157</f>
        <v>131.25</v>
      </c>
      <c r="BC157" s="90" t="n">
        <f aca="false">SUM(P157/2)+F157</f>
        <v>131.25</v>
      </c>
    </row>
    <row r="158" customFormat="false" ht="13.15" hidden="false" customHeight="false" outlineLevel="0" collapsed="false">
      <c r="A158" s="0" t="str">
        <f aca="false">[2]Sheet1!A158</f>
        <v>LCT_SEC_DD770_Q5</v>
      </c>
      <c r="B158" s="0" t="str">
        <f aca="false">[2]Sheet1!B158</f>
        <v>LCT;DC SYS01</v>
      </c>
      <c r="C158" s="44" t="str">
        <f aca="false">[2]Sheet1!C158</f>
        <v>LCT</v>
      </c>
      <c r="D158" s="44" t="s">
        <v>637</v>
      </c>
      <c r="E158" s="0" t="n">
        <f aca="false">[2]Sheet1!D158</f>
        <v>265</v>
      </c>
      <c r="F158" s="0" t="n">
        <f aca="false">[2]Sheet1!E158</f>
        <v>245</v>
      </c>
      <c r="G158" s="45" t="n">
        <f aca="false">[2]Sheet1!F158</f>
        <v>45014</v>
      </c>
      <c r="H158" s="0" t="n">
        <f aca="false">[2]Sheet1!G158</f>
        <v>300</v>
      </c>
      <c r="I158" s="0" t="n">
        <f aca="false">[2]Sheet1!H158</f>
        <v>300</v>
      </c>
      <c r="J158" s="0" t="n">
        <f aca="false">[2]Sheet1!I158</f>
        <v>1</v>
      </c>
      <c r="K158" s="0" t="n">
        <f aca="false">[2]Sheet1!J158</f>
        <v>3</v>
      </c>
      <c r="L158" s="0" t="n">
        <f aca="false">[2]Sheet1!K158</f>
        <v>0</v>
      </c>
      <c r="M158" s="0" t="n">
        <f aca="false">[2]Sheet1!L158</f>
        <v>1</v>
      </c>
      <c r="N158" s="0" t="n">
        <f aca="false">[2]Sheet1!M158</f>
        <v>7</v>
      </c>
      <c r="O158" s="0" t="n">
        <f aca="false">[2]Sheet1!N158</f>
        <v>0</v>
      </c>
      <c r="P158" s="226" t="n">
        <f aca="false">SUM(AY158+BA158)</f>
        <v>20.8333333333333</v>
      </c>
      <c r="Q158" s="204" t="s">
        <v>1240</v>
      </c>
      <c r="R158" s="221" t="n">
        <v>1</v>
      </c>
      <c r="S158" s="227"/>
      <c r="T158" s="71"/>
      <c r="U158" s="201"/>
      <c r="V158" s="71"/>
      <c r="W158" s="227"/>
      <c r="X158" s="71"/>
      <c r="Y158" s="201"/>
      <c r="Z158" s="71"/>
      <c r="AA158" s="227"/>
      <c r="AB158" s="71"/>
      <c r="AC158" s="201"/>
      <c r="AD158" s="71"/>
      <c r="AE158" s="227"/>
      <c r="AF158" s="71"/>
      <c r="AG158" s="201"/>
      <c r="AH158" s="71"/>
      <c r="AI158" s="227"/>
      <c r="AJ158" s="71"/>
      <c r="AK158" s="201"/>
      <c r="AL158" s="71"/>
      <c r="AM158" s="227"/>
      <c r="AN158" s="71"/>
      <c r="AO158" s="201"/>
      <c r="AP158" s="71"/>
      <c r="AQ158" s="227"/>
      <c r="AR158" s="71"/>
      <c r="AS158" s="227"/>
      <c r="AT158" s="228"/>
      <c r="AU158" s="227"/>
      <c r="AV158" s="228"/>
      <c r="AW158" s="227"/>
      <c r="AX158" s="229" t="n">
        <f aca="false">SUM(R158+T158+V158+X158+Z158+AB158+AD158+AF158+AH158+AJ158+AL158+AN158+AP158+AR158)</f>
        <v>1</v>
      </c>
      <c r="AY158" s="230" t="n">
        <f aca="false">SUM(AX158*1000)/48</f>
        <v>20.8333333333333</v>
      </c>
      <c r="AZ158" s="231" t="n">
        <f aca="false">IFERROR(VLOOKUP(A158,'Site check'!$A$14:$O$47,15,0),0)</f>
        <v>0</v>
      </c>
      <c r="BA158" s="232" t="n">
        <f aca="false">SUM(AZ158*1000)/48</f>
        <v>0</v>
      </c>
      <c r="BB158" s="90" t="n">
        <f aca="false">SUM(P158/2)+E158</f>
        <v>275.416666666667</v>
      </c>
      <c r="BC158" s="90" t="n">
        <f aca="false">SUM(P158/2)+F158</f>
        <v>255.416666666667</v>
      </c>
    </row>
    <row r="159" customFormat="false" ht="13.15" hidden="false" customHeight="false" outlineLevel="0" collapsed="false">
      <c r="A159" s="0" t="str">
        <f aca="false">[2]Sheet1!A159</f>
        <v>NGM_SEC _DD770_NN07</v>
      </c>
      <c r="B159" s="0" t="str">
        <f aca="false">[2]Sheet1!B159</f>
        <v>NGM;DC SYS03</v>
      </c>
      <c r="C159" s="44" t="str">
        <f aca="false">[2]Sheet1!C159</f>
        <v>NGM</v>
      </c>
      <c r="D159" s="44" t="s">
        <v>688</v>
      </c>
      <c r="E159" s="0" t="n">
        <f aca="false">[2]Sheet1!D159</f>
        <v>140</v>
      </c>
      <c r="F159" s="0" t="n">
        <f aca="false">[2]Sheet1!E159</f>
        <v>140</v>
      </c>
      <c r="G159" s="45" t="n">
        <f aca="false">[2]Sheet1!F159</f>
        <v>45005</v>
      </c>
      <c r="H159" s="0" t="n">
        <f aca="false">[2]Sheet1!G159</f>
        <v>300</v>
      </c>
      <c r="I159" s="0" t="n">
        <f aca="false">[2]Sheet1!H159</f>
        <v>300</v>
      </c>
      <c r="J159" s="0" t="n">
        <f aca="false">[2]Sheet1!I159</f>
        <v>5</v>
      </c>
      <c r="K159" s="0" t="n">
        <f aca="false">[2]Sheet1!J159</f>
        <v>0</v>
      </c>
      <c r="L159" s="0" t="n">
        <f aca="false">[2]Sheet1!K159</f>
        <v>3</v>
      </c>
      <c r="M159" s="0" t="n">
        <f aca="false">[2]Sheet1!L159</f>
        <v>8</v>
      </c>
      <c r="N159" s="0" t="n">
        <f aca="false">[2]Sheet1!M159</f>
        <v>6</v>
      </c>
      <c r="O159" s="0" t="n">
        <f aca="false">[2]Sheet1!N159</f>
        <v>0</v>
      </c>
      <c r="P159" s="226" t="n">
        <f aca="false">SUM(AY159+BA159)</f>
        <v>20.8333333333333</v>
      </c>
      <c r="Q159" s="186" t="s">
        <v>1316</v>
      </c>
      <c r="R159" s="240" t="n">
        <v>1</v>
      </c>
      <c r="S159" s="227" t="s">
        <v>1484</v>
      </c>
      <c r="T159" s="71"/>
      <c r="U159" s="201"/>
      <c r="V159" s="71"/>
      <c r="W159" s="227"/>
      <c r="X159" s="71"/>
      <c r="Y159" s="201"/>
      <c r="Z159" s="71"/>
      <c r="AA159" s="227"/>
      <c r="AB159" s="71"/>
      <c r="AC159" s="201"/>
      <c r="AD159" s="71"/>
      <c r="AE159" s="227"/>
      <c r="AF159" s="71"/>
      <c r="AG159" s="201"/>
      <c r="AH159" s="71"/>
      <c r="AI159" s="227"/>
      <c r="AJ159" s="71"/>
      <c r="AK159" s="201"/>
      <c r="AL159" s="71"/>
      <c r="AM159" s="227"/>
      <c r="AN159" s="71"/>
      <c r="AO159" s="201"/>
      <c r="AP159" s="71"/>
      <c r="AQ159" s="227"/>
      <c r="AR159" s="71"/>
      <c r="AS159" s="227"/>
      <c r="AT159" s="228"/>
      <c r="AU159" s="227"/>
      <c r="AV159" s="228"/>
      <c r="AW159" s="227"/>
      <c r="AX159" s="229" t="n">
        <f aca="false">SUM(R159+T159+V159+X159+Z159+AB159+AD159+AF159+AH159+AJ159+AL159+AN159+AP159+AR159)</f>
        <v>1</v>
      </c>
      <c r="AY159" s="230" t="n">
        <f aca="false">SUM(AX159*1000)/48</f>
        <v>20.8333333333333</v>
      </c>
      <c r="AZ159" s="231" t="n">
        <f aca="false">IFERROR(VLOOKUP(A159,'Site check'!$A$14:$O$47,15,0),0)</f>
        <v>0</v>
      </c>
      <c r="BA159" s="232" t="n">
        <f aca="false">SUM(AZ159*1000)/48</f>
        <v>0</v>
      </c>
      <c r="BB159" s="90" t="n">
        <f aca="false">SUM(P159/2)+E159</f>
        <v>150.416666666667</v>
      </c>
      <c r="BC159" s="90" t="n">
        <f aca="false">SUM(P159/2)+F159</f>
        <v>150.416666666667</v>
      </c>
    </row>
    <row r="160" customFormat="false" ht="13.15" hidden="false" customHeight="false" outlineLevel="0" collapsed="false">
      <c r="A160" s="0" t="str">
        <f aca="false">[2]Sheet1!A160</f>
        <v>NGM_SEC_DD770_U</v>
      </c>
      <c r="B160" s="0" t="str">
        <f aca="false">[2]Sheet1!B160</f>
        <v>NGM;DC SYS03</v>
      </c>
      <c r="C160" s="44" t="str">
        <f aca="false">[2]Sheet1!C160</f>
        <v>NGM</v>
      </c>
      <c r="D160" s="44" t="s">
        <v>688</v>
      </c>
      <c r="E160" s="0" t="n">
        <f aca="false">[2]Sheet1!D160</f>
        <v>120</v>
      </c>
      <c r="F160" s="0" t="n">
        <f aca="false">[2]Sheet1!E160</f>
        <v>120</v>
      </c>
      <c r="G160" s="45" t="n">
        <f aca="false">[2]Sheet1!F160</f>
        <v>45005</v>
      </c>
      <c r="H160" s="0" t="n">
        <f aca="false">[2]Sheet1!G160</f>
        <v>300</v>
      </c>
      <c r="I160" s="0" t="n">
        <f aca="false">[2]Sheet1!H160</f>
        <v>300</v>
      </c>
      <c r="J160" s="0" t="n">
        <f aca="false">[2]Sheet1!I160</f>
        <v>6</v>
      </c>
      <c r="K160" s="0" t="n">
        <f aca="false">[2]Sheet1!J160</f>
        <v>0</v>
      </c>
      <c r="L160" s="0" t="n">
        <f aca="false">[2]Sheet1!K160</f>
        <v>1</v>
      </c>
      <c r="M160" s="0" t="n">
        <f aca="false">[2]Sheet1!L160</f>
        <v>8</v>
      </c>
      <c r="N160" s="0" t="n">
        <f aca="false">[2]Sheet1!M160</f>
        <v>6</v>
      </c>
      <c r="O160" s="0" t="n">
        <f aca="false">[2]Sheet1!N160</f>
        <v>0</v>
      </c>
      <c r="P160" s="226" t="n">
        <f aca="false">SUM(AY160+BA160)</f>
        <v>0</v>
      </c>
      <c r="Q160" s="201"/>
      <c r="R160" s="71"/>
      <c r="S160" s="227"/>
      <c r="T160" s="71"/>
      <c r="U160" s="201"/>
      <c r="V160" s="71"/>
      <c r="W160" s="227"/>
      <c r="X160" s="71"/>
      <c r="Y160" s="201"/>
      <c r="Z160" s="71"/>
      <c r="AA160" s="227"/>
      <c r="AB160" s="71"/>
      <c r="AC160" s="201"/>
      <c r="AD160" s="71"/>
      <c r="AE160" s="227"/>
      <c r="AF160" s="71"/>
      <c r="AG160" s="201"/>
      <c r="AH160" s="71"/>
      <c r="AI160" s="227"/>
      <c r="AJ160" s="71"/>
      <c r="AK160" s="201"/>
      <c r="AL160" s="71"/>
      <c r="AM160" s="227"/>
      <c r="AN160" s="71"/>
      <c r="AO160" s="201"/>
      <c r="AP160" s="71"/>
      <c r="AQ160" s="227"/>
      <c r="AR160" s="71"/>
      <c r="AS160" s="227"/>
      <c r="AT160" s="228"/>
      <c r="AU160" s="227"/>
      <c r="AV160" s="228"/>
      <c r="AW160" s="227"/>
      <c r="AX160" s="229" t="n">
        <f aca="false">SUM(R160+T160+V160+X160+Z160+AB160+AD160+AF160+AH160+AJ160+AL160+AN160+AP160+AR160)</f>
        <v>0</v>
      </c>
      <c r="AY160" s="230" t="n">
        <f aca="false">SUM(AX160*1000)/48</f>
        <v>0</v>
      </c>
      <c r="AZ160" s="231" t="n">
        <f aca="false">IFERROR(VLOOKUP(A160,'Site check'!$A$14:$O$47,15,0),0)</f>
        <v>0</v>
      </c>
      <c r="BA160" s="232" t="n">
        <f aca="false">SUM(AZ160*1000)/48</f>
        <v>0</v>
      </c>
      <c r="BB160" s="90" t="n">
        <f aca="false">SUM(P160/2)+E160</f>
        <v>120</v>
      </c>
      <c r="BC160" s="90" t="n">
        <f aca="false">SUM(P160/2)+F160</f>
        <v>120</v>
      </c>
    </row>
    <row r="161" customFormat="false" ht="13.15" hidden="false" customHeight="false" outlineLevel="0" collapsed="false">
      <c r="A161" s="0" t="str">
        <f aca="false">[2]Sheet1!A161</f>
        <v>NGMTL1_SEC_ L16</v>
      </c>
      <c r="B161" s="0" t="str">
        <f aca="false">[2]Sheet1!B161</f>
        <v>NGMTL1;DC SYS01</v>
      </c>
      <c r="C161" s="44" t="str">
        <f aca="false">[2]Sheet1!C161</f>
        <v>NGMTL1</v>
      </c>
      <c r="D161" s="44" t="s">
        <v>691</v>
      </c>
      <c r="E161" s="0" t="n">
        <f aca="false">[2]Sheet1!D161</f>
        <v>25</v>
      </c>
      <c r="F161" s="0" t="n">
        <f aca="false">[2]Sheet1!E161</f>
        <v>25</v>
      </c>
      <c r="G161" s="45" t="str">
        <f aca="false">[2]Sheet1!F161</f>
        <v>Supply cable size
(sq mm)</v>
      </c>
      <c r="H161" s="0" t="n">
        <f aca="false">[2]Sheet1!G161</f>
        <v>300</v>
      </c>
      <c r="I161" s="0" t="n">
        <f aca="false">[2]Sheet1!H161</f>
        <v>300</v>
      </c>
      <c r="J161" s="0" t="n">
        <f aca="false">[2]Sheet1!I161</f>
        <v>0</v>
      </c>
      <c r="K161" s="0" t="n">
        <f aca="false">[2]Sheet1!J161</f>
        <v>0</v>
      </c>
      <c r="L161" s="0" t="n">
        <f aca="false">[2]Sheet1!K161</f>
        <v>0</v>
      </c>
      <c r="M161" s="0" t="n">
        <f aca="false">[2]Sheet1!L161</f>
        <v>0</v>
      </c>
      <c r="N161" s="0" t="n">
        <f aca="false">[2]Sheet1!M161</f>
        <v>6</v>
      </c>
      <c r="O161" s="0" t="n">
        <f aca="false">[2]Sheet1!N161</f>
        <v>39</v>
      </c>
      <c r="P161" s="226" t="n">
        <f aca="false">SUM(AY161+BA161)</f>
        <v>0</v>
      </c>
      <c r="Q161" s="201"/>
      <c r="R161" s="71"/>
      <c r="S161" s="227"/>
      <c r="T161" s="71"/>
      <c r="U161" s="201"/>
      <c r="V161" s="71"/>
      <c r="W161" s="227"/>
      <c r="X161" s="71"/>
      <c r="Y161" s="201"/>
      <c r="Z161" s="71"/>
      <c r="AA161" s="227"/>
      <c r="AB161" s="71"/>
      <c r="AC161" s="201"/>
      <c r="AD161" s="71"/>
      <c r="AE161" s="227"/>
      <c r="AF161" s="71"/>
      <c r="AG161" s="201"/>
      <c r="AH161" s="71"/>
      <c r="AI161" s="227"/>
      <c r="AJ161" s="71"/>
      <c r="AK161" s="201"/>
      <c r="AL161" s="71"/>
      <c r="AM161" s="227"/>
      <c r="AN161" s="71"/>
      <c r="AO161" s="201"/>
      <c r="AP161" s="71"/>
      <c r="AQ161" s="227"/>
      <c r="AR161" s="71"/>
      <c r="AS161" s="227"/>
      <c r="AT161" s="228"/>
      <c r="AU161" s="227"/>
      <c r="AV161" s="228"/>
      <c r="AW161" s="227"/>
      <c r="AX161" s="229" t="n">
        <f aca="false">SUM(R161+T161+V161+X161+Z161+AB161+AD161+AF161+AH161+AJ161+AL161+AN161+AP161+AR161)</f>
        <v>0</v>
      </c>
      <c r="AY161" s="230" t="n">
        <f aca="false">SUM(AX161*1000)/48</f>
        <v>0</v>
      </c>
      <c r="AZ161" s="231" t="n">
        <f aca="false">IFERROR(VLOOKUP(A161,'Site check'!$A$14:$O$47,15,0),0)</f>
        <v>0</v>
      </c>
      <c r="BA161" s="232" t="n">
        <f aca="false">SUM(AZ161*1000)/48</f>
        <v>0</v>
      </c>
      <c r="BB161" s="90" t="n">
        <f aca="false">SUM(P161/2)+E161</f>
        <v>25</v>
      </c>
      <c r="BC161" s="90" t="n">
        <f aca="false">SUM(P161/2)+F161</f>
        <v>25</v>
      </c>
    </row>
    <row r="162" customFormat="false" ht="13.15" hidden="false" customHeight="false" outlineLevel="0" collapsed="false">
      <c r="A162" s="0" t="str">
        <f aca="false">[2]Sheet1!A162</f>
        <v>BSHN03_SEC_CBDB_CA11</v>
      </c>
      <c r="B162" s="0" t="str">
        <f aca="false">[2]Sheet1!B162</f>
        <v>BSHN03;DC SYS A</v>
      </c>
      <c r="C162" s="44" t="str">
        <f aca="false">[2]Sheet1!C162</f>
        <v>BSHN03</v>
      </c>
      <c r="D162" s="44" t="s">
        <v>458</v>
      </c>
      <c r="E162" s="0" t="n">
        <f aca="false">[2]Sheet1!D162</f>
        <v>100</v>
      </c>
      <c r="F162" s="0" t="n">
        <f aca="false">[2]Sheet1!E162</f>
        <v>110</v>
      </c>
      <c r="G162" s="45" t="n">
        <f aca="false">[2]Sheet1!F162</f>
        <v>44959</v>
      </c>
      <c r="H162" s="0" t="n">
        <f aca="false">[2]Sheet1!G162</f>
        <v>300</v>
      </c>
      <c r="I162" s="0" t="n">
        <f aca="false">[2]Sheet1!H162</f>
        <v>300</v>
      </c>
      <c r="J162" s="0" t="n">
        <f aca="false">[2]Sheet1!I162</f>
        <v>0</v>
      </c>
      <c r="K162" s="0" t="n">
        <f aca="false">[2]Sheet1!J162</f>
        <v>2</v>
      </c>
      <c r="L162" s="0" t="n">
        <f aca="false">[2]Sheet1!K162</f>
        <v>10</v>
      </c>
      <c r="M162" s="0" t="n">
        <f aca="false">[2]Sheet1!L162</f>
        <v>5</v>
      </c>
      <c r="N162" s="0" t="n">
        <f aca="false">[2]Sheet1!M162</f>
        <v>0</v>
      </c>
      <c r="O162" s="0" t="n">
        <f aca="false">[2]Sheet1!N162</f>
        <v>25</v>
      </c>
      <c r="P162" s="226" t="n">
        <f aca="false">SUM(AY162+BA162)</f>
        <v>41.6666666666667</v>
      </c>
      <c r="Q162" s="181" t="s">
        <v>1065</v>
      </c>
      <c r="R162" s="237" t="n">
        <v>2</v>
      </c>
      <c r="S162" s="212"/>
      <c r="T162" s="221"/>
      <c r="U162" s="201"/>
      <c r="V162" s="71"/>
      <c r="W162" s="227"/>
      <c r="X162" s="71"/>
      <c r="Y162" s="201"/>
      <c r="Z162" s="71"/>
      <c r="AA162" s="227"/>
      <c r="AB162" s="71"/>
      <c r="AC162" s="201"/>
      <c r="AD162" s="71"/>
      <c r="AE162" s="227"/>
      <c r="AF162" s="71"/>
      <c r="AG162" s="201"/>
      <c r="AH162" s="71"/>
      <c r="AI162" s="227"/>
      <c r="AJ162" s="71"/>
      <c r="AK162" s="201"/>
      <c r="AL162" s="71"/>
      <c r="AM162" s="227"/>
      <c r="AN162" s="71"/>
      <c r="AO162" s="201"/>
      <c r="AP162" s="71"/>
      <c r="AQ162" s="227"/>
      <c r="AR162" s="71"/>
      <c r="AS162" s="227"/>
      <c r="AT162" s="228"/>
      <c r="AU162" s="227"/>
      <c r="AV162" s="228"/>
      <c r="AW162" s="227"/>
      <c r="AX162" s="229" t="n">
        <f aca="false">SUM(R162+T162+V162+X162+Z162+AB162+AD162+AF162+AH162+AJ162+AL162+AN162+AP162+AR162)</f>
        <v>2</v>
      </c>
      <c r="AY162" s="230" t="n">
        <f aca="false">SUM(AX162*1000)/48</f>
        <v>41.6666666666667</v>
      </c>
      <c r="AZ162" s="231" t="n">
        <f aca="false">IFERROR(VLOOKUP(A162,'Site check'!$A$14:$O$47,15,0),0)</f>
        <v>0</v>
      </c>
      <c r="BA162" s="232" t="n">
        <f aca="false">SUM(AZ162*1000)/48</f>
        <v>0</v>
      </c>
      <c r="BB162" s="90" t="n">
        <f aca="false">SUM(P162/2)+E162</f>
        <v>120.833333333333</v>
      </c>
      <c r="BC162" s="90" t="n">
        <f aca="false">SUM(P162/2)+F162</f>
        <v>130.833333333333</v>
      </c>
    </row>
    <row r="163" customFormat="false" ht="13.15" hidden="false" customHeight="false" outlineLevel="0" collapsed="false">
      <c r="A163" s="0" t="str">
        <f aca="false">[2]Sheet1!A163</f>
        <v>BSHN03_SEC_DD770_AA01</v>
      </c>
      <c r="B163" s="0" t="str">
        <f aca="false">[2]Sheet1!B163</f>
        <v>BSHN03;DC SYS A</v>
      </c>
      <c r="C163" s="44" t="str">
        <f aca="false">[2]Sheet1!C163</f>
        <v>BSHN03</v>
      </c>
      <c r="D163" s="44" t="s">
        <v>458</v>
      </c>
      <c r="E163" s="0" t="n">
        <f aca="false">[2]Sheet1!D163</f>
        <v>170</v>
      </c>
      <c r="F163" s="0" t="n">
        <f aca="false">[2]Sheet1!E163</f>
        <v>180</v>
      </c>
      <c r="G163" s="45" t="n">
        <f aca="false">[2]Sheet1!F163</f>
        <v>44959</v>
      </c>
      <c r="H163" s="0" t="n">
        <f aca="false">[2]Sheet1!G163</f>
        <v>300</v>
      </c>
      <c r="I163" s="0" t="n">
        <f aca="false">[2]Sheet1!H163</f>
        <v>300</v>
      </c>
      <c r="J163" s="0" t="n">
        <f aca="false">[2]Sheet1!I163</f>
        <v>0</v>
      </c>
      <c r="K163" s="0" t="n">
        <f aca="false">[2]Sheet1!J163</f>
        <v>1</v>
      </c>
      <c r="L163" s="0" t="n">
        <f aca="false">[2]Sheet1!K163</f>
        <v>0</v>
      </c>
      <c r="M163" s="0" t="n">
        <f aca="false">[2]Sheet1!L163</f>
        <v>5</v>
      </c>
      <c r="N163" s="0" t="n">
        <f aca="false">[2]Sheet1!M163</f>
        <v>0</v>
      </c>
      <c r="O163" s="0" t="n">
        <f aca="false">[2]Sheet1!N163</f>
        <v>0</v>
      </c>
      <c r="P163" s="226" t="n">
        <f aca="false">SUM(AY163+BA163)</f>
        <v>0</v>
      </c>
      <c r="Q163" s="201"/>
      <c r="R163" s="71"/>
      <c r="S163" s="227"/>
      <c r="T163" s="71"/>
      <c r="U163" s="201"/>
      <c r="V163" s="71"/>
      <c r="W163" s="227"/>
      <c r="X163" s="71"/>
      <c r="Y163" s="201"/>
      <c r="Z163" s="71"/>
      <c r="AA163" s="227"/>
      <c r="AB163" s="71"/>
      <c r="AC163" s="201"/>
      <c r="AD163" s="71"/>
      <c r="AE163" s="227"/>
      <c r="AF163" s="71"/>
      <c r="AG163" s="201"/>
      <c r="AH163" s="71"/>
      <c r="AI163" s="227"/>
      <c r="AJ163" s="71"/>
      <c r="AK163" s="201"/>
      <c r="AL163" s="71"/>
      <c r="AM163" s="227"/>
      <c r="AN163" s="71"/>
      <c r="AO163" s="201"/>
      <c r="AP163" s="71"/>
      <c r="AQ163" s="227"/>
      <c r="AR163" s="71"/>
      <c r="AS163" s="227"/>
      <c r="AT163" s="228"/>
      <c r="AU163" s="227"/>
      <c r="AV163" s="228"/>
      <c r="AW163" s="227"/>
      <c r="AX163" s="229" t="n">
        <f aca="false">SUM(R163+T163+V163+X163+Z163+AB163+AD163+AF163+AH163+AJ163+AL163+AN163+AP163+AR163)</f>
        <v>0</v>
      </c>
      <c r="AY163" s="230" t="n">
        <f aca="false">SUM(AX163*1000)/48</f>
        <v>0</v>
      </c>
      <c r="AZ163" s="231" t="n">
        <f aca="false">IFERROR(VLOOKUP(A163,'Site check'!$A$14:$O$47,15,0),0)</f>
        <v>0</v>
      </c>
      <c r="BA163" s="232" t="n">
        <f aca="false">SUM(AZ163*1000)/48</f>
        <v>0</v>
      </c>
      <c r="BB163" s="90" t="n">
        <f aca="false">SUM(P163/2)+E163</f>
        <v>170</v>
      </c>
      <c r="BC163" s="90" t="n">
        <f aca="false">SUM(P163/2)+F163</f>
        <v>180</v>
      </c>
    </row>
    <row r="164" customFormat="false" ht="13.15" hidden="false" customHeight="false" outlineLevel="0" collapsed="false">
      <c r="A164" s="0" t="str">
        <f aca="false">[2]Sheet1!A164</f>
        <v>BSHN03_SEC_DD770_AC01</v>
      </c>
      <c r="B164" s="0" t="str">
        <f aca="false">[2]Sheet1!B164</f>
        <v>BSHN03;DC SYS A</v>
      </c>
      <c r="C164" s="44" t="str">
        <f aca="false">[2]Sheet1!C164</f>
        <v>BSHN03</v>
      </c>
      <c r="D164" s="44" t="s">
        <v>458</v>
      </c>
      <c r="E164" s="0" t="n">
        <f aca="false">[2]Sheet1!D164</f>
        <v>42</v>
      </c>
      <c r="F164" s="0" t="n">
        <f aca="false">[2]Sheet1!E164</f>
        <v>43</v>
      </c>
      <c r="G164" s="45" t="n">
        <f aca="false">[2]Sheet1!F164</f>
        <v>45296</v>
      </c>
      <c r="H164" s="0" t="n">
        <f aca="false">[2]Sheet1!G164</f>
        <v>300</v>
      </c>
      <c r="I164" s="0" t="n">
        <f aca="false">[2]Sheet1!H164</f>
        <v>300</v>
      </c>
      <c r="J164" s="0" t="n">
        <f aca="false">[2]Sheet1!I164</f>
        <v>3</v>
      </c>
      <c r="K164" s="0" t="n">
        <f aca="false">[2]Sheet1!J164</f>
        <v>0</v>
      </c>
      <c r="L164" s="0" t="n">
        <f aca="false">[2]Sheet1!K164</f>
        <v>12</v>
      </c>
      <c r="M164" s="0" t="n">
        <f aca="false">[2]Sheet1!L164</f>
        <v>11</v>
      </c>
      <c r="N164" s="0" t="n">
        <f aca="false">[2]Sheet1!M164</f>
        <v>11</v>
      </c>
      <c r="O164" s="0" t="n">
        <f aca="false">[2]Sheet1!N164</f>
        <v>0</v>
      </c>
      <c r="P164" s="226" t="n">
        <f aca="false">SUM(AY164+BA164)</f>
        <v>0</v>
      </c>
      <c r="Q164" s="201"/>
      <c r="R164" s="71"/>
      <c r="S164" s="227"/>
      <c r="T164" s="71"/>
      <c r="U164" s="201"/>
      <c r="V164" s="71"/>
      <c r="W164" s="227"/>
      <c r="X164" s="71"/>
      <c r="Y164" s="201"/>
      <c r="Z164" s="71"/>
      <c r="AA164" s="227"/>
      <c r="AB164" s="71"/>
      <c r="AC164" s="201"/>
      <c r="AD164" s="71"/>
      <c r="AE164" s="227"/>
      <c r="AF164" s="71"/>
      <c r="AG164" s="201"/>
      <c r="AH164" s="71"/>
      <c r="AI164" s="227"/>
      <c r="AJ164" s="71"/>
      <c r="AK164" s="201"/>
      <c r="AL164" s="71"/>
      <c r="AM164" s="227"/>
      <c r="AN164" s="71"/>
      <c r="AO164" s="201"/>
      <c r="AP164" s="71"/>
      <c r="AQ164" s="227"/>
      <c r="AR164" s="71"/>
      <c r="AS164" s="227"/>
      <c r="AT164" s="228"/>
      <c r="AU164" s="227"/>
      <c r="AV164" s="228"/>
      <c r="AW164" s="227"/>
      <c r="AX164" s="229" t="n">
        <f aca="false">SUM(R164+T164+V164+X164+Z164+AB164+AD164+AF164+AH164+AJ164+AL164+AN164+AP164+AR164)</f>
        <v>0</v>
      </c>
      <c r="AY164" s="230" t="n">
        <f aca="false">SUM(AX164*1000)/48</f>
        <v>0</v>
      </c>
      <c r="AZ164" s="231" t="n">
        <f aca="false">IFERROR(VLOOKUP(A164,'Site check'!$A$14:$O$47,15,0),0)</f>
        <v>0</v>
      </c>
      <c r="BA164" s="232" t="n">
        <f aca="false">SUM(AZ164*1000)/48</f>
        <v>0</v>
      </c>
      <c r="BB164" s="90" t="n">
        <f aca="false">SUM(P164/2)+E164</f>
        <v>42</v>
      </c>
      <c r="BC164" s="90" t="n">
        <f aca="false">SUM(P164/2)+F164</f>
        <v>43</v>
      </c>
    </row>
    <row r="165" customFormat="false" ht="13.15" hidden="false" customHeight="false" outlineLevel="0" collapsed="false">
      <c r="A165" s="0" t="str">
        <f aca="false">[2]Sheet1!A165</f>
        <v>BSHN03_SEC_DD770_AE01</v>
      </c>
      <c r="B165" s="0" t="str">
        <f aca="false">[2]Sheet1!B165</f>
        <v>BSHN03;DC SYS A</v>
      </c>
      <c r="C165" s="44" t="str">
        <f aca="false">[2]Sheet1!C165</f>
        <v>BSHN03</v>
      </c>
      <c r="D165" s="44" t="s">
        <v>458</v>
      </c>
      <c r="E165" s="0" t="n">
        <f aca="false">[2]Sheet1!D165</f>
        <v>160</v>
      </c>
      <c r="F165" s="0" t="n">
        <f aca="false">[2]Sheet1!E165</f>
        <v>180</v>
      </c>
      <c r="G165" s="45" t="n">
        <f aca="false">[2]Sheet1!F165</f>
        <v>44959</v>
      </c>
      <c r="H165" s="0" t="n">
        <f aca="false">[2]Sheet1!G165</f>
        <v>300</v>
      </c>
      <c r="I165" s="0" t="n">
        <f aca="false">[2]Sheet1!H165</f>
        <v>300</v>
      </c>
      <c r="J165" s="0" t="n">
        <f aca="false">[2]Sheet1!I165</f>
        <v>0</v>
      </c>
      <c r="K165" s="0" t="n">
        <f aca="false">[2]Sheet1!J165</f>
        <v>0</v>
      </c>
      <c r="L165" s="0" t="n">
        <f aca="false">[2]Sheet1!K165</f>
        <v>2</v>
      </c>
      <c r="M165" s="0" t="n">
        <f aca="false">[2]Sheet1!L165</f>
        <v>8</v>
      </c>
      <c r="N165" s="0" t="n">
        <f aca="false">[2]Sheet1!M165</f>
        <v>12</v>
      </c>
      <c r="O165" s="0" t="n">
        <f aca="false">[2]Sheet1!N165</f>
        <v>0</v>
      </c>
      <c r="P165" s="226" t="n">
        <f aca="false">SUM(AY165+BA165)</f>
        <v>0</v>
      </c>
      <c r="Q165" s="201"/>
      <c r="R165" s="71"/>
      <c r="S165" s="227"/>
      <c r="T165" s="71"/>
      <c r="U165" s="201"/>
      <c r="V165" s="71"/>
      <c r="W165" s="227"/>
      <c r="X165" s="71"/>
      <c r="Y165" s="201"/>
      <c r="Z165" s="71"/>
      <c r="AA165" s="227"/>
      <c r="AB165" s="71"/>
      <c r="AC165" s="201"/>
      <c r="AD165" s="71"/>
      <c r="AE165" s="227"/>
      <c r="AF165" s="71"/>
      <c r="AG165" s="201"/>
      <c r="AH165" s="71"/>
      <c r="AI165" s="227"/>
      <c r="AJ165" s="71"/>
      <c r="AK165" s="201"/>
      <c r="AL165" s="71"/>
      <c r="AM165" s="227"/>
      <c r="AN165" s="71"/>
      <c r="AO165" s="201"/>
      <c r="AP165" s="71"/>
      <c r="AQ165" s="227"/>
      <c r="AR165" s="71"/>
      <c r="AS165" s="227"/>
      <c r="AT165" s="228"/>
      <c r="AU165" s="227"/>
      <c r="AV165" s="228"/>
      <c r="AW165" s="227"/>
      <c r="AX165" s="229" t="n">
        <f aca="false">SUM(R165+T165+V165+X165+Z165+AB165+AD165+AF165+AH165+AJ165+AL165+AN165+AP165+AR165)</f>
        <v>0</v>
      </c>
      <c r="AY165" s="230" t="n">
        <f aca="false">SUM(AX165*1000)/48</f>
        <v>0</v>
      </c>
      <c r="AZ165" s="231" t="n">
        <f aca="false">IFERROR(VLOOKUP(A165,'Site check'!$A$14:$O$47,15,0),0)</f>
        <v>0</v>
      </c>
      <c r="BA165" s="232" t="n">
        <f aca="false">SUM(AZ165*1000)/48</f>
        <v>0</v>
      </c>
      <c r="BB165" s="90" t="n">
        <f aca="false">SUM(P165/2)+E165</f>
        <v>160</v>
      </c>
      <c r="BC165" s="90" t="n">
        <f aca="false">SUM(P165/2)+F165</f>
        <v>180</v>
      </c>
    </row>
    <row r="166" customFormat="false" ht="13.15" hidden="false" customHeight="false" outlineLevel="0" collapsed="false">
      <c r="A166" s="0" t="str">
        <f aca="false">[2]Sheet1!A166</f>
        <v>BSHN03_SEC_DD770_AG01</v>
      </c>
      <c r="B166" s="0" t="str">
        <f aca="false">[2]Sheet1!B166</f>
        <v>BSHN03;DC SYS A</v>
      </c>
      <c r="C166" s="44" t="str">
        <f aca="false">[2]Sheet1!C166</f>
        <v>BSHN03</v>
      </c>
      <c r="D166" s="44" t="s">
        <v>458</v>
      </c>
      <c r="E166" s="0" t="n">
        <f aca="false">[2]Sheet1!D166</f>
        <v>110</v>
      </c>
      <c r="F166" s="0" t="n">
        <f aca="false">[2]Sheet1!E166</f>
        <v>130</v>
      </c>
      <c r="G166" s="45" t="n">
        <f aca="false">[2]Sheet1!F166</f>
        <v>44959</v>
      </c>
      <c r="H166" s="0" t="n">
        <f aca="false">[2]Sheet1!G166</f>
        <v>300</v>
      </c>
      <c r="I166" s="0" t="n">
        <f aca="false">[2]Sheet1!H166</f>
        <v>300</v>
      </c>
      <c r="J166" s="0" t="n">
        <f aca="false">[2]Sheet1!I166</f>
        <v>0</v>
      </c>
      <c r="K166" s="0" t="n">
        <f aca="false">[2]Sheet1!J166</f>
        <v>0</v>
      </c>
      <c r="L166" s="0" t="n">
        <f aca="false">[2]Sheet1!K166</f>
        <v>3</v>
      </c>
      <c r="M166" s="0" t="n">
        <f aca="false">[2]Sheet1!L166</f>
        <v>20</v>
      </c>
      <c r="N166" s="0" t="n">
        <f aca="false">[2]Sheet1!M166</f>
        <v>10</v>
      </c>
      <c r="O166" s="0" t="n">
        <f aca="false">[2]Sheet1!N166</f>
        <v>0</v>
      </c>
      <c r="P166" s="226" t="n">
        <f aca="false">SUM(AY166+BA166)</f>
        <v>0</v>
      </c>
      <c r="Q166" s="201"/>
      <c r="R166" s="71"/>
      <c r="S166" s="227"/>
      <c r="T166" s="71"/>
      <c r="U166" s="201"/>
      <c r="V166" s="71"/>
      <c r="W166" s="227"/>
      <c r="X166" s="71"/>
      <c r="Y166" s="201"/>
      <c r="Z166" s="71"/>
      <c r="AA166" s="227"/>
      <c r="AB166" s="71"/>
      <c r="AC166" s="201"/>
      <c r="AD166" s="71"/>
      <c r="AE166" s="227"/>
      <c r="AF166" s="71"/>
      <c r="AG166" s="201"/>
      <c r="AH166" s="71"/>
      <c r="AI166" s="227"/>
      <c r="AJ166" s="71"/>
      <c r="AK166" s="201"/>
      <c r="AL166" s="71"/>
      <c r="AM166" s="227"/>
      <c r="AN166" s="71"/>
      <c r="AO166" s="201"/>
      <c r="AP166" s="71"/>
      <c r="AQ166" s="227"/>
      <c r="AR166" s="71"/>
      <c r="AS166" s="227"/>
      <c r="AT166" s="228"/>
      <c r="AU166" s="227"/>
      <c r="AV166" s="228"/>
      <c r="AW166" s="227"/>
      <c r="AX166" s="229" t="n">
        <f aca="false">SUM(R166+T166+V166+X166+Z166+AB166+AD166+AF166+AH166+AJ166+AL166+AN166+AP166+AR166)</f>
        <v>0</v>
      </c>
      <c r="AY166" s="230" t="n">
        <f aca="false">SUM(AX166*1000)/48</f>
        <v>0</v>
      </c>
      <c r="AZ166" s="231" t="n">
        <f aca="false">IFERROR(VLOOKUP(A166,'Site check'!$A$14:$O$47,15,0),0)</f>
        <v>0</v>
      </c>
      <c r="BA166" s="232" t="n">
        <f aca="false">SUM(AZ166*1000)/48</f>
        <v>0</v>
      </c>
      <c r="BB166" s="90" t="n">
        <f aca="false">SUM(P166/2)+E166</f>
        <v>110</v>
      </c>
      <c r="BC166" s="90" t="n">
        <f aca="false">SUM(P166/2)+F166</f>
        <v>130</v>
      </c>
    </row>
    <row r="167" customFormat="false" ht="13.15" hidden="false" customHeight="false" outlineLevel="0" collapsed="false">
      <c r="A167" s="0" t="str">
        <f aca="false">[2]Sheet1!A167</f>
        <v>BSHN03_SEC_DD770_BA01</v>
      </c>
      <c r="B167" s="0" t="str">
        <f aca="false">[2]Sheet1!B167</f>
        <v>BSHN03;DC SYS A</v>
      </c>
      <c r="C167" s="44" t="str">
        <f aca="false">[2]Sheet1!C167</f>
        <v>BSHN03</v>
      </c>
      <c r="D167" s="44" t="s">
        <v>458</v>
      </c>
      <c r="E167" s="0" t="n">
        <f aca="false">[2]Sheet1!D167</f>
        <v>20</v>
      </c>
      <c r="F167" s="0" t="n">
        <f aca="false">[2]Sheet1!E167</f>
        <v>20</v>
      </c>
      <c r="G167" s="45" t="n">
        <f aca="false">[2]Sheet1!F167</f>
        <v>44959</v>
      </c>
      <c r="H167" s="0" t="n">
        <f aca="false">[2]Sheet1!G167</f>
        <v>300</v>
      </c>
      <c r="I167" s="0" t="n">
        <f aca="false">[2]Sheet1!H167</f>
        <v>300</v>
      </c>
      <c r="J167" s="0" t="n">
        <f aca="false">[2]Sheet1!I167</f>
        <v>0</v>
      </c>
      <c r="K167" s="0" t="n">
        <f aca="false">[2]Sheet1!J167</f>
        <v>0</v>
      </c>
      <c r="L167" s="0" t="n">
        <f aca="false">[2]Sheet1!K167</f>
        <v>0</v>
      </c>
      <c r="M167" s="0" t="n">
        <f aca="false">[2]Sheet1!L167</f>
        <v>18</v>
      </c>
      <c r="N167" s="0" t="n">
        <f aca="false">[2]Sheet1!M167</f>
        <v>0</v>
      </c>
      <c r="O167" s="0" t="n">
        <f aca="false">[2]Sheet1!N167</f>
        <v>0</v>
      </c>
      <c r="P167" s="226" t="n">
        <f aca="false">SUM(AY167+BA167)</f>
        <v>0</v>
      </c>
      <c r="Q167" s="201"/>
      <c r="R167" s="71"/>
      <c r="S167" s="227"/>
      <c r="T167" s="71"/>
      <c r="U167" s="201"/>
      <c r="V167" s="71"/>
      <c r="W167" s="227"/>
      <c r="X167" s="71"/>
      <c r="Y167" s="201"/>
      <c r="Z167" s="71"/>
      <c r="AA167" s="227"/>
      <c r="AB167" s="71"/>
      <c r="AC167" s="201"/>
      <c r="AD167" s="71"/>
      <c r="AE167" s="227"/>
      <c r="AF167" s="71"/>
      <c r="AG167" s="201"/>
      <c r="AH167" s="71"/>
      <c r="AI167" s="227"/>
      <c r="AJ167" s="71"/>
      <c r="AK167" s="201"/>
      <c r="AL167" s="71"/>
      <c r="AM167" s="227"/>
      <c r="AN167" s="71"/>
      <c r="AO167" s="201"/>
      <c r="AP167" s="71"/>
      <c r="AQ167" s="227"/>
      <c r="AR167" s="71"/>
      <c r="AS167" s="227"/>
      <c r="AT167" s="228"/>
      <c r="AU167" s="227"/>
      <c r="AV167" s="228"/>
      <c r="AW167" s="227"/>
      <c r="AX167" s="229" t="n">
        <f aca="false">SUM(R167+T167+V167+X167+Z167+AB167+AD167+AF167+AH167+AJ167+AL167+AN167+AP167+AR167)</f>
        <v>0</v>
      </c>
      <c r="AY167" s="230" t="n">
        <f aca="false">SUM(AX167*1000)/48</f>
        <v>0</v>
      </c>
      <c r="AZ167" s="231" t="n">
        <f aca="false">IFERROR(VLOOKUP(A167,'Site check'!$A$14:$O$47,15,0),0)</f>
        <v>0</v>
      </c>
      <c r="BA167" s="232" t="n">
        <f aca="false">SUM(AZ167*1000)/48</f>
        <v>0</v>
      </c>
      <c r="BB167" s="90" t="n">
        <f aca="false">SUM(P167/2)+E167</f>
        <v>20</v>
      </c>
      <c r="BC167" s="90" t="n">
        <f aca="false">SUM(P167/2)+F167</f>
        <v>20</v>
      </c>
    </row>
    <row r="168" customFormat="false" ht="13.15" hidden="false" customHeight="false" outlineLevel="0" collapsed="false">
      <c r="A168" s="0" t="str">
        <f aca="false">[2]Sheet1!A168</f>
        <v>BSHN03_SEC_DD770_BC01</v>
      </c>
      <c r="B168" s="0" t="str">
        <f aca="false">[2]Sheet1!B168</f>
        <v>BSHN03;DC SYS A</v>
      </c>
      <c r="C168" s="44" t="str">
        <f aca="false">[2]Sheet1!C168</f>
        <v>BSHN03</v>
      </c>
      <c r="D168" s="44" t="s">
        <v>458</v>
      </c>
      <c r="E168" s="0" t="n">
        <f aca="false">[2]Sheet1!D168</f>
        <v>20</v>
      </c>
      <c r="F168" s="0" t="n">
        <f aca="false">[2]Sheet1!E168</f>
        <v>20</v>
      </c>
      <c r="G168" s="45" t="n">
        <f aca="false">[2]Sheet1!F168</f>
        <v>44959</v>
      </c>
      <c r="H168" s="0" t="n">
        <f aca="false">[2]Sheet1!G168</f>
        <v>300</v>
      </c>
      <c r="I168" s="0" t="n">
        <f aca="false">[2]Sheet1!H168</f>
        <v>300</v>
      </c>
      <c r="J168" s="0" t="n">
        <f aca="false">[2]Sheet1!I168</f>
        <v>0</v>
      </c>
      <c r="K168" s="0" t="n">
        <f aca="false">[2]Sheet1!J168</f>
        <v>2</v>
      </c>
      <c r="L168" s="0" t="n">
        <f aca="false">[2]Sheet1!K168</f>
        <v>0</v>
      </c>
      <c r="M168" s="0" t="n">
        <f aca="false">[2]Sheet1!L168</f>
        <v>3</v>
      </c>
      <c r="N168" s="0" t="n">
        <f aca="false">[2]Sheet1!M168</f>
        <v>0</v>
      </c>
      <c r="O168" s="0" t="n">
        <f aca="false">[2]Sheet1!N168</f>
        <v>0</v>
      </c>
      <c r="P168" s="226" t="n">
        <f aca="false">SUM(AY168+BA168)</f>
        <v>0</v>
      </c>
      <c r="Q168" s="201"/>
      <c r="R168" s="71"/>
      <c r="S168" s="227"/>
      <c r="T168" s="71"/>
      <c r="U168" s="201"/>
      <c r="V168" s="71"/>
      <c r="W168" s="227"/>
      <c r="X168" s="71"/>
      <c r="Y168" s="201"/>
      <c r="Z168" s="71"/>
      <c r="AA168" s="227"/>
      <c r="AB168" s="71"/>
      <c r="AC168" s="201"/>
      <c r="AD168" s="71"/>
      <c r="AE168" s="227"/>
      <c r="AF168" s="71"/>
      <c r="AG168" s="201"/>
      <c r="AH168" s="71"/>
      <c r="AI168" s="227"/>
      <c r="AJ168" s="71"/>
      <c r="AK168" s="201"/>
      <c r="AL168" s="71"/>
      <c r="AM168" s="227"/>
      <c r="AN168" s="71"/>
      <c r="AO168" s="201"/>
      <c r="AP168" s="71"/>
      <c r="AQ168" s="227"/>
      <c r="AR168" s="71"/>
      <c r="AS168" s="227"/>
      <c r="AT168" s="228"/>
      <c r="AU168" s="227"/>
      <c r="AV168" s="228"/>
      <c r="AW168" s="227"/>
      <c r="AX168" s="229" t="n">
        <f aca="false">SUM(R168+T168+V168+X168+Z168+AB168+AD168+AF168+AH168+AJ168+AL168+AN168+AP168+AR168)</f>
        <v>0</v>
      </c>
      <c r="AY168" s="230" t="n">
        <f aca="false">SUM(AX168*1000)/48</f>
        <v>0</v>
      </c>
      <c r="AZ168" s="231" t="n">
        <f aca="false">IFERROR(VLOOKUP(A168,'Site check'!$A$14:$O$47,15,0),0)</f>
        <v>0</v>
      </c>
      <c r="BA168" s="232" t="n">
        <f aca="false">SUM(AZ168*1000)/48</f>
        <v>0</v>
      </c>
      <c r="BB168" s="90" t="n">
        <f aca="false">SUM(P168/2)+E168</f>
        <v>20</v>
      </c>
      <c r="BC168" s="90" t="n">
        <f aca="false">SUM(P168/2)+F168</f>
        <v>20</v>
      </c>
    </row>
    <row r="169" customFormat="false" ht="13.15" hidden="false" customHeight="false" outlineLevel="0" collapsed="false">
      <c r="A169" s="0" t="str">
        <f aca="false">[2]Sheet1!A169</f>
        <v>BSHN03_SEC_DD770_BE01</v>
      </c>
      <c r="B169" s="0" t="str">
        <f aca="false">[2]Sheet1!B169</f>
        <v>BSHN03;DC SYS A</v>
      </c>
      <c r="C169" s="44" t="str">
        <f aca="false">[2]Sheet1!C169</f>
        <v>BSHN03</v>
      </c>
      <c r="D169" s="44" t="s">
        <v>458</v>
      </c>
      <c r="E169" s="0" t="n">
        <f aca="false">[2]Sheet1!D169</f>
        <v>10</v>
      </c>
      <c r="F169" s="0" t="n">
        <f aca="false">[2]Sheet1!E169</f>
        <v>20</v>
      </c>
      <c r="G169" s="45" t="n">
        <f aca="false">[2]Sheet1!F169</f>
        <v>44959</v>
      </c>
      <c r="H169" s="0" t="n">
        <f aca="false">[2]Sheet1!G169</f>
        <v>300</v>
      </c>
      <c r="I169" s="0" t="n">
        <f aca="false">[2]Sheet1!H169</f>
        <v>300</v>
      </c>
      <c r="J169" s="0" t="n">
        <f aca="false">[2]Sheet1!I169</f>
        <v>6</v>
      </c>
      <c r="K169" s="0" t="n">
        <f aca="false">[2]Sheet1!J169</f>
        <v>4</v>
      </c>
      <c r="L169" s="0" t="n">
        <f aca="false">[2]Sheet1!K169</f>
        <v>6</v>
      </c>
      <c r="M169" s="0" t="n">
        <f aca="false">[2]Sheet1!L169</f>
        <v>21</v>
      </c>
      <c r="N169" s="0" t="n">
        <f aca="false">[2]Sheet1!M169</f>
        <v>12</v>
      </c>
      <c r="O169" s="0" t="n">
        <f aca="false">[2]Sheet1!N169</f>
        <v>0</v>
      </c>
      <c r="P169" s="226" t="n">
        <f aca="false">SUM(AY169+BA169)</f>
        <v>0</v>
      </c>
      <c r="Q169" s="201"/>
      <c r="R169" s="71"/>
      <c r="S169" s="227"/>
      <c r="T169" s="71"/>
      <c r="U169" s="201"/>
      <c r="V169" s="71"/>
      <c r="W169" s="227"/>
      <c r="X169" s="71"/>
      <c r="Y169" s="201"/>
      <c r="Z169" s="71"/>
      <c r="AA169" s="227"/>
      <c r="AB169" s="71"/>
      <c r="AC169" s="201"/>
      <c r="AD169" s="71"/>
      <c r="AE169" s="227"/>
      <c r="AF169" s="71"/>
      <c r="AG169" s="201"/>
      <c r="AH169" s="71"/>
      <c r="AI169" s="227"/>
      <c r="AJ169" s="71"/>
      <c r="AK169" s="201"/>
      <c r="AL169" s="71"/>
      <c r="AM169" s="227"/>
      <c r="AN169" s="71"/>
      <c r="AO169" s="201"/>
      <c r="AP169" s="71"/>
      <c r="AQ169" s="227"/>
      <c r="AR169" s="71"/>
      <c r="AS169" s="227"/>
      <c r="AT169" s="228"/>
      <c r="AU169" s="227"/>
      <c r="AV169" s="228"/>
      <c r="AW169" s="227"/>
      <c r="AX169" s="229" t="n">
        <f aca="false">SUM(R169+T169+V169+X169+Z169+AB169+AD169+AF169+AH169+AJ169+AL169+AN169+AP169+AR169)</f>
        <v>0</v>
      </c>
      <c r="AY169" s="230" t="n">
        <f aca="false">SUM(AX169*1000)/48</f>
        <v>0</v>
      </c>
      <c r="AZ169" s="231" t="n">
        <f aca="false">IFERROR(VLOOKUP(A169,'Site check'!$A$14:$O$47,15,0),0)</f>
        <v>0</v>
      </c>
      <c r="BA169" s="232" t="n">
        <f aca="false">SUM(AZ169*1000)/48</f>
        <v>0</v>
      </c>
      <c r="BB169" s="90" t="n">
        <f aca="false">SUM(P169/2)+E169</f>
        <v>10</v>
      </c>
      <c r="BC169" s="90" t="n">
        <f aca="false">SUM(P169/2)+F169</f>
        <v>20</v>
      </c>
    </row>
    <row r="170" customFormat="false" ht="13.15" hidden="false" customHeight="false" outlineLevel="0" collapsed="false">
      <c r="A170" s="0" t="str">
        <f aca="false">[2]Sheet1!A170</f>
        <v>BSHN03_SEC_DD770_BG01</v>
      </c>
      <c r="B170" s="0" t="str">
        <f aca="false">[2]Sheet1!B170</f>
        <v>BSHN03;DC SYS A</v>
      </c>
      <c r="C170" s="44" t="str">
        <f aca="false">[2]Sheet1!C170</f>
        <v>BSHN03</v>
      </c>
      <c r="D170" s="44" t="s">
        <v>458</v>
      </c>
      <c r="E170" s="0" t="n">
        <f aca="false">[2]Sheet1!D170</f>
        <v>85</v>
      </c>
      <c r="F170" s="0" t="n">
        <f aca="false">[2]Sheet1!E170</f>
        <v>80</v>
      </c>
      <c r="G170" s="45" t="n">
        <f aca="false">[2]Sheet1!F170</f>
        <v>44959</v>
      </c>
      <c r="H170" s="0" t="n">
        <f aca="false">[2]Sheet1!G170</f>
        <v>300</v>
      </c>
      <c r="I170" s="0" t="n">
        <f aca="false">[2]Sheet1!H170</f>
        <v>300</v>
      </c>
      <c r="J170" s="0" t="n">
        <f aca="false">[2]Sheet1!I170</f>
        <v>3</v>
      </c>
      <c r="K170" s="0" t="n">
        <f aca="false">[2]Sheet1!J170</f>
        <v>1</v>
      </c>
      <c r="L170" s="0" t="n">
        <f aca="false">[2]Sheet1!K170</f>
        <v>6</v>
      </c>
      <c r="M170" s="0" t="n">
        <f aca="false">[2]Sheet1!L170</f>
        <v>11</v>
      </c>
      <c r="N170" s="0" t="n">
        <f aca="false">[2]Sheet1!M170</f>
        <v>11</v>
      </c>
      <c r="O170" s="0" t="n">
        <f aca="false">[2]Sheet1!N170</f>
        <v>0</v>
      </c>
      <c r="P170" s="226" t="n">
        <f aca="false">SUM(AY170+BA170)</f>
        <v>45.8333333333333</v>
      </c>
      <c r="Q170" s="179" t="s">
        <v>1068</v>
      </c>
      <c r="R170" s="180" t="n">
        <v>2.2</v>
      </c>
      <c r="S170" s="227"/>
      <c r="T170" s="71"/>
      <c r="U170" s="201"/>
      <c r="V170" s="71"/>
      <c r="W170" s="227"/>
      <c r="X170" s="71"/>
      <c r="Y170" s="201"/>
      <c r="Z170" s="71"/>
      <c r="AA170" s="227"/>
      <c r="AB170" s="71"/>
      <c r="AC170" s="201"/>
      <c r="AD170" s="71"/>
      <c r="AE170" s="227"/>
      <c r="AF170" s="71"/>
      <c r="AG170" s="201"/>
      <c r="AH170" s="71"/>
      <c r="AI170" s="227"/>
      <c r="AJ170" s="71"/>
      <c r="AK170" s="201"/>
      <c r="AL170" s="71"/>
      <c r="AM170" s="227"/>
      <c r="AN170" s="71"/>
      <c r="AO170" s="201"/>
      <c r="AP170" s="71"/>
      <c r="AQ170" s="227"/>
      <c r="AR170" s="71"/>
      <c r="AS170" s="227"/>
      <c r="AT170" s="228"/>
      <c r="AU170" s="227"/>
      <c r="AV170" s="228"/>
      <c r="AW170" s="227"/>
      <c r="AX170" s="229" t="n">
        <f aca="false">SUM(R170+T170+V170+X170+Z170+AB170+AD170+AF170+AH170+AJ170+AL170+AN170+AP170+AR170)</f>
        <v>2.2</v>
      </c>
      <c r="AY170" s="230" t="n">
        <f aca="false">SUM(AX170*1000)/48</f>
        <v>45.8333333333333</v>
      </c>
      <c r="AZ170" s="231" t="n">
        <f aca="false">IFERROR(VLOOKUP(A170,'Site check'!$A$14:$O$47,15,0),0)</f>
        <v>0</v>
      </c>
      <c r="BA170" s="232" t="n">
        <f aca="false">SUM(AZ170*1000)/48</f>
        <v>0</v>
      </c>
      <c r="BB170" s="90" t="n">
        <f aca="false">SUM(P170/2)+E170</f>
        <v>107.916666666667</v>
      </c>
      <c r="BC170" s="90" t="n">
        <f aca="false">SUM(P170/2)+F170</f>
        <v>102.916666666667</v>
      </c>
    </row>
    <row r="171" customFormat="false" ht="13.15" hidden="false" customHeight="false" outlineLevel="0" collapsed="false">
      <c r="A171" s="0" t="str">
        <f aca="false">[2]Sheet1!A171</f>
        <v>BSHN03_SEC_DD770_CE01</v>
      </c>
      <c r="B171" s="0" t="str">
        <f aca="false">[2]Sheet1!B171</f>
        <v>BSHN03;DC SYS A</v>
      </c>
      <c r="C171" s="44" t="str">
        <f aca="false">[2]Sheet1!C171</f>
        <v>BSHN03</v>
      </c>
      <c r="D171" s="44" t="s">
        <v>458</v>
      </c>
      <c r="E171" s="0" t="n">
        <f aca="false">[2]Sheet1!D171</f>
        <v>15</v>
      </c>
      <c r="F171" s="0" t="n">
        <f aca="false">[2]Sheet1!E171</f>
        <v>40</v>
      </c>
      <c r="G171" s="45" t="n">
        <f aca="false">[2]Sheet1!F171</f>
        <v>44959</v>
      </c>
      <c r="H171" s="0" t="n">
        <f aca="false">[2]Sheet1!G171</f>
        <v>300</v>
      </c>
      <c r="I171" s="0" t="n">
        <f aca="false">[2]Sheet1!H171</f>
        <v>300</v>
      </c>
      <c r="J171" s="0" t="n">
        <f aca="false">[2]Sheet1!I171</f>
        <v>0</v>
      </c>
      <c r="K171" s="0" t="n">
        <f aca="false">[2]Sheet1!J171</f>
        <v>6</v>
      </c>
      <c r="L171" s="0" t="n">
        <f aca="false">[2]Sheet1!K171</f>
        <v>4</v>
      </c>
      <c r="M171" s="0" t="n">
        <f aca="false">[2]Sheet1!L171</f>
        <v>24</v>
      </c>
      <c r="N171" s="0" t="n">
        <f aca="false">[2]Sheet1!M171</f>
        <v>18</v>
      </c>
      <c r="O171" s="0" t="n">
        <f aca="false">[2]Sheet1!N171</f>
        <v>0</v>
      </c>
      <c r="P171" s="226" t="n">
        <f aca="false">SUM(AY171+BA171)</f>
        <v>83.3333333333333</v>
      </c>
      <c r="Q171" s="179" t="s">
        <v>1066</v>
      </c>
      <c r="R171" s="180" t="n">
        <v>4</v>
      </c>
      <c r="S171" s="227"/>
      <c r="T171" s="71"/>
      <c r="U171" s="201"/>
      <c r="V171" s="71"/>
      <c r="W171" s="227"/>
      <c r="X171" s="71"/>
      <c r="Y171" s="201"/>
      <c r="Z171" s="71"/>
      <c r="AA171" s="227"/>
      <c r="AB171" s="71"/>
      <c r="AC171" s="201"/>
      <c r="AD171" s="71"/>
      <c r="AE171" s="227"/>
      <c r="AF171" s="71"/>
      <c r="AG171" s="201"/>
      <c r="AH171" s="71"/>
      <c r="AI171" s="227"/>
      <c r="AJ171" s="71"/>
      <c r="AK171" s="201"/>
      <c r="AL171" s="71"/>
      <c r="AM171" s="227"/>
      <c r="AN171" s="71"/>
      <c r="AO171" s="201"/>
      <c r="AP171" s="71"/>
      <c r="AQ171" s="227"/>
      <c r="AR171" s="71"/>
      <c r="AS171" s="227"/>
      <c r="AT171" s="228"/>
      <c r="AU171" s="227"/>
      <c r="AV171" s="228"/>
      <c r="AW171" s="227"/>
      <c r="AX171" s="229" t="n">
        <f aca="false">SUM(R171+T171+V171+X171+Z171+AB171+AD171+AF171+AH171+AJ171+AL171+AN171+AP171+AR171)</f>
        <v>4</v>
      </c>
      <c r="AY171" s="230" t="n">
        <f aca="false">SUM(AX171*1000)/48</f>
        <v>83.3333333333333</v>
      </c>
      <c r="AZ171" s="231" t="n">
        <f aca="false">IFERROR(VLOOKUP(A171,'Site check'!$A$14:$O$47,15,0),0)</f>
        <v>0</v>
      </c>
      <c r="BA171" s="232" t="n">
        <f aca="false">SUM(AZ171*1000)/48</f>
        <v>0</v>
      </c>
      <c r="BB171" s="90" t="n">
        <f aca="false">SUM(P171/2)+E171</f>
        <v>56.6666666666667</v>
      </c>
      <c r="BC171" s="90" t="n">
        <f aca="false">SUM(P171/2)+F171</f>
        <v>81.6666666666667</v>
      </c>
    </row>
    <row r="172" customFormat="false" ht="13.15" hidden="false" customHeight="false" outlineLevel="0" collapsed="false">
      <c r="A172" s="0" t="str">
        <f aca="false">[2]Sheet1!A172</f>
        <v>BSHN03_SEC_DD770_CG01</v>
      </c>
      <c r="B172" s="0" t="str">
        <f aca="false">[2]Sheet1!B172</f>
        <v>BSHN03;DC SYS A</v>
      </c>
      <c r="C172" s="44" t="str">
        <f aca="false">[2]Sheet1!C172</f>
        <v>BSHN03</v>
      </c>
      <c r="D172" s="44" t="s">
        <v>458</v>
      </c>
      <c r="E172" s="0" t="n">
        <f aca="false">[2]Sheet1!D172</f>
        <v>100</v>
      </c>
      <c r="F172" s="0" t="n">
        <f aca="false">[2]Sheet1!E172</f>
        <v>120</v>
      </c>
      <c r="G172" s="45" t="n">
        <f aca="false">[2]Sheet1!F172</f>
        <v>44959</v>
      </c>
      <c r="H172" s="0" t="n">
        <f aca="false">[2]Sheet1!G172</f>
        <v>300</v>
      </c>
      <c r="I172" s="0" t="n">
        <f aca="false">[2]Sheet1!H172</f>
        <v>300</v>
      </c>
      <c r="J172" s="0" t="n">
        <f aca="false">[2]Sheet1!I172</f>
        <v>0</v>
      </c>
      <c r="K172" s="0" t="n">
        <f aca="false">[2]Sheet1!J172</f>
        <v>3</v>
      </c>
      <c r="L172" s="0" t="n">
        <f aca="false">[2]Sheet1!K172</f>
        <v>0</v>
      </c>
      <c r="M172" s="0" t="n">
        <f aca="false">[2]Sheet1!L172</f>
        <v>25</v>
      </c>
      <c r="N172" s="0" t="n">
        <f aca="false">[2]Sheet1!M172</f>
        <v>12</v>
      </c>
      <c r="O172" s="0" t="n">
        <f aca="false">[2]Sheet1!N172</f>
        <v>0</v>
      </c>
      <c r="P172" s="226" t="n">
        <f aca="false">SUM(AY172+BA172)</f>
        <v>0</v>
      </c>
      <c r="Q172" s="201"/>
      <c r="R172" s="71"/>
      <c r="S172" s="227"/>
      <c r="T172" s="71"/>
      <c r="U172" s="201"/>
      <c r="V172" s="71"/>
      <c r="W172" s="227"/>
      <c r="X172" s="71"/>
      <c r="Y172" s="201"/>
      <c r="Z172" s="71"/>
      <c r="AA172" s="227"/>
      <c r="AB172" s="71"/>
      <c r="AC172" s="201"/>
      <c r="AD172" s="71"/>
      <c r="AE172" s="227"/>
      <c r="AF172" s="71"/>
      <c r="AG172" s="201"/>
      <c r="AH172" s="71"/>
      <c r="AI172" s="227"/>
      <c r="AJ172" s="71"/>
      <c r="AK172" s="201"/>
      <c r="AL172" s="71"/>
      <c r="AM172" s="227"/>
      <c r="AN172" s="71"/>
      <c r="AO172" s="201"/>
      <c r="AP172" s="71"/>
      <c r="AQ172" s="227"/>
      <c r="AR172" s="71"/>
      <c r="AS172" s="227"/>
      <c r="AT172" s="228"/>
      <c r="AU172" s="227"/>
      <c r="AV172" s="228"/>
      <c r="AW172" s="227"/>
      <c r="AX172" s="229" t="n">
        <f aca="false">SUM(R172+T172+V172+X172+Z172+AB172+AD172+AF172+AH172+AJ172+AL172+AN172+AP172+AR172)</f>
        <v>0</v>
      </c>
      <c r="AY172" s="230" t="n">
        <f aca="false">SUM(AX172*1000)/48</f>
        <v>0</v>
      </c>
      <c r="AZ172" s="231" t="n">
        <f aca="false">IFERROR(VLOOKUP(A172,'Site check'!$A$14:$O$47,15,0),0)</f>
        <v>0</v>
      </c>
      <c r="BA172" s="232" t="n">
        <f aca="false">SUM(AZ172*1000)/48</f>
        <v>0</v>
      </c>
      <c r="BB172" s="90" t="n">
        <f aca="false">SUM(P172/2)+E172</f>
        <v>100</v>
      </c>
      <c r="BC172" s="90" t="n">
        <f aca="false">SUM(P172/2)+F172</f>
        <v>120</v>
      </c>
    </row>
    <row r="173" customFormat="false" ht="13.15" hidden="false" customHeight="false" outlineLevel="0" collapsed="false">
      <c r="A173" s="0" t="str">
        <f aca="false">[2]Sheet1!A173</f>
        <v>BSHN03_SEC_DD770_GH14</v>
      </c>
      <c r="B173" s="0" t="str">
        <f aca="false">[2]Sheet1!B173</f>
        <v>BSHN03;DC SYS A</v>
      </c>
      <c r="C173" s="44" t="str">
        <f aca="false">[2]Sheet1!C173</f>
        <v>BSHN03</v>
      </c>
      <c r="D173" s="44" t="s">
        <v>458</v>
      </c>
      <c r="E173" s="0" t="n">
        <f aca="false">[2]Sheet1!D173</f>
        <v>80</v>
      </c>
      <c r="F173" s="0" t="n">
        <f aca="false">[2]Sheet1!E173</f>
        <v>90</v>
      </c>
      <c r="G173" s="45" t="n">
        <f aca="false">[2]Sheet1!F173</f>
        <v>44959</v>
      </c>
      <c r="H173" s="0" t="n">
        <f aca="false">[2]Sheet1!G173</f>
        <v>300</v>
      </c>
      <c r="I173" s="0" t="n">
        <f aca="false">[2]Sheet1!H173</f>
        <v>300</v>
      </c>
      <c r="J173" s="0" t="n">
        <f aca="false">[2]Sheet1!I173</f>
        <v>3</v>
      </c>
      <c r="K173" s="0" t="n">
        <f aca="false">[2]Sheet1!J173</f>
        <v>0</v>
      </c>
      <c r="L173" s="0" t="n">
        <f aca="false">[2]Sheet1!K173</f>
        <v>0</v>
      </c>
      <c r="M173" s="0" t="n">
        <f aca="false">[2]Sheet1!L173</f>
        <v>7</v>
      </c>
      <c r="N173" s="0" t="n">
        <f aca="false">[2]Sheet1!M173</f>
        <v>10</v>
      </c>
      <c r="O173" s="0" t="n">
        <f aca="false">[2]Sheet1!N173</f>
        <v>0</v>
      </c>
      <c r="P173" s="226" t="n">
        <f aca="false">SUM(AY173+BA173)</f>
        <v>91.6666666666667</v>
      </c>
      <c r="Q173" s="179" t="s">
        <v>1069</v>
      </c>
      <c r="R173" s="180" t="n">
        <v>2.2</v>
      </c>
      <c r="S173" s="179" t="s">
        <v>1070</v>
      </c>
      <c r="T173" s="180" t="n">
        <v>2.2</v>
      </c>
      <c r="U173" s="201"/>
      <c r="V173" s="71"/>
      <c r="W173" s="227"/>
      <c r="X173" s="71"/>
      <c r="Y173" s="201"/>
      <c r="Z173" s="71"/>
      <c r="AA173" s="227"/>
      <c r="AB173" s="71"/>
      <c r="AC173" s="201"/>
      <c r="AD173" s="71"/>
      <c r="AE173" s="227"/>
      <c r="AF173" s="71"/>
      <c r="AG173" s="201"/>
      <c r="AH173" s="71"/>
      <c r="AI173" s="227"/>
      <c r="AJ173" s="71"/>
      <c r="AK173" s="201"/>
      <c r="AL173" s="71"/>
      <c r="AM173" s="227"/>
      <c r="AN173" s="71"/>
      <c r="AO173" s="201"/>
      <c r="AP173" s="71"/>
      <c r="AQ173" s="227"/>
      <c r="AR173" s="71"/>
      <c r="AS173" s="227"/>
      <c r="AT173" s="228"/>
      <c r="AU173" s="227"/>
      <c r="AV173" s="228"/>
      <c r="AW173" s="227"/>
      <c r="AX173" s="229" t="n">
        <f aca="false">SUM(R173+T173+V173+X173+Z173+AB173+AD173+AF173+AH173+AJ173+AL173+AN173+AP173+AR173)</f>
        <v>4.4</v>
      </c>
      <c r="AY173" s="230" t="n">
        <f aca="false">SUM(AX173*1000)/48</f>
        <v>91.6666666666667</v>
      </c>
      <c r="AZ173" s="231" t="n">
        <f aca="false">IFERROR(VLOOKUP(A173,'Site check'!$A$14:$O$47,15,0),0)</f>
        <v>0</v>
      </c>
      <c r="BA173" s="232" t="n">
        <f aca="false">SUM(AZ173*1000)/48</f>
        <v>0</v>
      </c>
      <c r="BB173" s="90" t="n">
        <f aca="false">SUM(P173/2)+E173</f>
        <v>125.833333333333</v>
      </c>
      <c r="BC173" s="90" t="n">
        <f aca="false">SUM(P173/2)+F173</f>
        <v>135.833333333333</v>
      </c>
    </row>
    <row r="174" customFormat="false" ht="13.15" hidden="false" customHeight="false" outlineLevel="0" collapsed="false">
      <c r="A174" s="0" t="str">
        <f aca="false">[2]Sheet1!A174</f>
        <v>BSHN07_SEC_CBDB_E01</v>
      </c>
      <c r="B174" s="0" t="str">
        <f aca="false">[2]Sheet1!B174</f>
        <v>BSH;DC SYS01A</v>
      </c>
      <c r="C174" s="44" t="str">
        <f aca="false">[2]Sheet1!C174</f>
        <v>BSHN07</v>
      </c>
      <c r="D174" s="44" t="s">
        <v>456</v>
      </c>
      <c r="E174" s="0" t="n">
        <f aca="false">[2]Sheet1!D174</f>
        <v>166</v>
      </c>
      <c r="F174" s="0" t="n">
        <f aca="false">[2]Sheet1!E174</f>
        <v>147</v>
      </c>
      <c r="G174" s="45" t="n">
        <f aca="false">[2]Sheet1!F174</f>
        <v>44964</v>
      </c>
      <c r="H174" s="0" t="n">
        <f aca="false">[2]Sheet1!G174</f>
        <v>300</v>
      </c>
      <c r="I174" s="0" t="n">
        <f aca="false">[2]Sheet1!H174</f>
        <v>300</v>
      </c>
      <c r="J174" s="0" t="n">
        <f aca="false">[2]Sheet1!I174</f>
        <v>0</v>
      </c>
      <c r="K174" s="0" t="n">
        <f aca="false">[2]Sheet1!J174</f>
        <v>0</v>
      </c>
      <c r="L174" s="0" t="n">
        <f aca="false">[2]Sheet1!K174</f>
        <v>11</v>
      </c>
      <c r="M174" s="0" t="n">
        <f aca="false">[2]Sheet1!L174</f>
        <v>0</v>
      </c>
      <c r="N174" s="0" t="n">
        <f aca="false">[2]Sheet1!M174</f>
        <v>0</v>
      </c>
      <c r="O174" s="0" t="n">
        <f aca="false">[2]Sheet1!N174</f>
        <v>37</v>
      </c>
      <c r="P174" s="226" t="n">
        <f aca="false">SUM(AY174+BA174)</f>
        <v>79.1666666666667</v>
      </c>
      <c r="Q174" s="179" t="s">
        <v>1485</v>
      </c>
      <c r="R174" s="233" t="n">
        <v>2</v>
      </c>
      <c r="S174" s="179" t="s">
        <v>1063</v>
      </c>
      <c r="T174" s="233" t="n">
        <v>1.8</v>
      </c>
      <c r="U174" s="201"/>
      <c r="V174" s="71"/>
      <c r="W174" s="227"/>
      <c r="X174" s="71"/>
      <c r="Y174" s="201"/>
      <c r="Z174" s="71"/>
      <c r="AA174" s="227"/>
      <c r="AB174" s="71"/>
      <c r="AC174" s="201"/>
      <c r="AD174" s="71"/>
      <c r="AE174" s="227"/>
      <c r="AF174" s="71"/>
      <c r="AG174" s="201"/>
      <c r="AH174" s="71"/>
      <c r="AI174" s="227"/>
      <c r="AJ174" s="71"/>
      <c r="AK174" s="201"/>
      <c r="AL174" s="71"/>
      <c r="AM174" s="227"/>
      <c r="AN174" s="71"/>
      <c r="AO174" s="201"/>
      <c r="AP174" s="71"/>
      <c r="AQ174" s="227"/>
      <c r="AR174" s="71"/>
      <c r="AS174" s="227"/>
      <c r="AT174" s="228"/>
      <c r="AU174" s="227"/>
      <c r="AV174" s="228"/>
      <c r="AW174" s="227"/>
      <c r="AX174" s="229" t="n">
        <f aca="false">SUM(R174+T174+V174+X174+Z174+AB174+AD174+AF174+AH174+AJ174+AL174+AN174+AP174+AR174)</f>
        <v>3.8</v>
      </c>
      <c r="AY174" s="230" t="n">
        <f aca="false">SUM(AX174*1000)/48</f>
        <v>79.1666666666667</v>
      </c>
      <c r="AZ174" s="231" t="n">
        <f aca="false">IFERROR(VLOOKUP(A174,'Site check'!$A$14:$O$47,15,0),0)</f>
        <v>0</v>
      </c>
      <c r="BA174" s="232" t="n">
        <f aca="false">SUM(AZ174*1000)/48</f>
        <v>0</v>
      </c>
      <c r="BB174" s="90" t="n">
        <f aca="false">SUM(P174/2)+E174</f>
        <v>205.583333333333</v>
      </c>
      <c r="BC174" s="90" t="n">
        <f aca="false">SUM(P174/2)+F174</f>
        <v>186.583333333333</v>
      </c>
    </row>
    <row r="175" customFormat="false" ht="13.15" hidden="false" customHeight="false" outlineLevel="0" collapsed="false">
      <c r="A175" s="0" t="str">
        <f aca="false">[2]Sheet1!A175</f>
        <v>BSHN07_SEC_DD770_LL03</v>
      </c>
      <c r="B175" s="0" t="str">
        <f aca="false">[2]Sheet1!B175</f>
        <v>BSH;DC SYS01A</v>
      </c>
      <c r="C175" s="44" t="str">
        <f aca="false">[2]Sheet1!C175</f>
        <v>BSHN07</v>
      </c>
      <c r="D175" s="44" t="s">
        <v>456</v>
      </c>
      <c r="E175" s="0" t="n">
        <f aca="false">[2]Sheet1!D175</f>
        <v>250</v>
      </c>
      <c r="F175" s="0" t="n">
        <f aca="false">[2]Sheet1!E175</f>
        <v>275</v>
      </c>
      <c r="G175" s="45" t="n">
        <f aca="false">[2]Sheet1!F175</f>
        <v>44964</v>
      </c>
      <c r="H175" s="0" t="n">
        <f aca="false">[2]Sheet1!G175</f>
        <v>300</v>
      </c>
      <c r="I175" s="0" t="n">
        <f aca="false">[2]Sheet1!H175</f>
        <v>300</v>
      </c>
      <c r="J175" s="0" t="n">
        <f aca="false">[2]Sheet1!I175</f>
        <v>4</v>
      </c>
      <c r="K175" s="0" t="n">
        <f aca="false">[2]Sheet1!J175</f>
        <v>1</v>
      </c>
      <c r="L175" s="0" t="n">
        <f aca="false">[2]Sheet1!K175</f>
        <v>0</v>
      </c>
      <c r="M175" s="0" t="n">
        <f aca="false">[2]Sheet1!L175</f>
        <v>2</v>
      </c>
      <c r="N175" s="0" t="n">
        <f aca="false">[2]Sheet1!M175</f>
        <v>12</v>
      </c>
      <c r="O175" s="0" t="n">
        <f aca="false">[2]Sheet1!N175</f>
        <v>0</v>
      </c>
      <c r="P175" s="226" t="n">
        <f aca="false">SUM(AY175+BA175)</f>
        <v>0</v>
      </c>
      <c r="Q175" s="201"/>
      <c r="R175" s="71"/>
      <c r="S175" s="227"/>
      <c r="T175" s="71"/>
      <c r="U175" s="201"/>
      <c r="V175" s="71"/>
      <c r="W175" s="227"/>
      <c r="X175" s="71"/>
      <c r="Y175" s="201"/>
      <c r="Z175" s="71"/>
      <c r="AA175" s="227"/>
      <c r="AB175" s="71"/>
      <c r="AC175" s="201"/>
      <c r="AD175" s="71"/>
      <c r="AE175" s="227"/>
      <c r="AF175" s="71"/>
      <c r="AG175" s="201"/>
      <c r="AH175" s="71"/>
      <c r="AI175" s="227"/>
      <c r="AJ175" s="71"/>
      <c r="AK175" s="201"/>
      <c r="AL175" s="71"/>
      <c r="AM175" s="227"/>
      <c r="AN175" s="71"/>
      <c r="AO175" s="201"/>
      <c r="AP175" s="71"/>
      <c r="AQ175" s="227"/>
      <c r="AR175" s="71"/>
      <c r="AS175" s="227"/>
      <c r="AT175" s="228"/>
      <c r="AU175" s="227"/>
      <c r="AV175" s="228"/>
      <c r="AW175" s="227"/>
      <c r="AX175" s="229" t="n">
        <f aca="false">SUM(R175+T175+V175+X175+Z175+AB175+AD175+AF175+AH175+AJ175+AL175+AN175+AP175+AR175)</f>
        <v>0</v>
      </c>
      <c r="AY175" s="230" t="n">
        <f aca="false">SUM(AX175*1000)/48</f>
        <v>0</v>
      </c>
      <c r="AZ175" s="231" t="n">
        <f aca="false">IFERROR(VLOOKUP(A175,'Site check'!$A$14:$O$47,15,0),0)</f>
        <v>0</v>
      </c>
      <c r="BA175" s="232" t="n">
        <f aca="false">SUM(AZ175*1000)/48</f>
        <v>0</v>
      </c>
      <c r="BB175" s="90" t="n">
        <f aca="false">SUM(P175/2)+E175</f>
        <v>250</v>
      </c>
      <c r="BC175" s="90" t="n">
        <f aca="false">SUM(P175/2)+F175</f>
        <v>275</v>
      </c>
    </row>
    <row r="176" customFormat="false" ht="12.75" hidden="false" customHeight="false" outlineLevel="0" collapsed="false">
      <c r="A176" s="0" t="str">
        <f aca="false">[2]Sheet1!A176</f>
        <v>BSHN08_PDU1A_B</v>
      </c>
      <c r="B176" s="0" t="str">
        <f aca="false">[2]Sheet1!B176</f>
        <v>BSH;DC SYS01A</v>
      </c>
      <c r="C176" s="44" t="str">
        <f aca="false">[2]Sheet1!C176</f>
        <v>BSHN08</v>
      </c>
      <c r="D176" s="44" t="s">
        <v>841</v>
      </c>
      <c r="E176" s="0" t="n">
        <f aca="false">[2]Sheet1!D176</f>
        <v>228.16</v>
      </c>
      <c r="F176" s="0" t="n">
        <f aca="false">[2]Sheet1!E176</f>
        <v>228.16</v>
      </c>
      <c r="G176" s="45" t="n">
        <f aca="false">[2]Sheet1!F176</f>
        <v>45631</v>
      </c>
      <c r="H176" s="0" t="n">
        <f aca="false">[2]Sheet1!G176</f>
        <v>360</v>
      </c>
      <c r="I176" s="0" t="n">
        <f aca="false">[2]Sheet1!H176</f>
        <v>360</v>
      </c>
      <c r="J176" s="0" t="n">
        <f aca="false">[2]Sheet1!I176</f>
        <v>0</v>
      </c>
      <c r="K176" s="0" t="n">
        <f aca="false">[2]Sheet1!J176</f>
        <v>0</v>
      </c>
      <c r="L176" s="0" t="n">
        <f aca="false">[2]Sheet1!K176</f>
        <v>0</v>
      </c>
      <c r="M176" s="0" t="n">
        <f aca="false">[2]Sheet1!L176</f>
        <v>0</v>
      </c>
      <c r="N176" s="0" t="n">
        <f aca="false">[2]Sheet1!M176</f>
        <v>0</v>
      </c>
      <c r="O176" s="0" t="n">
        <f aca="false">[2]Sheet1!N176</f>
        <v>0</v>
      </c>
      <c r="P176" s="226" t="n">
        <f aca="false">SUM(AY176+BA176)</f>
        <v>406.25</v>
      </c>
      <c r="Q176" s="170" t="s">
        <v>1046</v>
      </c>
      <c r="R176" s="234" t="n">
        <v>2</v>
      </c>
      <c r="S176" s="181" t="s">
        <v>1059</v>
      </c>
      <c r="T176" s="175" t="n">
        <v>0.8</v>
      </c>
      <c r="U176" s="173" t="s">
        <v>1048</v>
      </c>
      <c r="V176" s="236" t="n">
        <v>2.5</v>
      </c>
      <c r="W176" s="173" t="s">
        <v>1049</v>
      </c>
      <c r="X176" s="236" t="n">
        <v>2.5</v>
      </c>
      <c r="Y176" s="173" t="s">
        <v>1050</v>
      </c>
      <c r="Z176" s="236" t="n">
        <v>2.6</v>
      </c>
      <c r="AA176" s="173" t="s">
        <v>1051</v>
      </c>
      <c r="AB176" s="236" t="n">
        <v>2.2</v>
      </c>
      <c r="AC176" s="173" t="s">
        <v>1486</v>
      </c>
      <c r="AD176" s="236" t="n">
        <v>2</v>
      </c>
      <c r="AE176" s="227" t="s">
        <v>1487</v>
      </c>
      <c r="AF176" s="243" t="n">
        <v>3</v>
      </c>
      <c r="AG176" s="170" t="s">
        <v>1060</v>
      </c>
      <c r="AH176" s="234" t="n">
        <v>0.8</v>
      </c>
      <c r="AI176" s="173" t="s">
        <v>1047</v>
      </c>
      <c r="AJ176" s="174" t="n">
        <v>1.1</v>
      </c>
      <c r="AK176" s="201"/>
      <c r="AL176" s="71"/>
      <c r="AM176" s="227"/>
      <c r="AN176" s="71"/>
      <c r="AO176" s="201"/>
      <c r="AP176" s="71"/>
      <c r="AQ176" s="227"/>
      <c r="AR176" s="71"/>
      <c r="AS176" s="227"/>
      <c r="AT176" s="228"/>
      <c r="AU176" s="227"/>
      <c r="AV176" s="228"/>
      <c r="AW176" s="227"/>
      <c r="AX176" s="229" t="n">
        <f aca="false">SUM(R176+T176+V176+X176+Z176+AB176+AD176+AF176+AH176+AJ176+AL176+AN176+AP176+AR176)</f>
        <v>19.5</v>
      </c>
      <c r="AY176" s="230" t="n">
        <f aca="false">SUM(AX176*1000)/48</f>
        <v>406.25</v>
      </c>
      <c r="AZ176" s="231" t="n">
        <f aca="false">IFERROR(VLOOKUP(A176,'Site check'!$A$14:$O$47,15,0),0)</f>
        <v>0</v>
      </c>
      <c r="BA176" s="232" t="n">
        <f aca="false">SUM(AZ176*1000)/48</f>
        <v>0</v>
      </c>
      <c r="BB176" s="90" t="n">
        <f aca="false">SUM(P176/2)+E176</f>
        <v>431.285</v>
      </c>
      <c r="BC176" s="90" t="n">
        <f aca="false">SUM(P176/2)+F176</f>
        <v>431.285</v>
      </c>
    </row>
    <row r="177" customFormat="false" ht="13.15" hidden="false" customHeight="false" outlineLevel="0" collapsed="false">
      <c r="A177" s="0" t="str">
        <f aca="false">[2]Sheet1!A177</f>
        <v>SOLN02_SEC_DD770_DE01</v>
      </c>
      <c r="B177" s="0" t="str">
        <f aca="false">[2]Sheet1!B177</f>
        <v>SOL;DC SYS01</v>
      </c>
      <c r="C177" s="44" t="str">
        <f aca="false">[2]Sheet1!C177</f>
        <v>SOLN02</v>
      </c>
      <c r="D177" s="44" t="s">
        <v>768</v>
      </c>
      <c r="E177" s="0" t="n">
        <f aca="false">[2]Sheet1!D177</f>
        <v>60</v>
      </c>
      <c r="F177" s="0" t="n">
        <f aca="false">[2]Sheet1!E177</f>
        <v>60</v>
      </c>
      <c r="G177" s="45" t="n">
        <f aca="false">[2]Sheet1!F177</f>
        <v>44117</v>
      </c>
      <c r="H177" s="0" t="n">
        <f aca="false">[2]Sheet1!G177</f>
        <v>300</v>
      </c>
      <c r="I177" s="0" t="n">
        <f aca="false">[2]Sheet1!H177</f>
        <v>300</v>
      </c>
      <c r="J177" s="0" t="n">
        <f aca="false">[2]Sheet1!I177</f>
        <v>5</v>
      </c>
      <c r="K177" s="0" t="n">
        <f aca="false">[2]Sheet1!J177</f>
        <v>6</v>
      </c>
      <c r="L177" s="0" t="n">
        <f aca="false">[2]Sheet1!K177</f>
        <v>6</v>
      </c>
      <c r="M177" s="0" t="n">
        <f aca="false">[2]Sheet1!L177</f>
        <v>11</v>
      </c>
      <c r="N177" s="0" t="n">
        <f aca="false">[2]Sheet1!M177</f>
        <v>12</v>
      </c>
      <c r="O177" s="0" t="n">
        <f aca="false">[2]Sheet1!N177</f>
        <v>0</v>
      </c>
      <c r="P177" s="226" t="n">
        <f aca="false">SUM(AY177+BA177)</f>
        <v>0</v>
      </c>
      <c r="Q177" s="201"/>
      <c r="R177" s="71"/>
      <c r="S177" s="227"/>
      <c r="T177" s="71"/>
      <c r="U177" s="201"/>
      <c r="V177" s="71"/>
      <c r="W177" s="227"/>
      <c r="X177" s="71"/>
      <c r="Y177" s="201"/>
      <c r="Z177" s="71"/>
      <c r="AA177" s="227"/>
      <c r="AB177" s="71"/>
      <c r="AC177" s="201"/>
      <c r="AD177" s="71"/>
      <c r="AE177" s="227"/>
      <c r="AF177" s="71"/>
      <c r="AG177" s="201"/>
      <c r="AH177" s="71"/>
      <c r="AI177" s="227"/>
      <c r="AJ177" s="71"/>
      <c r="AK177" s="201"/>
      <c r="AL177" s="71"/>
      <c r="AM177" s="227"/>
      <c r="AN177" s="71"/>
      <c r="AO177" s="201"/>
      <c r="AP177" s="71"/>
      <c r="AQ177" s="227"/>
      <c r="AR177" s="71"/>
      <c r="AS177" s="227"/>
      <c r="AT177" s="228"/>
      <c r="AU177" s="227"/>
      <c r="AV177" s="228"/>
      <c r="AW177" s="227"/>
      <c r="AX177" s="229" t="n">
        <f aca="false">SUM(R177+T177+V177+X177+Z177+AB177+AD177+AF177+AH177+AJ177+AL177+AN177+AP177+AR177)</f>
        <v>0</v>
      </c>
      <c r="AY177" s="230" t="n">
        <f aca="false">SUM(AX177*1000)/48</f>
        <v>0</v>
      </c>
      <c r="AZ177" s="231" t="n">
        <f aca="false">IFERROR(VLOOKUP(A177,'Site check'!$A$14:$O$47,15,0),0)</f>
        <v>0</v>
      </c>
      <c r="BA177" s="232" t="n">
        <f aca="false">SUM(AZ177*1000)/48</f>
        <v>0</v>
      </c>
      <c r="BB177" s="90" t="n">
        <f aca="false">SUM(P177/2)+E177</f>
        <v>60</v>
      </c>
      <c r="BC177" s="90" t="n">
        <f aca="false">SUM(P177/2)+F177</f>
        <v>60</v>
      </c>
    </row>
    <row r="178" customFormat="false" ht="13.15" hidden="false" customHeight="false" outlineLevel="0" collapsed="false">
      <c r="A178" s="0" t="str">
        <f aca="false">[2]Sheet1!A178</f>
        <v>SOLN02_SEC_DD770_GF01</v>
      </c>
      <c r="B178" s="0" t="str">
        <f aca="false">[2]Sheet1!B178</f>
        <v>SOL;DC SYS01</v>
      </c>
      <c r="C178" s="44" t="str">
        <f aca="false">[2]Sheet1!C178</f>
        <v>SOLN02</v>
      </c>
      <c r="D178" s="44" t="s">
        <v>768</v>
      </c>
      <c r="E178" s="0" t="n">
        <f aca="false">[2]Sheet1!D178</f>
        <v>20</v>
      </c>
      <c r="F178" s="0" t="n">
        <f aca="false">[2]Sheet1!E178</f>
        <v>30</v>
      </c>
      <c r="G178" s="45" t="n">
        <f aca="false">[2]Sheet1!F178</f>
        <v>0</v>
      </c>
      <c r="H178" s="0" t="n">
        <f aca="false">[2]Sheet1!G178</f>
        <v>300</v>
      </c>
      <c r="I178" s="0" t="n">
        <f aca="false">[2]Sheet1!H178</f>
        <v>300</v>
      </c>
      <c r="J178" s="0" t="n">
        <f aca="false">[2]Sheet1!I178</f>
        <v>6</v>
      </c>
      <c r="K178" s="0" t="n">
        <f aca="false">[2]Sheet1!J178</f>
        <v>6</v>
      </c>
      <c r="L178" s="0" t="n">
        <f aca="false">[2]Sheet1!K178</f>
        <v>1</v>
      </c>
      <c r="M178" s="0" t="n">
        <f aca="false">[2]Sheet1!L178</f>
        <v>23</v>
      </c>
      <c r="N178" s="0" t="n">
        <f aca="false">[2]Sheet1!M178</f>
        <v>12</v>
      </c>
      <c r="O178" s="0" t="n">
        <f aca="false">[2]Sheet1!N178</f>
        <v>0</v>
      </c>
      <c r="P178" s="226" t="n">
        <f aca="false">SUM(AY178+BA178)</f>
        <v>41.6666666666667</v>
      </c>
      <c r="Q178" s="170" t="s">
        <v>1488</v>
      </c>
      <c r="R178" s="234" t="n">
        <v>1</v>
      </c>
      <c r="S178" s="193" t="s">
        <v>1383</v>
      </c>
      <c r="T178" s="240" t="n">
        <v>1</v>
      </c>
      <c r="U178" s="201"/>
      <c r="V178" s="71"/>
      <c r="W178" s="227"/>
      <c r="X178" s="71"/>
      <c r="Y178" s="201"/>
      <c r="Z178" s="71"/>
      <c r="AA178" s="227"/>
      <c r="AB178" s="71"/>
      <c r="AC178" s="201"/>
      <c r="AD178" s="71"/>
      <c r="AE178" s="227"/>
      <c r="AF178" s="71"/>
      <c r="AG178" s="201"/>
      <c r="AH178" s="71"/>
      <c r="AI178" s="227"/>
      <c r="AJ178" s="71"/>
      <c r="AK178" s="201"/>
      <c r="AL178" s="71"/>
      <c r="AM178" s="227"/>
      <c r="AN178" s="71"/>
      <c r="AO178" s="201"/>
      <c r="AP178" s="71"/>
      <c r="AQ178" s="227"/>
      <c r="AR178" s="71"/>
      <c r="AS178" s="227"/>
      <c r="AT178" s="228"/>
      <c r="AU178" s="227"/>
      <c r="AV178" s="228"/>
      <c r="AW178" s="227"/>
      <c r="AX178" s="229" t="n">
        <f aca="false">SUM(R178+T178+V178+X178+Z178+AB178+AD178+AF178+AH178+AJ178+AL178+AN178+AP178+AR178)</f>
        <v>2</v>
      </c>
      <c r="AY178" s="230" t="n">
        <f aca="false">SUM(AX178*1000)/48</f>
        <v>41.6666666666667</v>
      </c>
      <c r="AZ178" s="231" t="n">
        <f aca="false">IFERROR(VLOOKUP(A178,'Site check'!$A$14:$O$47,15,0),0)</f>
        <v>0</v>
      </c>
      <c r="BA178" s="232" t="n">
        <f aca="false">SUM(AZ178*1000)/48</f>
        <v>0</v>
      </c>
      <c r="BB178" s="90" t="n">
        <f aca="false">SUM(P178/2)+E178</f>
        <v>40.8333333333333</v>
      </c>
      <c r="BC178" s="90" t="n">
        <f aca="false">SUM(P178/2)+F178</f>
        <v>50.8333333333333</v>
      </c>
    </row>
    <row r="179" customFormat="false" ht="13.15" hidden="false" customHeight="false" outlineLevel="0" collapsed="false">
      <c r="A179" s="0" t="str">
        <f aca="false">[2]Sheet1!A179</f>
        <v>SOT_SEC_DCDB_ WALL_Suite GH - Rack 03</v>
      </c>
      <c r="B179" s="0" t="str">
        <f aca="false">[2]Sheet1!B179</f>
        <v>SOT;DC SYS01</v>
      </c>
      <c r="C179" s="44" t="str">
        <f aca="false">[2]Sheet1!C179</f>
        <v>SOT</v>
      </c>
      <c r="D179" s="44" t="s">
        <v>772</v>
      </c>
      <c r="E179" s="0" t="n">
        <f aca="false">[2]Sheet1!D179</f>
        <v>113</v>
      </c>
      <c r="F179" s="0" t="n">
        <f aca="false">[2]Sheet1!E179</f>
        <v>110</v>
      </c>
      <c r="G179" s="45" t="n">
        <f aca="false">[2]Sheet1!F179</f>
        <v>45082</v>
      </c>
      <c r="H179" s="0" t="n">
        <f aca="false">[2]Sheet1!G179</f>
        <v>300</v>
      </c>
      <c r="I179" s="0" t="n">
        <f aca="false">[2]Sheet1!H179</f>
        <v>300</v>
      </c>
      <c r="J179" s="0" t="n">
        <f aca="false">[2]Sheet1!I179</f>
        <v>1</v>
      </c>
      <c r="K179" s="0" t="n">
        <f aca="false">[2]Sheet1!J179</f>
        <v>0</v>
      </c>
      <c r="L179" s="0" t="n">
        <f aca="false">[2]Sheet1!K179</f>
        <v>3</v>
      </c>
      <c r="M179" s="0" t="n">
        <f aca="false">[2]Sheet1!L179</f>
        <v>0</v>
      </c>
      <c r="N179" s="0" t="n">
        <f aca="false">[2]Sheet1!M179</f>
        <v>0</v>
      </c>
      <c r="O179" s="0" t="n">
        <f aca="false">[2]Sheet1!N179</f>
        <v>26</v>
      </c>
      <c r="P179" s="226" t="n">
        <f aca="false">SUM(AY179+BA179)</f>
        <v>20.8333333333333</v>
      </c>
      <c r="Q179" s="177" t="s">
        <v>1385</v>
      </c>
      <c r="R179" s="237" t="n">
        <v>1</v>
      </c>
      <c r="S179" s="227"/>
      <c r="T179" s="71"/>
      <c r="U179" s="201"/>
      <c r="V179" s="71"/>
      <c r="W179" s="227"/>
      <c r="X179" s="71"/>
      <c r="Y179" s="201"/>
      <c r="Z179" s="71"/>
      <c r="AA179" s="227"/>
      <c r="AB179" s="71"/>
      <c r="AC179" s="201"/>
      <c r="AD179" s="71"/>
      <c r="AE179" s="227"/>
      <c r="AF179" s="71"/>
      <c r="AG179" s="201"/>
      <c r="AH179" s="71"/>
      <c r="AI179" s="227"/>
      <c r="AJ179" s="71"/>
      <c r="AK179" s="201"/>
      <c r="AL179" s="71"/>
      <c r="AM179" s="227"/>
      <c r="AN179" s="71"/>
      <c r="AO179" s="201"/>
      <c r="AP179" s="71"/>
      <c r="AQ179" s="227"/>
      <c r="AR179" s="71"/>
      <c r="AS179" s="227"/>
      <c r="AT179" s="228"/>
      <c r="AU179" s="227"/>
      <c r="AV179" s="228"/>
      <c r="AW179" s="227"/>
      <c r="AX179" s="229" t="n">
        <f aca="false">SUM(R179+T179+V179+X179+Z179+AB179+AD179+AF179+AH179+AJ179+AL179+AN179+AP179+AR179)</f>
        <v>1</v>
      </c>
      <c r="AY179" s="230" t="n">
        <f aca="false">SUM(AX179*1000)/48</f>
        <v>20.8333333333333</v>
      </c>
      <c r="AZ179" s="231" t="n">
        <f aca="false">IFERROR(VLOOKUP(A179,'Site check'!$A$14:$O$47,15,0),0)</f>
        <v>0</v>
      </c>
      <c r="BA179" s="232" t="n">
        <f aca="false">SUM(AZ179*1000)/48</f>
        <v>0</v>
      </c>
      <c r="BB179" s="90" t="n">
        <f aca="false">SUM(P179/2)+E179</f>
        <v>123.416666666667</v>
      </c>
      <c r="BC179" s="90" t="n">
        <f aca="false">SUM(P179/2)+F179</f>
        <v>120.416666666667</v>
      </c>
    </row>
    <row r="180" customFormat="false" ht="13.15" hidden="false" customHeight="false" outlineLevel="0" collapsed="false">
      <c r="A180" s="0" t="str">
        <f aca="false">[2]Sheet1!A180</f>
        <v>SOT_SEC_WALL_DCDB_01_No DCDB found</v>
      </c>
      <c r="B180" s="0" t="str">
        <f aca="false">[2]Sheet1!B180</f>
        <v>SOT;DC SYS01</v>
      </c>
      <c r="C180" s="44" t="str">
        <f aca="false">[2]Sheet1!C180</f>
        <v>SOT</v>
      </c>
      <c r="D180" s="44" t="s">
        <v>772</v>
      </c>
      <c r="E180" s="0" t="n">
        <f aca="false">[2]Sheet1!D180</f>
        <v>0</v>
      </c>
      <c r="F180" s="0" t="n">
        <f aca="false">[2]Sheet1!E180</f>
        <v>0</v>
      </c>
      <c r="G180" s="45" t="n">
        <f aca="false">[2]Sheet1!F180</f>
        <v>0</v>
      </c>
      <c r="H180" s="0" t="n">
        <f aca="false">[2]Sheet1!G180</f>
        <v>0</v>
      </c>
      <c r="I180" s="0" t="n">
        <f aca="false">[2]Sheet1!H180</f>
        <v>0</v>
      </c>
      <c r="J180" s="0" t="n">
        <f aca="false">[2]Sheet1!I180</f>
        <v>0</v>
      </c>
      <c r="K180" s="0" t="n">
        <f aca="false">[2]Sheet1!J180</f>
        <v>0</v>
      </c>
      <c r="L180" s="0" t="n">
        <f aca="false">[2]Sheet1!K180</f>
        <v>0</v>
      </c>
      <c r="M180" s="0" t="n">
        <f aca="false">[2]Sheet1!L180</f>
        <v>0</v>
      </c>
      <c r="N180" s="0" t="n">
        <f aca="false">[2]Sheet1!M180</f>
        <v>0</v>
      </c>
      <c r="O180" s="0" t="n">
        <f aca="false">[2]Sheet1!N180</f>
        <v>0</v>
      </c>
      <c r="P180" s="226" t="n">
        <f aca="false">SUM(AY180+BA180)</f>
        <v>0</v>
      </c>
      <c r="Q180" s="201"/>
      <c r="R180" s="71"/>
      <c r="S180" s="227"/>
      <c r="T180" s="71"/>
      <c r="U180" s="201"/>
      <c r="V180" s="71"/>
      <c r="W180" s="227"/>
      <c r="X180" s="71"/>
      <c r="Y180" s="201"/>
      <c r="Z180" s="71"/>
      <c r="AA180" s="227"/>
      <c r="AB180" s="71"/>
      <c r="AC180" s="201"/>
      <c r="AD180" s="71"/>
      <c r="AE180" s="227"/>
      <c r="AF180" s="71"/>
      <c r="AG180" s="201"/>
      <c r="AH180" s="71"/>
      <c r="AI180" s="227"/>
      <c r="AJ180" s="71"/>
      <c r="AK180" s="201"/>
      <c r="AL180" s="71"/>
      <c r="AM180" s="227"/>
      <c r="AN180" s="71"/>
      <c r="AO180" s="201"/>
      <c r="AP180" s="71"/>
      <c r="AQ180" s="227"/>
      <c r="AR180" s="71"/>
      <c r="AS180" s="227"/>
      <c r="AT180" s="228"/>
      <c r="AU180" s="227"/>
      <c r="AV180" s="228"/>
      <c r="AW180" s="227"/>
      <c r="AX180" s="229" t="n">
        <f aca="false">SUM(R180+T180+V180+X180+Z180+AB180+AD180+AF180+AH180+AJ180+AL180+AN180+AP180+AR180)</f>
        <v>0</v>
      </c>
      <c r="AY180" s="230" t="n">
        <f aca="false">SUM(AX180*1000)/48</f>
        <v>0</v>
      </c>
      <c r="AZ180" s="231" t="n">
        <f aca="false">IFERROR(VLOOKUP(A180,'Site check'!$A$14:$O$47,15,0),0)</f>
        <v>0</v>
      </c>
      <c r="BA180" s="232" t="n">
        <f aca="false">SUM(AZ180*1000)/48</f>
        <v>0</v>
      </c>
      <c r="BB180" s="90" t="n">
        <f aca="false">SUM(P180/2)+E180</f>
        <v>0</v>
      </c>
      <c r="BC180" s="90" t="n">
        <f aca="false">SUM(P180/2)+F180</f>
        <v>0</v>
      </c>
    </row>
    <row r="181" customFormat="false" ht="13.15" hidden="false" customHeight="false" outlineLevel="0" collapsed="false">
      <c r="A181" s="0" t="str">
        <f aca="false">[2]Sheet1!A181</f>
        <v>SOT_SEC_WALL_DCDB_02_No DCDB found</v>
      </c>
      <c r="B181" s="0" t="str">
        <f aca="false">[2]Sheet1!B181</f>
        <v>SOT;DC SYS01</v>
      </c>
      <c r="C181" s="44" t="str">
        <f aca="false">[2]Sheet1!C181</f>
        <v>SOT</v>
      </c>
      <c r="D181" s="44" t="s">
        <v>772</v>
      </c>
      <c r="E181" s="0" t="n">
        <f aca="false">[2]Sheet1!D181</f>
        <v>0</v>
      </c>
      <c r="F181" s="0" t="n">
        <f aca="false">[2]Sheet1!E181</f>
        <v>0</v>
      </c>
      <c r="G181" s="45" t="n">
        <f aca="false">[2]Sheet1!F181</f>
        <v>0</v>
      </c>
      <c r="H181" s="0" t="n">
        <f aca="false">[2]Sheet1!G181</f>
        <v>0</v>
      </c>
      <c r="I181" s="0" t="n">
        <f aca="false">[2]Sheet1!H181</f>
        <v>0</v>
      </c>
      <c r="J181" s="0" t="n">
        <f aca="false">[2]Sheet1!I181</f>
        <v>0</v>
      </c>
      <c r="K181" s="0" t="n">
        <f aca="false">[2]Sheet1!J181</f>
        <v>1</v>
      </c>
      <c r="L181" s="0" t="n">
        <f aca="false">[2]Sheet1!K181</f>
        <v>0</v>
      </c>
      <c r="M181" s="0" t="n">
        <f aca="false">[2]Sheet1!L181</f>
        <v>0</v>
      </c>
      <c r="N181" s="0" t="n">
        <f aca="false">[2]Sheet1!M181</f>
        <v>0</v>
      </c>
      <c r="O181" s="0" t="n">
        <f aca="false">[2]Sheet1!N181</f>
        <v>0</v>
      </c>
      <c r="P181" s="226" t="n">
        <f aca="false">SUM(AY181+BA181)</f>
        <v>0</v>
      </c>
      <c r="Q181" s="201"/>
      <c r="R181" s="71"/>
      <c r="S181" s="227"/>
      <c r="T181" s="71"/>
      <c r="U181" s="201"/>
      <c r="V181" s="71"/>
      <c r="W181" s="227"/>
      <c r="X181" s="71"/>
      <c r="Y181" s="201"/>
      <c r="Z181" s="71"/>
      <c r="AA181" s="227"/>
      <c r="AB181" s="71"/>
      <c r="AC181" s="201"/>
      <c r="AD181" s="71"/>
      <c r="AE181" s="227"/>
      <c r="AF181" s="71"/>
      <c r="AG181" s="201"/>
      <c r="AH181" s="71"/>
      <c r="AI181" s="227"/>
      <c r="AJ181" s="71"/>
      <c r="AK181" s="201"/>
      <c r="AL181" s="71"/>
      <c r="AM181" s="227"/>
      <c r="AN181" s="71"/>
      <c r="AO181" s="201"/>
      <c r="AP181" s="71"/>
      <c r="AQ181" s="227"/>
      <c r="AR181" s="71"/>
      <c r="AS181" s="227"/>
      <c r="AT181" s="228"/>
      <c r="AU181" s="227"/>
      <c r="AV181" s="228"/>
      <c r="AW181" s="227"/>
      <c r="AX181" s="229" t="n">
        <f aca="false">SUM(R181+T181+V181+X181+Z181+AB181+AD181+AF181+AH181+AJ181+AL181+AN181+AP181+AR181)</f>
        <v>0</v>
      </c>
      <c r="AY181" s="230" t="n">
        <f aca="false">SUM(AX181*1000)/48</f>
        <v>0</v>
      </c>
      <c r="AZ181" s="231" t="n">
        <f aca="false">IFERROR(VLOOKUP(A181,'Site check'!$A$14:$O$47,15,0),0)</f>
        <v>0</v>
      </c>
      <c r="BA181" s="232" t="n">
        <f aca="false">SUM(AZ181*1000)/48</f>
        <v>0</v>
      </c>
      <c r="BB181" s="90" t="n">
        <f aca="false">SUM(P181/2)+E181</f>
        <v>0</v>
      </c>
      <c r="BC181" s="90" t="n">
        <f aca="false">SUM(P181/2)+F181</f>
        <v>0</v>
      </c>
    </row>
    <row r="182" customFormat="false" ht="13.15" hidden="false" customHeight="false" outlineLevel="0" collapsed="false">
      <c r="A182" s="0" t="str">
        <f aca="false">[2]Sheet1!A182</f>
        <v>SOT_SEC_WALL_DCDBA&amp;B_No DCDB found</v>
      </c>
      <c r="B182" s="0" t="str">
        <f aca="false">[2]Sheet1!B182</f>
        <v>SOT;DC SYS01</v>
      </c>
      <c r="C182" s="44" t="str">
        <f aca="false">[2]Sheet1!C182</f>
        <v>SOT</v>
      </c>
      <c r="D182" s="44" t="s">
        <v>772</v>
      </c>
      <c r="E182" s="0" t="n">
        <f aca="false">[2]Sheet1!D182</f>
        <v>0</v>
      </c>
      <c r="F182" s="0" t="n">
        <f aca="false">[2]Sheet1!E182</f>
        <v>0</v>
      </c>
      <c r="G182" s="45" t="n">
        <f aca="false">[2]Sheet1!F182</f>
        <v>0</v>
      </c>
      <c r="H182" s="0" t="n">
        <f aca="false">[2]Sheet1!G182</f>
        <v>100</v>
      </c>
      <c r="I182" s="0" t="n">
        <f aca="false">[2]Sheet1!H182</f>
        <v>100</v>
      </c>
      <c r="J182" s="0" t="n">
        <f aca="false">[2]Sheet1!I182</f>
        <v>0</v>
      </c>
      <c r="K182" s="0" t="n">
        <f aca="false">[2]Sheet1!J182</f>
        <v>0</v>
      </c>
      <c r="L182" s="0" t="n">
        <f aca="false">[2]Sheet1!K182</f>
        <v>0</v>
      </c>
      <c r="M182" s="0" t="n">
        <f aca="false">[2]Sheet1!L182</f>
        <v>0</v>
      </c>
      <c r="N182" s="0" t="n">
        <f aca="false">[2]Sheet1!M182</f>
        <v>0</v>
      </c>
      <c r="O182" s="0" t="n">
        <f aca="false">[2]Sheet1!N182</f>
        <v>0</v>
      </c>
      <c r="P182" s="226" t="n">
        <f aca="false">SUM(AY182+BA182)</f>
        <v>0</v>
      </c>
      <c r="Q182" s="201"/>
      <c r="R182" s="71"/>
      <c r="S182" s="227"/>
      <c r="T182" s="71"/>
      <c r="U182" s="201"/>
      <c r="V182" s="71"/>
      <c r="W182" s="227"/>
      <c r="X182" s="71"/>
      <c r="Y182" s="201"/>
      <c r="Z182" s="71"/>
      <c r="AA182" s="227"/>
      <c r="AB182" s="71"/>
      <c r="AC182" s="201"/>
      <c r="AD182" s="71"/>
      <c r="AE182" s="227"/>
      <c r="AF182" s="71"/>
      <c r="AG182" s="201"/>
      <c r="AH182" s="71"/>
      <c r="AI182" s="227"/>
      <c r="AJ182" s="71"/>
      <c r="AK182" s="201"/>
      <c r="AL182" s="71"/>
      <c r="AM182" s="227"/>
      <c r="AN182" s="71"/>
      <c r="AO182" s="201"/>
      <c r="AP182" s="71"/>
      <c r="AQ182" s="227"/>
      <c r="AR182" s="71"/>
      <c r="AS182" s="227"/>
      <c r="AT182" s="228"/>
      <c r="AU182" s="227"/>
      <c r="AV182" s="228"/>
      <c r="AW182" s="227"/>
      <c r="AX182" s="229" t="n">
        <f aca="false">SUM(R182+T182+V182+X182+Z182+AB182+AD182+AF182+AH182+AJ182+AL182+AN182+AP182+AR182)</f>
        <v>0</v>
      </c>
      <c r="AY182" s="230" t="n">
        <f aca="false">SUM(AX182*1000)/48</f>
        <v>0</v>
      </c>
      <c r="AZ182" s="231" t="n">
        <f aca="false">IFERROR(VLOOKUP(A182,'Site check'!$A$14:$O$47,15,0),0)</f>
        <v>0</v>
      </c>
      <c r="BA182" s="232" t="n">
        <f aca="false">SUM(AZ182*1000)/48</f>
        <v>0</v>
      </c>
      <c r="BB182" s="90" t="n">
        <f aca="false">SUM(P182/2)+E182</f>
        <v>0</v>
      </c>
      <c r="BC182" s="90" t="n">
        <f aca="false">SUM(P182/2)+F182</f>
        <v>0</v>
      </c>
    </row>
    <row r="183" customFormat="false" ht="13.15" hidden="false" customHeight="false" outlineLevel="0" collapsed="false">
      <c r="A183" s="0" t="str">
        <f aca="false">[2]Sheet1!A183</f>
        <v>WVHTF1_SEC_DCDB.1 - Suite.J Rack.0.</v>
      </c>
      <c r="B183" s="0" t="str">
        <f aca="false">[2]Sheet1!B183</f>
        <v>WVHTF1;DCSys01</v>
      </c>
      <c r="C183" s="44" t="str">
        <f aca="false">[2]Sheet1!C183</f>
        <v>WVHTF1</v>
      </c>
      <c r="D183" s="44" t="s">
        <v>832</v>
      </c>
      <c r="E183" s="0" t="n">
        <f aca="false">[2]Sheet1!D183</f>
        <v>90</v>
      </c>
      <c r="F183" s="0" t="n">
        <f aca="false">[2]Sheet1!E183</f>
        <v>90</v>
      </c>
      <c r="G183" s="45" t="str">
        <f aca="false">[2]Sheet1!F183</f>
        <v>23rd March 2021</v>
      </c>
      <c r="H183" s="0" t="n">
        <f aca="false">[2]Sheet1!G183</f>
        <v>300</v>
      </c>
      <c r="I183" s="0" t="n">
        <f aca="false">[2]Sheet1!H183</f>
        <v>300</v>
      </c>
      <c r="J183" s="0" t="n">
        <f aca="false">[2]Sheet1!I183</f>
        <v>0</v>
      </c>
      <c r="K183" s="0" t="n">
        <f aca="false">[2]Sheet1!J183</f>
        <v>0</v>
      </c>
      <c r="L183" s="0" t="n">
        <f aca="false">[2]Sheet1!K183</f>
        <v>6</v>
      </c>
      <c r="M183" s="0" t="n">
        <f aca="false">[2]Sheet1!L183</f>
        <v>0</v>
      </c>
      <c r="N183" s="0" t="n">
        <f aca="false">[2]Sheet1!M183</f>
        <v>0</v>
      </c>
      <c r="O183" s="0" t="n">
        <f aca="false">[2]Sheet1!N183</f>
        <v>24</v>
      </c>
      <c r="P183" s="226" t="n">
        <f aca="false">SUM(AY183+BA183)</f>
        <v>104.166666666667</v>
      </c>
      <c r="Q183" s="170" t="s">
        <v>1446</v>
      </c>
      <c r="R183" s="234" t="n">
        <v>5</v>
      </c>
      <c r="S183" s="227"/>
      <c r="T183" s="71"/>
      <c r="U183" s="201"/>
      <c r="V183" s="71"/>
      <c r="W183" s="227"/>
      <c r="X183" s="71"/>
      <c r="Y183" s="201"/>
      <c r="Z183" s="71"/>
      <c r="AA183" s="227"/>
      <c r="AB183" s="71"/>
      <c r="AC183" s="201"/>
      <c r="AD183" s="71"/>
      <c r="AE183" s="227"/>
      <c r="AF183" s="71"/>
      <c r="AG183" s="201"/>
      <c r="AH183" s="71"/>
      <c r="AI183" s="227"/>
      <c r="AJ183" s="71"/>
      <c r="AK183" s="201"/>
      <c r="AL183" s="71"/>
      <c r="AM183" s="227"/>
      <c r="AN183" s="71"/>
      <c r="AO183" s="201"/>
      <c r="AP183" s="71"/>
      <c r="AQ183" s="227"/>
      <c r="AR183" s="71"/>
      <c r="AS183" s="227"/>
      <c r="AT183" s="228"/>
      <c r="AU183" s="227"/>
      <c r="AV183" s="228"/>
      <c r="AW183" s="227"/>
      <c r="AX183" s="229" t="n">
        <f aca="false">SUM(R183+T183+V183+X183+Z183+AB183+AD183+AF183+AH183+AJ183+AL183+AN183+AP183+AR183)</f>
        <v>5</v>
      </c>
      <c r="AY183" s="230" t="n">
        <f aca="false">SUM(AX183*1000)/48</f>
        <v>104.166666666667</v>
      </c>
      <c r="AZ183" s="231" t="n">
        <f aca="false">IFERROR(VLOOKUP(A183,'Site check'!$A$14:$O$47,15,0),0)</f>
        <v>0</v>
      </c>
      <c r="BA183" s="232" t="n">
        <f aca="false">SUM(AZ183*1000)/48</f>
        <v>0</v>
      </c>
      <c r="BB183" s="90" t="n">
        <f aca="false">SUM(P183/2)+E183</f>
        <v>142.083333333333</v>
      </c>
      <c r="BC183" s="90" t="n">
        <f aca="false">SUM(P183/2)+F183</f>
        <v>142.083333333333</v>
      </c>
    </row>
    <row r="184" customFormat="false" ht="13.15" hidden="false" customHeight="false" outlineLevel="0" collapsed="false">
      <c r="A184" s="0" t="str">
        <f aca="false">[2]Sheet1!A184</f>
        <v>CHDCD1_SEC_CBDB_ D05</v>
      </c>
      <c r="B184" s="0" t="str">
        <f aca="false">[2]Sheet1!B184</f>
        <v>CHDCD1;DC SYS01</v>
      </c>
      <c r="C184" s="44" t="str">
        <f aca="false">[2]Sheet1!C184</f>
        <v>CHDCD1</v>
      </c>
      <c r="D184" s="44" t="s">
        <v>497</v>
      </c>
      <c r="E184" s="0" t="n">
        <f aca="false">[2]Sheet1!D184</f>
        <v>40</v>
      </c>
      <c r="F184" s="0" t="n">
        <f aca="false">[2]Sheet1!E184</f>
        <v>40</v>
      </c>
      <c r="G184" s="45" t="n">
        <f aca="false">[2]Sheet1!F184</f>
        <v>45105</v>
      </c>
      <c r="H184" s="0" t="n">
        <f aca="false">[2]Sheet1!G184</f>
        <v>125</v>
      </c>
      <c r="I184" s="0" t="n">
        <f aca="false">[2]Sheet1!H184</f>
        <v>125</v>
      </c>
      <c r="J184" s="0" t="n">
        <f aca="false">[2]Sheet1!I184</f>
        <v>0</v>
      </c>
      <c r="K184" s="0" t="n">
        <f aca="false">[2]Sheet1!J184</f>
        <v>0</v>
      </c>
      <c r="L184" s="0" t="n">
        <f aca="false">[2]Sheet1!K184</f>
        <v>5</v>
      </c>
      <c r="M184" s="0" t="n">
        <f aca="false">[2]Sheet1!L184</f>
        <v>0</v>
      </c>
      <c r="N184" s="0" t="n">
        <f aca="false">[2]Sheet1!M184</f>
        <v>4</v>
      </c>
      <c r="O184" s="0" t="n">
        <f aca="false">[2]Sheet1!N184</f>
        <v>34</v>
      </c>
      <c r="P184" s="226" t="n">
        <f aca="false">SUM(AY184+BA184)</f>
        <v>0</v>
      </c>
      <c r="Q184" s="201"/>
      <c r="R184" s="71"/>
      <c r="S184" s="227"/>
      <c r="T184" s="71"/>
      <c r="U184" s="201"/>
      <c r="V184" s="71"/>
      <c r="W184" s="227"/>
      <c r="X184" s="71"/>
      <c r="Y184" s="201"/>
      <c r="Z184" s="71"/>
      <c r="AA184" s="227"/>
      <c r="AB184" s="71"/>
      <c r="AC184" s="201"/>
      <c r="AD184" s="71"/>
      <c r="AE184" s="227"/>
      <c r="AF184" s="71"/>
      <c r="AG184" s="201"/>
      <c r="AH184" s="71"/>
      <c r="AI184" s="227"/>
      <c r="AJ184" s="71"/>
      <c r="AK184" s="201"/>
      <c r="AL184" s="71"/>
      <c r="AM184" s="227"/>
      <c r="AN184" s="71"/>
      <c r="AO184" s="201"/>
      <c r="AP184" s="71"/>
      <c r="AQ184" s="227"/>
      <c r="AR184" s="71"/>
      <c r="AS184" s="227"/>
      <c r="AT184" s="228"/>
      <c r="AU184" s="227"/>
      <c r="AV184" s="228"/>
      <c r="AW184" s="227"/>
      <c r="AX184" s="229" t="n">
        <f aca="false">SUM(R184+T184+V184+X184+Z184+AB184+AD184+AF184+AH184+AJ184+AL184+AN184+AP184+AR184)</f>
        <v>0</v>
      </c>
      <c r="AY184" s="230" t="n">
        <f aca="false">SUM(AX184*1000)/48</f>
        <v>0</v>
      </c>
      <c r="AZ184" s="231" t="n">
        <f aca="false">IFERROR(VLOOKUP(A184,'Site check'!$A$14:$O$47,15,0),0)</f>
        <v>0</v>
      </c>
      <c r="BA184" s="232" t="n">
        <f aca="false">SUM(AZ184*1000)/48</f>
        <v>0</v>
      </c>
      <c r="BB184" s="90" t="n">
        <f aca="false">SUM(P184/2)+E184</f>
        <v>40</v>
      </c>
      <c r="BC184" s="90" t="n">
        <f aca="false">SUM(P184/2)+F184</f>
        <v>40</v>
      </c>
    </row>
    <row r="185" customFormat="false" ht="13.15" hidden="false" customHeight="false" outlineLevel="0" collapsed="false">
      <c r="A185" s="0" t="str">
        <f aca="false">[2]Sheet1!A185</f>
        <v>DONTN1_DCDB _GH2</v>
      </c>
      <c r="B185" s="0" t="str">
        <f aca="false">[2]Sheet1!B185</f>
        <v>DONTN1;DC SYS01</v>
      </c>
      <c r="C185" s="44" t="str">
        <f aca="false">[2]Sheet1!C185</f>
        <v>DONTN1</v>
      </c>
      <c r="D185" s="44" t="s">
        <v>553</v>
      </c>
      <c r="E185" s="0" t="n">
        <f aca="false">[2]Sheet1!D185</f>
        <v>90</v>
      </c>
      <c r="F185" s="0" t="n">
        <f aca="false">[2]Sheet1!E185</f>
        <v>90</v>
      </c>
      <c r="G185" s="45" t="n">
        <f aca="false">[2]Sheet1!F185</f>
        <v>44126</v>
      </c>
      <c r="H185" s="0" t="n">
        <f aca="false">[2]Sheet1!G185</f>
        <v>300</v>
      </c>
      <c r="I185" s="0" t="n">
        <f aca="false">[2]Sheet1!H185</f>
        <v>300</v>
      </c>
      <c r="J185" s="0" t="n">
        <f aca="false">[2]Sheet1!I185</f>
        <v>6</v>
      </c>
      <c r="K185" s="0" t="n">
        <f aca="false">[2]Sheet1!J185</f>
        <v>4</v>
      </c>
      <c r="L185" s="0" t="n">
        <f aca="false">[2]Sheet1!K185</f>
        <v>0</v>
      </c>
      <c r="M185" s="0" t="n">
        <f aca="false">[2]Sheet1!L185</f>
        <v>10</v>
      </c>
      <c r="N185" s="0" t="n">
        <f aca="false">[2]Sheet1!M185</f>
        <v>6</v>
      </c>
      <c r="O185" s="0" t="n">
        <f aca="false">[2]Sheet1!N185</f>
        <v>0</v>
      </c>
      <c r="P185" s="226" t="n">
        <f aca="false">SUM(AY185+BA185)</f>
        <v>0</v>
      </c>
      <c r="Q185" s="201"/>
      <c r="R185" s="71"/>
      <c r="S185" s="227"/>
      <c r="T185" s="71"/>
      <c r="U185" s="201"/>
      <c r="V185" s="71"/>
      <c r="W185" s="227"/>
      <c r="X185" s="71"/>
      <c r="Y185" s="201"/>
      <c r="Z185" s="71"/>
      <c r="AA185" s="227"/>
      <c r="AB185" s="71"/>
      <c r="AC185" s="201"/>
      <c r="AD185" s="71"/>
      <c r="AE185" s="227"/>
      <c r="AF185" s="71"/>
      <c r="AG185" s="201"/>
      <c r="AH185" s="71"/>
      <c r="AI185" s="227"/>
      <c r="AJ185" s="71"/>
      <c r="AK185" s="201"/>
      <c r="AL185" s="71"/>
      <c r="AM185" s="227"/>
      <c r="AN185" s="71"/>
      <c r="AO185" s="201"/>
      <c r="AP185" s="71"/>
      <c r="AQ185" s="227"/>
      <c r="AR185" s="71"/>
      <c r="AS185" s="227"/>
      <c r="AT185" s="228"/>
      <c r="AU185" s="227"/>
      <c r="AV185" s="228"/>
      <c r="AW185" s="227"/>
      <c r="AX185" s="229" t="n">
        <f aca="false">SUM(R185+T185+V185+X185+Z185+AB185+AD185+AF185+AH185+AJ185+AL185+AN185+AP185+AR185)</f>
        <v>0</v>
      </c>
      <c r="AY185" s="230" t="n">
        <f aca="false">SUM(AX185*1000)/48</f>
        <v>0</v>
      </c>
      <c r="AZ185" s="231" t="n">
        <f aca="false">IFERROR(VLOOKUP(A185,'Site check'!$A$14:$O$47,15,0),0)</f>
        <v>0</v>
      </c>
      <c r="BA185" s="232" t="n">
        <f aca="false">SUM(AZ185*1000)/48</f>
        <v>0</v>
      </c>
      <c r="BB185" s="90" t="n">
        <f aca="false">SUM(P185/2)+E185</f>
        <v>90</v>
      </c>
      <c r="BC185" s="90" t="n">
        <f aca="false">SUM(P185/2)+F185</f>
        <v>90</v>
      </c>
    </row>
    <row r="186" customFormat="false" ht="13.15" hidden="false" customHeight="false" outlineLevel="0" collapsed="false">
      <c r="A186" s="0" t="str">
        <f aca="false">[2]Sheet1!A186</f>
        <v>LDMS13_SYS_DCDB_3J</v>
      </c>
      <c r="B186" s="0" t="str">
        <f aca="false">[2]Sheet1!B186</f>
        <v>LDMS13;DC SYS01 A</v>
      </c>
      <c r="C186" s="44" t="str">
        <f aca="false">[2]Sheet1!C186</f>
        <v>LDMS13</v>
      </c>
      <c r="D186" s="44" t="s">
        <v>641</v>
      </c>
      <c r="E186" s="0" t="n">
        <f aca="false">[2]Sheet1!D186</f>
        <v>43</v>
      </c>
      <c r="F186" s="0" t="n">
        <f aca="false">[2]Sheet1!E186</f>
        <v>58</v>
      </c>
      <c r="G186" s="45" t="n">
        <f aca="false">[2]Sheet1!F186</f>
        <v>44252</v>
      </c>
      <c r="H186" s="0" t="n">
        <f aca="false">[2]Sheet1!G186</f>
        <v>300</v>
      </c>
      <c r="I186" s="0" t="n">
        <f aca="false">[2]Sheet1!H186</f>
        <v>300</v>
      </c>
      <c r="J186" s="0" t="n">
        <f aca="false">[2]Sheet1!I186</f>
        <v>0</v>
      </c>
      <c r="K186" s="0" t="n">
        <f aca="false">[2]Sheet1!J186</f>
        <v>0</v>
      </c>
      <c r="L186" s="0" t="n">
        <f aca="false">[2]Sheet1!K186</f>
        <v>0</v>
      </c>
      <c r="M186" s="0" t="n">
        <f aca="false">[2]Sheet1!L186</f>
        <v>0</v>
      </c>
      <c r="N186" s="0" t="n">
        <f aca="false">[2]Sheet1!M186</f>
        <v>0</v>
      </c>
      <c r="O186" s="0" t="n">
        <f aca="false">[2]Sheet1!N186</f>
        <v>0</v>
      </c>
      <c r="P186" s="226" t="n">
        <f aca="false">SUM(AY186+BA186)</f>
        <v>0</v>
      </c>
      <c r="Q186" s="201"/>
      <c r="R186" s="71"/>
      <c r="S186" s="227"/>
      <c r="T186" s="71"/>
      <c r="U186" s="201"/>
      <c r="V186" s="71"/>
      <c r="W186" s="227"/>
      <c r="X186" s="71"/>
      <c r="Y186" s="201"/>
      <c r="Z186" s="71"/>
      <c r="AA186" s="227"/>
      <c r="AB186" s="71"/>
      <c r="AC186" s="201"/>
      <c r="AD186" s="71"/>
      <c r="AE186" s="227"/>
      <c r="AF186" s="71"/>
      <c r="AG186" s="201"/>
      <c r="AH186" s="71"/>
      <c r="AI186" s="227"/>
      <c r="AJ186" s="71"/>
      <c r="AK186" s="201"/>
      <c r="AL186" s="71"/>
      <c r="AM186" s="227"/>
      <c r="AN186" s="71"/>
      <c r="AO186" s="201"/>
      <c r="AP186" s="71"/>
      <c r="AQ186" s="227"/>
      <c r="AR186" s="71"/>
      <c r="AS186" s="227"/>
      <c r="AT186" s="228"/>
      <c r="AU186" s="227"/>
      <c r="AV186" s="228"/>
      <c r="AW186" s="227"/>
      <c r="AX186" s="229" t="n">
        <f aca="false">SUM(R186+T186+V186+X186+Z186+AB186+AD186+AF186+AH186+AJ186+AL186+AN186+AP186+AR186)</f>
        <v>0</v>
      </c>
      <c r="AY186" s="230" t="n">
        <f aca="false">SUM(AX186*1000)/48</f>
        <v>0</v>
      </c>
      <c r="AZ186" s="231" t="n">
        <f aca="false">IFERROR(VLOOKUP(A186,'Site check'!$A$14:$O$47,15,0),0)</f>
        <v>0</v>
      </c>
      <c r="BA186" s="232" t="n">
        <f aca="false">SUM(AZ186*1000)/48</f>
        <v>0</v>
      </c>
      <c r="BB186" s="90" t="n">
        <f aca="false">SUM(P186/2)+E186</f>
        <v>43</v>
      </c>
      <c r="BC186" s="90" t="n">
        <f aca="false">SUM(P186/2)+F186</f>
        <v>58</v>
      </c>
    </row>
    <row r="187" customFormat="false" ht="13.15" hidden="false" customHeight="false" outlineLevel="0" collapsed="false">
      <c r="A187" s="0" t="str">
        <f aca="false">[2]Sheet1!A187</f>
        <v>LDSCD1_SEC_DD770_AB1</v>
      </c>
      <c r="B187" s="0" t="str">
        <f aca="false">[2]Sheet1!B187</f>
        <v>LDSCD1;DC SYS01</v>
      </c>
      <c r="C187" s="44" t="str">
        <f aca="false">[2]Sheet1!C187</f>
        <v>LDSCD1</v>
      </c>
      <c r="D187" s="44" t="s">
        <v>1489</v>
      </c>
      <c r="E187" s="0" t="n">
        <f aca="false">[2]Sheet1!D187</f>
        <v>0</v>
      </c>
      <c r="F187" s="0" t="n">
        <f aca="false">[2]Sheet1!E187</f>
        <v>0</v>
      </c>
      <c r="G187" s="45" t="n">
        <f aca="false">[2]Sheet1!F187</f>
        <v>0</v>
      </c>
      <c r="H187" s="0" t="n">
        <f aca="false">[2]Sheet1!G187</f>
        <v>300</v>
      </c>
      <c r="I187" s="0" t="n">
        <f aca="false">[2]Sheet1!H187</f>
        <v>300</v>
      </c>
      <c r="J187" s="0" t="n">
        <f aca="false">[2]Sheet1!I187</f>
        <v>4</v>
      </c>
      <c r="K187" s="0" t="n">
        <f aca="false">[2]Sheet1!J187</f>
        <v>6</v>
      </c>
      <c r="L187" s="0" t="n">
        <f aca="false">[2]Sheet1!K187</f>
        <v>10</v>
      </c>
      <c r="M187" s="0" t="n">
        <f aca="false">[2]Sheet1!L187</f>
        <v>14</v>
      </c>
      <c r="N187" s="0" t="n">
        <f aca="false">[2]Sheet1!M187</f>
        <v>12</v>
      </c>
      <c r="O187" s="0" t="n">
        <f aca="false">[2]Sheet1!N187</f>
        <v>0</v>
      </c>
      <c r="P187" s="226" t="n">
        <f aca="false">SUM(AY187+BA187)</f>
        <v>0</v>
      </c>
      <c r="Q187" s="201"/>
      <c r="R187" s="71"/>
      <c r="S187" s="227"/>
      <c r="T187" s="71"/>
      <c r="U187" s="201"/>
      <c r="V187" s="71"/>
      <c r="W187" s="227"/>
      <c r="X187" s="71"/>
      <c r="Y187" s="201"/>
      <c r="Z187" s="71"/>
      <c r="AA187" s="227"/>
      <c r="AB187" s="71"/>
      <c r="AC187" s="201"/>
      <c r="AD187" s="71"/>
      <c r="AE187" s="227"/>
      <c r="AF187" s="71"/>
      <c r="AG187" s="201"/>
      <c r="AH187" s="71"/>
      <c r="AI187" s="227"/>
      <c r="AJ187" s="71"/>
      <c r="AK187" s="201"/>
      <c r="AL187" s="71"/>
      <c r="AM187" s="227"/>
      <c r="AN187" s="71"/>
      <c r="AO187" s="201"/>
      <c r="AP187" s="71"/>
      <c r="AQ187" s="227"/>
      <c r="AR187" s="71"/>
      <c r="AS187" s="227"/>
      <c r="AT187" s="228"/>
      <c r="AU187" s="227"/>
      <c r="AV187" s="228"/>
      <c r="AW187" s="227"/>
      <c r="AX187" s="229" t="n">
        <f aca="false">SUM(R187+T187+V187+X187+Z187+AB187+AD187+AF187+AH187+AJ187+AL187+AN187+AP187+AR187)</f>
        <v>0</v>
      </c>
      <c r="AY187" s="230" t="n">
        <f aca="false">SUM(AX187*1000)/48</f>
        <v>0</v>
      </c>
      <c r="AZ187" s="231" t="n">
        <f aca="false">IFERROR(VLOOKUP(A187,'Site check'!$A$14:$O$47,15,0),0)</f>
        <v>0</v>
      </c>
      <c r="BA187" s="232" t="n">
        <f aca="false">SUM(AZ187*1000)/48</f>
        <v>0</v>
      </c>
      <c r="BB187" s="90" t="n">
        <f aca="false">SUM(P187/2)+E187</f>
        <v>0</v>
      </c>
      <c r="BC187" s="90" t="n">
        <f aca="false">SUM(P187/2)+F187</f>
        <v>0</v>
      </c>
    </row>
    <row r="188" customFormat="false" ht="13.15" hidden="false" customHeight="false" outlineLevel="0" collapsed="false">
      <c r="A188" s="0" t="str">
        <f aca="false">[2]Sheet1!A188</f>
        <v>LDSCD1_SEC_WALL_DD770</v>
      </c>
      <c r="B188" s="0" t="str">
        <f aca="false">[2]Sheet1!B188</f>
        <v>LDSCD1;DC SYS01</v>
      </c>
      <c r="C188" s="44" t="str">
        <f aca="false">[2]Sheet1!C188</f>
        <v>LDSCD1</v>
      </c>
      <c r="D188" s="44" t="s">
        <v>1489</v>
      </c>
      <c r="E188" s="0" t="n">
        <f aca="false">[2]Sheet1!D188</f>
        <v>0</v>
      </c>
      <c r="F188" s="0" t="n">
        <f aca="false">[2]Sheet1!E188</f>
        <v>0</v>
      </c>
      <c r="G188" s="45" t="n">
        <f aca="false">[2]Sheet1!F188</f>
        <v>0</v>
      </c>
      <c r="H188" s="0" t="n">
        <f aca="false">[2]Sheet1!G188</f>
        <v>300</v>
      </c>
      <c r="I188" s="0" t="n">
        <f aca="false">[2]Sheet1!H188</f>
        <v>300</v>
      </c>
      <c r="J188" s="0" t="n">
        <f aca="false">[2]Sheet1!I188</f>
        <v>0</v>
      </c>
      <c r="K188" s="0" t="n">
        <f aca="false">[2]Sheet1!J188</f>
        <v>0</v>
      </c>
      <c r="L188" s="0" t="n">
        <f aca="false">[2]Sheet1!K188</f>
        <v>0</v>
      </c>
      <c r="M188" s="0" t="n">
        <f aca="false">[2]Sheet1!L188</f>
        <v>5</v>
      </c>
      <c r="N188" s="0" t="n">
        <f aca="false">[2]Sheet1!M188</f>
        <v>12</v>
      </c>
      <c r="O188" s="0" t="n">
        <f aca="false">[2]Sheet1!N188</f>
        <v>0</v>
      </c>
      <c r="P188" s="226" t="n">
        <f aca="false">SUM(AY188+BA188)</f>
        <v>0</v>
      </c>
      <c r="Q188" s="201"/>
      <c r="R188" s="71"/>
      <c r="S188" s="227"/>
      <c r="T188" s="71"/>
      <c r="U188" s="201"/>
      <c r="V188" s="71"/>
      <c r="W188" s="227"/>
      <c r="X188" s="71"/>
      <c r="Y188" s="201"/>
      <c r="Z188" s="71"/>
      <c r="AA188" s="227"/>
      <c r="AB188" s="71"/>
      <c r="AC188" s="201"/>
      <c r="AD188" s="71"/>
      <c r="AE188" s="227"/>
      <c r="AF188" s="71"/>
      <c r="AG188" s="201"/>
      <c r="AH188" s="71"/>
      <c r="AI188" s="227"/>
      <c r="AJ188" s="71"/>
      <c r="AK188" s="201"/>
      <c r="AL188" s="71"/>
      <c r="AM188" s="227"/>
      <c r="AN188" s="71"/>
      <c r="AO188" s="201"/>
      <c r="AP188" s="71"/>
      <c r="AQ188" s="227"/>
      <c r="AR188" s="71"/>
      <c r="AS188" s="227"/>
      <c r="AT188" s="228"/>
      <c r="AU188" s="227"/>
      <c r="AV188" s="228"/>
      <c r="AW188" s="227"/>
      <c r="AX188" s="229" t="n">
        <f aca="false">SUM(R188+T188+V188+X188+Z188+AB188+AD188+AF188+AH188+AJ188+AL188+AN188+AP188+AR188)</f>
        <v>0</v>
      </c>
      <c r="AY188" s="230" t="n">
        <f aca="false">SUM(AX188*1000)/48</f>
        <v>0</v>
      </c>
      <c r="AZ188" s="231" t="n">
        <f aca="false">IFERROR(VLOOKUP(A188,'Site check'!$A$14:$O$47,15,0),0)</f>
        <v>0</v>
      </c>
      <c r="BA188" s="232" t="n">
        <f aca="false">SUM(AZ188*1000)/48</f>
        <v>0</v>
      </c>
      <c r="BB188" s="90" t="n">
        <f aca="false">SUM(P188/2)+E188</f>
        <v>0</v>
      </c>
      <c r="BC188" s="90" t="n">
        <f aca="false">SUM(P188/2)+F188</f>
        <v>0</v>
      </c>
    </row>
    <row r="189" customFormat="false" ht="13.15" hidden="false" customHeight="false" outlineLevel="0" collapsed="false">
      <c r="A189" s="0" t="str">
        <f aca="false">[2]Sheet1!A189</f>
        <v>LDSCD1_SYS_DCDB_01</v>
      </c>
      <c r="B189" s="0" t="str">
        <f aca="false">[2]Sheet1!B189</f>
        <v>LDSCD1;DC SYS01</v>
      </c>
      <c r="C189" s="44" t="str">
        <f aca="false">[2]Sheet1!C189</f>
        <v>LDSCD1</v>
      </c>
      <c r="D189" s="44" t="s">
        <v>1489</v>
      </c>
      <c r="E189" s="0" t="n">
        <f aca="false">[2]Sheet1!D189</f>
        <v>0</v>
      </c>
      <c r="F189" s="0" t="n">
        <f aca="false">[2]Sheet1!E189</f>
        <v>0</v>
      </c>
      <c r="G189" s="45" t="n">
        <f aca="false">[2]Sheet1!F189</f>
        <v>0</v>
      </c>
      <c r="H189" s="0" t="n">
        <f aca="false">[2]Sheet1!G189</f>
        <v>300</v>
      </c>
      <c r="I189" s="0" t="n">
        <f aca="false">[2]Sheet1!H189</f>
        <v>300</v>
      </c>
      <c r="J189" s="0" t="n">
        <f aca="false">[2]Sheet1!I189</f>
        <v>0</v>
      </c>
      <c r="K189" s="0" t="n">
        <f aca="false">[2]Sheet1!J189</f>
        <v>6</v>
      </c>
      <c r="L189" s="0" t="n">
        <f aca="false">[2]Sheet1!K189</f>
        <v>0</v>
      </c>
      <c r="M189" s="0" t="n">
        <f aca="false">[2]Sheet1!L189</f>
        <v>0</v>
      </c>
      <c r="N189" s="0" t="n">
        <f aca="false">[2]Sheet1!M189</f>
        <v>0</v>
      </c>
      <c r="O189" s="0" t="n">
        <f aca="false">[2]Sheet1!N189</f>
        <v>0</v>
      </c>
      <c r="P189" s="226" t="n">
        <f aca="false">SUM(AY189+BA189)</f>
        <v>0</v>
      </c>
      <c r="Q189" s="201"/>
      <c r="R189" s="71"/>
      <c r="S189" s="227"/>
      <c r="T189" s="71"/>
      <c r="U189" s="201"/>
      <c r="V189" s="71"/>
      <c r="W189" s="227"/>
      <c r="X189" s="71"/>
      <c r="Y189" s="201"/>
      <c r="Z189" s="71"/>
      <c r="AA189" s="227"/>
      <c r="AB189" s="71"/>
      <c r="AC189" s="201"/>
      <c r="AD189" s="71"/>
      <c r="AE189" s="227"/>
      <c r="AF189" s="71"/>
      <c r="AG189" s="201"/>
      <c r="AH189" s="71"/>
      <c r="AI189" s="227"/>
      <c r="AJ189" s="71"/>
      <c r="AK189" s="201"/>
      <c r="AL189" s="71"/>
      <c r="AM189" s="227"/>
      <c r="AN189" s="71"/>
      <c r="AO189" s="201"/>
      <c r="AP189" s="71"/>
      <c r="AQ189" s="227"/>
      <c r="AR189" s="71"/>
      <c r="AS189" s="227"/>
      <c r="AT189" s="228"/>
      <c r="AU189" s="227"/>
      <c r="AV189" s="228"/>
      <c r="AW189" s="227"/>
      <c r="AX189" s="229" t="n">
        <f aca="false">SUM(R189+T189+V189+X189+Z189+AB189+AD189+AF189+AH189+AJ189+AL189+AN189+AP189+AR189)</f>
        <v>0</v>
      </c>
      <c r="AY189" s="230" t="n">
        <f aca="false">SUM(AX189*1000)/48</f>
        <v>0</v>
      </c>
      <c r="AZ189" s="231" t="n">
        <f aca="false">IFERROR(VLOOKUP(A189,'Site check'!$A$14:$O$47,15,0),0)</f>
        <v>0</v>
      </c>
      <c r="BA189" s="232" t="n">
        <f aca="false">SUM(AZ189*1000)/48</f>
        <v>0</v>
      </c>
      <c r="BB189" s="90" t="n">
        <f aca="false">SUM(P189/2)+E189</f>
        <v>0</v>
      </c>
      <c r="BC189" s="90" t="n">
        <f aca="false">SUM(P189/2)+F189</f>
        <v>0</v>
      </c>
    </row>
    <row r="190" customFormat="false" ht="13.15" hidden="false" customHeight="false" outlineLevel="0" collapsed="false">
      <c r="A190" s="0" t="str">
        <f aca="false">[2]Sheet1!A190</f>
        <v>LDSCD1_SYS_DCDB_02</v>
      </c>
      <c r="B190" s="0" t="str">
        <f aca="false">[2]Sheet1!B190</f>
        <v>LDSCD1;DC SYS01</v>
      </c>
      <c r="C190" s="44" t="str">
        <f aca="false">[2]Sheet1!C190</f>
        <v>LDSCD1</v>
      </c>
      <c r="D190" s="44" t="s">
        <v>1489</v>
      </c>
      <c r="E190" s="0" t="n">
        <f aca="false">[2]Sheet1!D190</f>
        <v>0</v>
      </c>
      <c r="F190" s="0" t="n">
        <f aca="false">[2]Sheet1!E190</f>
        <v>0</v>
      </c>
      <c r="G190" s="45" t="n">
        <f aca="false">[2]Sheet1!F190</f>
        <v>0</v>
      </c>
      <c r="H190" s="0" t="n">
        <f aca="false">[2]Sheet1!G190</f>
        <v>300</v>
      </c>
      <c r="I190" s="0" t="n">
        <f aca="false">[2]Sheet1!H190</f>
        <v>300</v>
      </c>
      <c r="J190" s="0" t="n">
        <f aca="false">[2]Sheet1!I190</f>
        <v>0</v>
      </c>
      <c r="K190" s="0" t="n">
        <f aca="false">[2]Sheet1!J190</f>
        <v>7</v>
      </c>
      <c r="L190" s="0" t="n">
        <f aca="false">[2]Sheet1!K190</f>
        <v>0</v>
      </c>
      <c r="M190" s="0" t="n">
        <f aca="false">[2]Sheet1!L190</f>
        <v>0</v>
      </c>
      <c r="N190" s="0" t="n">
        <f aca="false">[2]Sheet1!M190</f>
        <v>0</v>
      </c>
      <c r="O190" s="0" t="n">
        <f aca="false">[2]Sheet1!N190</f>
        <v>0</v>
      </c>
      <c r="P190" s="226" t="n">
        <f aca="false">SUM(AY190+BA190)</f>
        <v>0</v>
      </c>
      <c r="Q190" s="201"/>
      <c r="R190" s="71"/>
      <c r="S190" s="227"/>
      <c r="T190" s="71"/>
      <c r="U190" s="201"/>
      <c r="V190" s="71"/>
      <c r="W190" s="227"/>
      <c r="X190" s="71"/>
      <c r="Y190" s="201"/>
      <c r="Z190" s="71"/>
      <c r="AA190" s="227"/>
      <c r="AB190" s="71"/>
      <c r="AC190" s="201"/>
      <c r="AD190" s="71"/>
      <c r="AE190" s="227"/>
      <c r="AF190" s="71"/>
      <c r="AG190" s="201"/>
      <c r="AH190" s="71"/>
      <c r="AI190" s="227"/>
      <c r="AJ190" s="71"/>
      <c r="AK190" s="201"/>
      <c r="AL190" s="71"/>
      <c r="AM190" s="227"/>
      <c r="AN190" s="71"/>
      <c r="AO190" s="201"/>
      <c r="AP190" s="71"/>
      <c r="AQ190" s="227"/>
      <c r="AR190" s="71"/>
      <c r="AS190" s="227"/>
      <c r="AT190" s="228"/>
      <c r="AU190" s="227"/>
      <c r="AV190" s="228"/>
      <c r="AW190" s="227"/>
      <c r="AX190" s="229" t="n">
        <f aca="false">SUM(R190+T190+V190+X190+Z190+AB190+AD190+AF190+AH190+AJ190+AL190+AN190+AP190+AR190)</f>
        <v>0</v>
      </c>
      <c r="AY190" s="230" t="n">
        <f aca="false">SUM(AX190*1000)/48</f>
        <v>0</v>
      </c>
      <c r="AZ190" s="231" t="n">
        <f aca="false">IFERROR(VLOOKUP(A190,'Site check'!$A$14:$O$47,15,0),0)</f>
        <v>0</v>
      </c>
      <c r="BA190" s="232" t="n">
        <f aca="false">SUM(AZ190*1000)/48</f>
        <v>0</v>
      </c>
      <c r="BB190" s="90" t="n">
        <f aca="false">SUM(P190/2)+E190</f>
        <v>0</v>
      </c>
      <c r="BC190" s="90" t="n">
        <f aca="false">SUM(P190/2)+F190</f>
        <v>0</v>
      </c>
    </row>
    <row r="191" customFormat="false" ht="13.15" hidden="false" customHeight="false" outlineLevel="0" collapsed="false">
      <c r="A191" s="0" t="str">
        <f aca="false">[2]Sheet1!A191</f>
        <v>LDSCD2_PDU1A_B</v>
      </c>
      <c r="B191" s="0" t="str">
        <f aca="false">[2]Sheet1!B191</f>
        <v>LDSCD2;DC SYS A</v>
      </c>
      <c r="C191" s="44" t="str">
        <f aca="false">[2]Sheet1!C191</f>
        <v>LDSCD2</v>
      </c>
      <c r="D191" s="44" t="s">
        <v>643</v>
      </c>
      <c r="E191" s="0" t="n">
        <f aca="false">[2]Sheet1!D191</f>
        <v>202.29</v>
      </c>
      <c r="F191" s="0" t="n">
        <f aca="false">[2]Sheet1!E191</f>
        <v>148.31</v>
      </c>
      <c r="G191" s="45" t="n">
        <f aca="false">[2]Sheet1!F191</f>
        <v>45631</v>
      </c>
      <c r="H191" s="0" t="n">
        <f aca="false">[2]Sheet1!G191</f>
        <v>360</v>
      </c>
      <c r="I191" s="0" t="n">
        <f aca="false">[2]Sheet1!H191</f>
        <v>360</v>
      </c>
      <c r="J191" s="0" t="n">
        <f aca="false">[2]Sheet1!I191</f>
        <v>0</v>
      </c>
      <c r="K191" s="0" t="n">
        <f aca="false">[2]Sheet1!J191</f>
        <v>0</v>
      </c>
      <c r="L191" s="0" t="n">
        <f aca="false">[2]Sheet1!K191</f>
        <v>0</v>
      </c>
      <c r="M191" s="0" t="n">
        <f aca="false">[2]Sheet1!L191</f>
        <v>0</v>
      </c>
      <c r="N191" s="0" t="n">
        <f aca="false">[2]Sheet1!M191</f>
        <v>0</v>
      </c>
      <c r="O191" s="0" t="n">
        <f aca="false">[2]Sheet1!N191</f>
        <v>0</v>
      </c>
      <c r="P191" s="226" t="n">
        <f aca="false">SUM(AY191+BA191)</f>
        <v>306.25</v>
      </c>
      <c r="Q191" s="170" t="s">
        <v>1245</v>
      </c>
      <c r="R191" s="234" t="n">
        <v>1.8</v>
      </c>
      <c r="S191" s="170"/>
      <c r="T191" s="234"/>
      <c r="U191" s="170" t="s">
        <v>1246</v>
      </c>
      <c r="V191" s="234" t="n">
        <v>9.8</v>
      </c>
      <c r="W191" s="212" t="s">
        <v>1490</v>
      </c>
      <c r="X191" s="221" t="n">
        <v>2</v>
      </c>
      <c r="Y191" s="177" t="s">
        <v>1251</v>
      </c>
      <c r="Z191" s="235" t="n">
        <v>0.6</v>
      </c>
      <c r="AA191" s="202" t="s">
        <v>1252</v>
      </c>
      <c r="AB191" s="235" t="n">
        <v>0.5</v>
      </c>
      <c r="AC191" s="201"/>
      <c r="AD191" s="71"/>
      <c r="AE191" s="227"/>
      <c r="AF191" s="71"/>
      <c r="AG191" s="201"/>
      <c r="AH191" s="71"/>
      <c r="AI191" s="227"/>
      <c r="AJ191" s="71"/>
      <c r="AK191" s="201"/>
      <c r="AL191" s="71"/>
      <c r="AM191" s="227"/>
      <c r="AN191" s="71"/>
      <c r="AO191" s="201"/>
      <c r="AP191" s="71"/>
      <c r="AQ191" s="227"/>
      <c r="AR191" s="71"/>
      <c r="AS191" s="227"/>
      <c r="AT191" s="228"/>
      <c r="AU191" s="227"/>
      <c r="AV191" s="228"/>
      <c r="AW191" s="227"/>
      <c r="AX191" s="229" t="n">
        <f aca="false">SUM(R191+T191+V191+X191+Z191+AB191+AD191+AF191+AH191+AJ191+AL191+AN191+AP191+AR191)</f>
        <v>14.7</v>
      </c>
      <c r="AY191" s="230" t="n">
        <f aca="false">SUM(AX191*1000)/48</f>
        <v>306.25</v>
      </c>
      <c r="AZ191" s="231" t="n">
        <f aca="false">IFERROR(VLOOKUP(A191,'Site check'!$A$14:$O$47,15,0),0)</f>
        <v>0</v>
      </c>
      <c r="BA191" s="232" t="n">
        <f aca="false">SUM(AZ191*1000)/48</f>
        <v>0</v>
      </c>
      <c r="BB191" s="90" t="n">
        <f aca="false">SUM(P191/2)+E191</f>
        <v>355.415</v>
      </c>
      <c r="BC191" s="90" t="n">
        <f aca="false">SUM(P191/2)+F191</f>
        <v>301.435</v>
      </c>
    </row>
    <row r="192" customFormat="false" ht="13.15" hidden="false" customHeight="false" outlineLevel="0" collapsed="false">
      <c r="A192" s="0" t="str">
        <f aca="false">[2]Sheet1!A192</f>
        <v>LDSCD2_SEC_CBDB_AB1</v>
      </c>
      <c r="B192" s="0" t="str">
        <f aca="false">[2]Sheet1!B192</f>
        <v>LDSCD2;DC SYS A</v>
      </c>
      <c r="C192" s="44" t="str">
        <f aca="false">[2]Sheet1!C192</f>
        <v>LDSCD2</v>
      </c>
      <c r="D192" s="44" t="s">
        <v>643</v>
      </c>
      <c r="E192" s="0" t="n">
        <f aca="false">[2]Sheet1!D192</f>
        <v>100</v>
      </c>
      <c r="F192" s="0" t="n">
        <f aca="false">[2]Sheet1!E192</f>
        <v>100</v>
      </c>
      <c r="G192" s="45" t="n">
        <f aca="false">[2]Sheet1!F192</f>
        <v>44116</v>
      </c>
      <c r="H192" s="0" t="n">
        <f aca="false">[2]Sheet1!G192</f>
        <v>300</v>
      </c>
      <c r="I192" s="0" t="n">
        <f aca="false">[2]Sheet1!H192</f>
        <v>300</v>
      </c>
      <c r="J192" s="0" t="n">
        <f aca="false">[2]Sheet1!I192</f>
        <v>0</v>
      </c>
      <c r="K192" s="0" t="n">
        <f aca="false">[2]Sheet1!J192</f>
        <v>0</v>
      </c>
      <c r="L192" s="0" t="n">
        <f aca="false">[2]Sheet1!K192</f>
        <v>0</v>
      </c>
      <c r="M192" s="0" t="n">
        <f aca="false">[2]Sheet1!L192</f>
        <v>2</v>
      </c>
      <c r="N192" s="0" t="n">
        <f aca="false">[2]Sheet1!M192</f>
        <v>6</v>
      </c>
      <c r="O192" s="0" t="n">
        <f aca="false">[2]Sheet1!N192</f>
        <v>35</v>
      </c>
      <c r="P192" s="226" t="n">
        <f aca="false">SUM(AY192+BA192)</f>
        <v>0</v>
      </c>
      <c r="Q192" s="201"/>
      <c r="R192" s="71"/>
      <c r="S192" s="227"/>
      <c r="T192" s="71"/>
      <c r="U192" s="201"/>
      <c r="V192" s="71"/>
      <c r="W192" s="227"/>
      <c r="X192" s="71"/>
      <c r="Y192" s="201"/>
      <c r="Z192" s="71"/>
      <c r="AA192" s="227"/>
      <c r="AB192" s="71"/>
      <c r="AC192" s="201"/>
      <c r="AD192" s="71"/>
      <c r="AE192" s="227"/>
      <c r="AF192" s="71"/>
      <c r="AG192" s="201"/>
      <c r="AH192" s="71"/>
      <c r="AI192" s="227"/>
      <c r="AJ192" s="71"/>
      <c r="AK192" s="201"/>
      <c r="AL192" s="71"/>
      <c r="AM192" s="227"/>
      <c r="AN192" s="71"/>
      <c r="AO192" s="201"/>
      <c r="AP192" s="71"/>
      <c r="AQ192" s="227"/>
      <c r="AR192" s="71"/>
      <c r="AS192" s="227"/>
      <c r="AT192" s="228"/>
      <c r="AU192" s="227"/>
      <c r="AV192" s="228"/>
      <c r="AW192" s="227"/>
      <c r="AX192" s="229" t="n">
        <f aca="false">SUM(R192+T192+V192+X192+Z192+AB192+AD192+AF192+AH192+AJ192+AL192+AN192+AP192+AR192)</f>
        <v>0</v>
      </c>
      <c r="AY192" s="230" t="n">
        <f aca="false">SUM(AX192*1000)/48</f>
        <v>0</v>
      </c>
      <c r="AZ192" s="231" t="n">
        <f aca="false">IFERROR(VLOOKUP(A192,'Site check'!$A$14:$O$47,15,0),0)</f>
        <v>0</v>
      </c>
      <c r="BA192" s="232" t="n">
        <f aca="false">SUM(AZ192*1000)/48</f>
        <v>0</v>
      </c>
      <c r="BB192" s="90" t="n">
        <f aca="false">SUM(P192/2)+E192</f>
        <v>100</v>
      </c>
      <c r="BC192" s="90" t="n">
        <f aca="false">SUM(P192/2)+F192</f>
        <v>100</v>
      </c>
    </row>
    <row r="193" customFormat="false" ht="13.15" hidden="false" customHeight="false" outlineLevel="0" collapsed="false">
      <c r="A193" s="0" t="str">
        <f aca="false">[2]Sheet1!A193</f>
        <v>LDSCD2_SEC_CBDB_CD1</v>
      </c>
      <c r="B193" s="0" t="str">
        <f aca="false">[2]Sheet1!B193</f>
        <v>LDSCD2;DC SYS A</v>
      </c>
      <c r="C193" s="44" t="str">
        <f aca="false">[2]Sheet1!C193</f>
        <v>LDSCD2</v>
      </c>
      <c r="D193" s="44" t="s">
        <v>643</v>
      </c>
      <c r="E193" s="0" t="n">
        <f aca="false">[2]Sheet1!D193</f>
        <v>260</v>
      </c>
      <c r="F193" s="0" t="n">
        <f aca="false">[2]Sheet1!E193</f>
        <v>230</v>
      </c>
      <c r="G193" s="45" t="n">
        <f aca="false">[2]Sheet1!F193</f>
        <v>44382</v>
      </c>
      <c r="H193" s="0" t="n">
        <f aca="false">[2]Sheet1!G193</f>
        <v>300</v>
      </c>
      <c r="I193" s="0" t="n">
        <f aca="false">[2]Sheet1!H193</f>
        <v>300</v>
      </c>
      <c r="J193" s="0" t="n">
        <f aca="false">[2]Sheet1!I193</f>
        <v>0</v>
      </c>
      <c r="K193" s="0" t="n">
        <f aca="false">[2]Sheet1!J193</f>
        <v>0</v>
      </c>
      <c r="L193" s="0" t="n">
        <f aca="false">[2]Sheet1!K193</f>
        <v>0</v>
      </c>
      <c r="M193" s="0" t="n">
        <f aca="false">[2]Sheet1!L193</f>
        <v>2</v>
      </c>
      <c r="N193" s="0" t="n">
        <f aca="false">[2]Sheet1!M193</f>
        <v>0</v>
      </c>
      <c r="O193" s="0" t="n">
        <f aca="false">[2]Sheet1!N193</f>
        <v>17</v>
      </c>
      <c r="P193" s="226" t="n">
        <f aca="false">SUM(AY193+BA193)</f>
        <v>83.3333333333333</v>
      </c>
      <c r="Q193" s="170" t="s">
        <v>1491</v>
      </c>
      <c r="R193" s="234" t="n">
        <v>4</v>
      </c>
      <c r="S193" s="227"/>
      <c r="T193" s="71"/>
      <c r="U193" s="201"/>
      <c r="V193" s="71"/>
      <c r="W193" s="227"/>
      <c r="X193" s="71"/>
      <c r="Y193" s="201"/>
      <c r="Z193" s="71"/>
      <c r="AA193" s="227"/>
      <c r="AB193" s="71"/>
      <c r="AC193" s="201"/>
      <c r="AD193" s="71"/>
      <c r="AE193" s="227"/>
      <c r="AF193" s="71"/>
      <c r="AG193" s="201"/>
      <c r="AH193" s="71"/>
      <c r="AI193" s="227"/>
      <c r="AJ193" s="71"/>
      <c r="AK193" s="201"/>
      <c r="AL193" s="71"/>
      <c r="AM193" s="227"/>
      <c r="AN193" s="71"/>
      <c r="AO193" s="201"/>
      <c r="AP193" s="71"/>
      <c r="AQ193" s="227"/>
      <c r="AR193" s="71"/>
      <c r="AS193" s="227"/>
      <c r="AT193" s="228"/>
      <c r="AU193" s="227"/>
      <c r="AV193" s="228"/>
      <c r="AW193" s="227"/>
      <c r="AX193" s="229" t="n">
        <f aca="false">SUM(R193+T193+V193+X193+Z193+AB193+AD193+AF193+AH193+AJ193+AL193+AN193+AP193+AR193)</f>
        <v>4</v>
      </c>
      <c r="AY193" s="230" t="n">
        <f aca="false">SUM(AX193*1000)/48</f>
        <v>83.3333333333333</v>
      </c>
      <c r="AZ193" s="231" t="n">
        <f aca="false">IFERROR(VLOOKUP(A193,'Site check'!$A$14:$O$47,15,0),0)</f>
        <v>0</v>
      </c>
      <c r="BA193" s="232" t="n">
        <f aca="false">SUM(AZ193*1000)/48</f>
        <v>0</v>
      </c>
      <c r="BB193" s="90" t="n">
        <f aca="false">SUM(P193/2)+E193</f>
        <v>301.666666666667</v>
      </c>
      <c r="BC193" s="90" t="n">
        <f aca="false">SUM(P193/2)+F193</f>
        <v>271.666666666667</v>
      </c>
    </row>
    <row r="194" customFormat="false" ht="13.15" hidden="false" customHeight="false" outlineLevel="0" collapsed="false">
      <c r="A194" s="0" t="str">
        <f aca="false">[2]Sheet1!A194</f>
        <v>LDSCD2_SEC_CBDB_EF1</v>
      </c>
      <c r="B194" s="0" t="str">
        <f aca="false">[2]Sheet1!B194</f>
        <v>LDSCD2;DC SYS A</v>
      </c>
      <c r="C194" s="44" t="str">
        <f aca="false">[2]Sheet1!C194</f>
        <v>LDSCD2</v>
      </c>
      <c r="D194" s="44" t="s">
        <v>643</v>
      </c>
      <c r="E194" s="0" t="n">
        <f aca="false">[2]Sheet1!D194</f>
        <v>250</v>
      </c>
      <c r="F194" s="0" t="n">
        <f aca="false">[2]Sheet1!E194</f>
        <v>250</v>
      </c>
      <c r="G194" s="45" t="n">
        <f aca="false">[2]Sheet1!F194</f>
        <v>44116</v>
      </c>
      <c r="H194" s="0" t="n">
        <f aca="false">[2]Sheet1!G194</f>
        <v>300</v>
      </c>
      <c r="I194" s="0" t="n">
        <f aca="false">[2]Sheet1!H194</f>
        <v>300</v>
      </c>
      <c r="J194" s="0" t="n">
        <f aca="false">[2]Sheet1!I194</f>
        <v>0</v>
      </c>
      <c r="K194" s="0" t="n">
        <f aca="false">[2]Sheet1!J194</f>
        <v>0</v>
      </c>
      <c r="L194" s="0" t="n">
        <f aca="false">[2]Sheet1!K194</f>
        <v>3</v>
      </c>
      <c r="M194" s="0" t="n">
        <f aca="false">[2]Sheet1!L194</f>
        <v>0</v>
      </c>
      <c r="N194" s="0" t="n">
        <f aca="false">[2]Sheet1!M194</f>
        <v>4</v>
      </c>
      <c r="O194" s="0" t="n">
        <f aca="false">[2]Sheet1!N194</f>
        <v>29</v>
      </c>
      <c r="P194" s="226" t="n">
        <f aca="false">SUM(AY194+BA194)</f>
        <v>0</v>
      </c>
      <c r="Q194" s="201"/>
      <c r="R194" s="71"/>
      <c r="S194" s="227"/>
      <c r="T194" s="71"/>
      <c r="U194" s="201"/>
      <c r="V194" s="71"/>
      <c r="W194" s="227"/>
      <c r="X194" s="71"/>
      <c r="Y194" s="201"/>
      <c r="Z194" s="71"/>
      <c r="AA194" s="227"/>
      <c r="AB194" s="71"/>
      <c r="AC194" s="201"/>
      <c r="AD194" s="71"/>
      <c r="AE194" s="227"/>
      <c r="AF194" s="71"/>
      <c r="AG194" s="201"/>
      <c r="AH194" s="71"/>
      <c r="AI194" s="227"/>
      <c r="AJ194" s="71"/>
      <c r="AK194" s="201"/>
      <c r="AL194" s="71"/>
      <c r="AM194" s="227"/>
      <c r="AN194" s="71"/>
      <c r="AO194" s="201"/>
      <c r="AP194" s="71"/>
      <c r="AQ194" s="227"/>
      <c r="AR194" s="71"/>
      <c r="AS194" s="227"/>
      <c r="AT194" s="228"/>
      <c r="AU194" s="227"/>
      <c r="AV194" s="228"/>
      <c r="AW194" s="227"/>
      <c r="AX194" s="229" t="n">
        <f aca="false">SUM(R194+T194+V194+X194+Z194+AB194+AD194+AF194+AH194+AJ194+AL194+AN194+AP194+AR194)</f>
        <v>0</v>
      </c>
      <c r="AY194" s="230" t="n">
        <f aca="false">SUM(AX194*1000)/48</f>
        <v>0</v>
      </c>
      <c r="AZ194" s="231" t="n">
        <f aca="false">IFERROR(VLOOKUP(A194,'Site check'!$A$14:$O$47,15,0),0)</f>
        <v>0</v>
      </c>
      <c r="BA194" s="232" t="n">
        <f aca="false">SUM(AZ194*1000)/48</f>
        <v>0</v>
      </c>
      <c r="BB194" s="90" t="n">
        <f aca="false">SUM(P194/2)+E194</f>
        <v>250</v>
      </c>
      <c r="BC194" s="90" t="n">
        <f aca="false">SUM(P194/2)+F194</f>
        <v>250</v>
      </c>
    </row>
    <row r="195" customFormat="false" ht="13.15" hidden="false" customHeight="false" outlineLevel="0" collapsed="false">
      <c r="A195" s="0" t="str">
        <f aca="false">[2]Sheet1!A195</f>
        <v>LDSCD2_SEC_CBDB_GH1</v>
      </c>
      <c r="B195" s="0" t="str">
        <f aca="false">[2]Sheet1!B195</f>
        <v>LDSCD2;DC SYS A</v>
      </c>
      <c r="C195" s="44" t="str">
        <f aca="false">[2]Sheet1!C195</f>
        <v>LDSCD2</v>
      </c>
      <c r="D195" s="44" t="s">
        <v>643</v>
      </c>
      <c r="E195" s="0" t="n">
        <f aca="false">[2]Sheet1!D195</f>
        <v>50</v>
      </c>
      <c r="F195" s="0" t="n">
        <f aca="false">[2]Sheet1!E195</f>
        <v>0</v>
      </c>
      <c r="G195" s="45" t="n">
        <f aca="false">[2]Sheet1!F195</f>
        <v>44116</v>
      </c>
      <c r="H195" s="0" t="n">
        <f aca="false">[2]Sheet1!G195</f>
        <v>300</v>
      </c>
      <c r="I195" s="0" t="n">
        <f aca="false">[2]Sheet1!H195</f>
        <v>300</v>
      </c>
      <c r="J195" s="0" t="n">
        <f aca="false">[2]Sheet1!I195</f>
        <v>0</v>
      </c>
      <c r="K195" s="0" t="n">
        <f aca="false">[2]Sheet1!J195</f>
        <v>0</v>
      </c>
      <c r="L195" s="0" t="n">
        <f aca="false">[2]Sheet1!K195</f>
        <v>0</v>
      </c>
      <c r="M195" s="0" t="n">
        <f aca="false">[2]Sheet1!L195</f>
        <v>16</v>
      </c>
      <c r="N195" s="0" t="n">
        <f aca="false">[2]Sheet1!M195</f>
        <v>9</v>
      </c>
      <c r="O195" s="0" t="n">
        <f aca="false">[2]Sheet1!N195</f>
        <v>18</v>
      </c>
      <c r="P195" s="226" t="n">
        <f aca="false">SUM(AY195+BA195)</f>
        <v>87.5</v>
      </c>
      <c r="Q195" s="204" t="s">
        <v>1254</v>
      </c>
      <c r="R195" s="221" t="n">
        <v>1</v>
      </c>
      <c r="S195" s="227"/>
      <c r="T195" s="71"/>
      <c r="U195" s="204" t="s">
        <v>1492</v>
      </c>
      <c r="V195" s="221" t="n">
        <v>3.2</v>
      </c>
      <c r="W195" s="227"/>
      <c r="X195" s="71"/>
      <c r="Y195" s="201"/>
      <c r="Z195" s="71"/>
      <c r="AA195" s="227"/>
      <c r="AB195" s="71"/>
      <c r="AC195" s="201"/>
      <c r="AD195" s="71"/>
      <c r="AE195" s="227"/>
      <c r="AF195" s="71"/>
      <c r="AG195" s="201"/>
      <c r="AH195" s="71"/>
      <c r="AI195" s="227"/>
      <c r="AJ195" s="71"/>
      <c r="AK195" s="201"/>
      <c r="AL195" s="71"/>
      <c r="AM195" s="227"/>
      <c r="AN195" s="71"/>
      <c r="AO195" s="201"/>
      <c r="AP195" s="71"/>
      <c r="AQ195" s="227"/>
      <c r="AR195" s="71"/>
      <c r="AS195" s="227"/>
      <c r="AT195" s="228"/>
      <c r="AU195" s="227"/>
      <c r="AV195" s="228"/>
      <c r="AW195" s="227"/>
      <c r="AX195" s="229" t="n">
        <f aca="false">SUM(R195+T195+V195+X195+Z195+AB195+AD195+AF195+AH195+AJ195+AL195+AN195+AP195+AR195)</f>
        <v>4.2</v>
      </c>
      <c r="AY195" s="230" t="n">
        <f aca="false">SUM(AX195*1000)/48</f>
        <v>87.5</v>
      </c>
      <c r="AZ195" s="231" t="n">
        <f aca="false">IFERROR(VLOOKUP(A195,'Site check'!$A$14:$O$47,15,0),0)</f>
        <v>0</v>
      </c>
      <c r="BA195" s="232" t="n">
        <f aca="false">SUM(AZ195*1000)/48</f>
        <v>0</v>
      </c>
      <c r="BB195" s="90" t="n">
        <f aca="false">SUM(P195/2)+E195</f>
        <v>93.75</v>
      </c>
      <c r="BC195" s="90" t="n">
        <f aca="false">SUM(P195/2)+F195</f>
        <v>43.75</v>
      </c>
    </row>
    <row r="196" customFormat="false" ht="13.15" hidden="false" customHeight="false" outlineLevel="0" collapsed="false">
      <c r="A196" s="0" t="str">
        <f aca="false">[2]Sheet1!A196</f>
        <v>LDSCD2_SEC_CBDB_JK1</v>
      </c>
      <c r="B196" s="0" t="str">
        <f aca="false">[2]Sheet1!B196</f>
        <v>LDSCD2;DC SYS A</v>
      </c>
      <c r="C196" s="44" t="str">
        <f aca="false">[2]Sheet1!C196</f>
        <v>LDSCD2</v>
      </c>
      <c r="D196" s="44" t="s">
        <v>643</v>
      </c>
      <c r="E196" s="0" t="n">
        <f aca="false">[2]Sheet1!D196</f>
        <v>150</v>
      </c>
      <c r="F196" s="0" t="n">
        <f aca="false">[2]Sheet1!E196</f>
        <v>150</v>
      </c>
      <c r="G196" s="45" t="n">
        <f aca="false">[2]Sheet1!F196</f>
        <v>44116</v>
      </c>
      <c r="H196" s="0" t="n">
        <f aca="false">[2]Sheet1!G196</f>
        <v>300</v>
      </c>
      <c r="I196" s="0" t="n">
        <f aca="false">[2]Sheet1!H196</f>
        <v>300</v>
      </c>
      <c r="J196" s="0" t="n">
        <f aca="false">[2]Sheet1!I196</f>
        <v>0</v>
      </c>
      <c r="K196" s="0" t="n">
        <f aca="false">[2]Sheet1!J196</f>
        <v>0</v>
      </c>
      <c r="L196" s="0" t="n">
        <f aca="false">[2]Sheet1!K196</f>
        <v>2</v>
      </c>
      <c r="M196" s="0" t="n">
        <f aca="false">[2]Sheet1!L196</f>
        <v>0</v>
      </c>
      <c r="N196" s="0" t="n">
        <f aca="false">[2]Sheet1!M196</f>
        <v>0</v>
      </c>
      <c r="O196" s="0" t="n">
        <f aca="false">[2]Sheet1!N196</f>
        <v>12</v>
      </c>
      <c r="P196" s="226" t="n">
        <f aca="false">SUM(AY196+BA196)</f>
        <v>0</v>
      </c>
      <c r="Q196" s="201"/>
      <c r="R196" s="71"/>
      <c r="S196" s="227"/>
      <c r="T196" s="71"/>
      <c r="U196" s="201"/>
      <c r="V196" s="71"/>
      <c r="W196" s="227"/>
      <c r="X196" s="71"/>
      <c r="Y196" s="201"/>
      <c r="Z196" s="71"/>
      <c r="AA196" s="227"/>
      <c r="AB196" s="71"/>
      <c r="AC196" s="201"/>
      <c r="AD196" s="71"/>
      <c r="AE196" s="227"/>
      <c r="AF196" s="71"/>
      <c r="AG196" s="201"/>
      <c r="AH196" s="71"/>
      <c r="AI196" s="227"/>
      <c r="AJ196" s="71"/>
      <c r="AK196" s="201"/>
      <c r="AL196" s="71"/>
      <c r="AM196" s="227"/>
      <c r="AN196" s="71"/>
      <c r="AO196" s="201"/>
      <c r="AP196" s="71"/>
      <c r="AQ196" s="227"/>
      <c r="AR196" s="71"/>
      <c r="AS196" s="227"/>
      <c r="AT196" s="228"/>
      <c r="AU196" s="227"/>
      <c r="AV196" s="228"/>
      <c r="AW196" s="227"/>
      <c r="AX196" s="229" t="n">
        <f aca="false">SUM(R196+T196+V196+X196+Z196+AB196+AD196+AF196+AH196+AJ196+AL196+AN196+AP196+AR196)</f>
        <v>0</v>
      </c>
      <c r="AY196" s="230" t="n">
        <f aca="false">SUM(AX196*1000)/48</f>
        <v>0</v>
      </c>
      <c r="AZ196" s="231" t="n">
        <f aca="false">IFERROR(VLOOKUP(A196,'Site check'!$A$14:$O$47,15,0),0)</f>
        <v>0</v>
      </c>
      <c r="BA196" s="232" t="n">
        <f aca="false">SUM(AZ196*1000)/48</f>
        <v>0</v>
      </c>
      <c r="BB196" s="90" t="n">
        <f aca="false">SUM(P196/2)+E196</f>
        <v>150</v>
      </c>
      <c r="BC196" s="90" t="n">
        <f aca="false">SUM(P196/2)+F196</f>
        <v>150</v>
      </c>
    </row>
    <row r="197" customFormat="false" ht="13.15" hidden="false" customHeight="false" outlineLevel="0" collapsed="false">
      <c r="A197" s="0" t="str">
        <f aca="false">[2]Sheet1!A197</f>
        <v>LDSCD2_SEC_CBDB_TU01</v>
      </c>
      <c r="B197" s="0" t="str">
        <f aca="false">[2]Sheet1!B197</f>
        <v>LDSCD2;DC SYS A</v>
      </c>
      <c r="C197" s="44" t="str">
        <f aca="false">[2]Sheet1!C197</f>
        <v>LDSCD2</v>
      </c>
      <c r="D197" s="44" t="s">
        <v>643</v>
      </c>
      <c r="E197" s="0" t="n">
        <f aca="false">[2]Sheet1!D197</f>
        <v>241</v>
      </c>
      <c r="F197" s="0" t="n">
        <f aca="false">[2]Sheet1!E197</f>
        <v>156</v>
      </c>
      <c r="G197" s="45" t="n">
        <f aca="false">[2]Sheet1!F197</f>
        <v>44482</v>
      </c>
      <c r="H197" s="0" t="n">
        <f aca="false">[2]Sheet1!G197</f>
        <v>300</v>
      </c>
      <c r="I197" s="0" t="n">
        <f aca="false">[2]Sheet1!H197</f>
        <v>300</v>
      </c>
      <c r="J197" s="0" t="n">
        <f aca="false">[2]Sheet1!I197</f>
        <v>5</v>
      </c>
      <c r="K197" s="0" t="n">
        <f aca="false">[2]Sheet1!J197</f>
        <v>0</v>
      </c>
      <c r="L197" s="0" t="n">
        <f aca="false">[2]Sheet1!K197</f>
        <v>0</v>
      </c>
      <c r="M197" s="0" t="n">
        <f aca="false">[2]Sheet1!L197</f>
        <v>0</v>
      </c>
      <c r="N197" s="0" t="n">
        <f aca="false">[2]Sheet1!M197</f>
        <v>0</v>
      </c>
      <c r="O197" s="0" t="n">
        <f aca="false">[2]Sheet1!N197</f>
        <v>12</v>
      </c>
      <c r="P197" s="226" t="n">
        <f aca="false">SUM(AY197+BA197)</f>
        <v>343.75</v>
      </c>
      <c r="Q197" s="201" t="s">
        <v>1493</v>
      </c>
      <c r="R197" s="71" t="n">
        <v>5</v>
      </c>
      <c r="S197" s="181" t="s">
        <v>1494</v>
      </c>
      <c r="T197" s="234" t="n">
        <v>2.9</v>
      </c>
      <c r="U197" s="170" t="s">
        <v>1248</v>
      </c>
      <c r="V197" s="234" t="n">
        <v>1.8</v>
      </c>
      <c r="W197" s="204" t="s">
        <v>1257</v>
      </c>
      <c r="X197" s="218" t="n">
        <v>5.6</v>
      </c>
      <c r="Y197" s="204" t="s">
        <v>1258</v>
      </c>
      <c r="Z197" s="180" t="n">
        <v>1.2</v>
      </c>
      <c r="AA197" s="227"/>
      <c r="AB197" s="71"/>
      <c r="AC197" s="201"/>
      <c r="AD197" s="71"/>
      <c r="AE197" s="227"/>
      <c r="AF197" s="71"/>
      <c r="AG197" s="201"/>
      <c r="AH197" s="71"/>
      <c r="AI197" s="227"/>
      <c r="AJ197" s="71"/>
      <c r="AK197" s="201"/>
      <c r="AL197" s="71"/>
      <c r="AM197" s="227"/>
      <c r="AN197" s="71"/>
      <c r="AO197" s="201"/>
      <c r="AP197" s="71"/>
      <c r="AQ197" s="227"/>
      <c r="AR197" s="71"/>
      <c r="AS197" s="227"/>
      <c r="AT197" s="228"/>
      <c r="AU197" s="227"/>
      <c r="AV197" s="228"/>
      <c r="AW197" s="227"/>
      <c r="AX197" s="229" t="n">
        <f aca="false">SUM(R197+T197+V197+X197+Z197+AB197+AD197+AF197+AH197+AJ197+AL197+AN197+AP197+AR197)</f>
        <v>16.5</v>
      </c>
      <c r="AY197" s="230" t="n">
        <f aca="false">SUM(AX197*1000)/48</f>
        <v>343.75</v>
      </c>
      <c r="AZ197" s="231" t="n">
        <f aca="false">IFERROR(VLOOKUP(A197,'Site check'!$A$14:$O$47,15,0),0)</f>
        <v>0</v>
      </c>
      <c r="BA197" s="232" t="n">
        <f aca="false">SUM(AZ197*1000)/48</f>
        <v>0</v>
      </c>
      <c r="BB197" s="90" t="n">
        <f aca="false">SUM(P197/2)+E197</f>
        <v>412.875</v>
      </c>
      <c r="BC197" s="90" t="n">
        <f aca="false">SUM(P197/2)+F197</f>
        <v>327.875</v>
      </c>
    </row>
    <row r="198" customFormat="false" ht="13.15" hidden="false" customHeight="false" outlineLevel="0" collapsed="false">
      <c r="A198" s="0" t="str">
        <f aca="false">[2]Sheet1!A198</f>
        <v>LDSCD2_SEC_CBDB_XY01 (this is actually the iPDU)</v>
      </c>
      <c r="B198" s="0" t="str">
        <f aca="false">[2]Sheet1!B198</f>
        <v>LDSCD2;DC SYS A</v>
      </c>
      <c r="C198" s="44" t="str">
        <f aca="false">[2]Sheet1!C198</f>
        <v>LDSCD2</v>
      </c>
      <c r="D198" s="44" t="s">
        <v>643</v>
      </c>
      <c r="E198" s="0" t="n">
        <f aca="false">[2]Sheet1!D198</f>
        <v>0</v>
      </c>
      <c r="F198" s="0" t="n">
        <f aca="false">[2]Sheet1!E198</f>
        <v>0</v>
      </c>
      <c r="G198" s="45" t="n">
        <f aca="false">[2]Sheet1!F198</f>
        <v>0</v>
      </c>
      <c r="H198" s="0" t="n">
        <f aca="false">[2]Sheet1!G198</f>
        <v>0</v>
      </c>
      <c r="I198" s="0" t="n">
        <f aca="false">[2]Sheet1!H198</f>
        <v>0</v>
      </c>
      <c r="J198" s="0" t="n">
        <f aca="false">[2]Sheet1!I198</f>
        <v>0</v>
      </c>
      <c r="K198" s="0" t="n">
        <f aca="false">[2]Sheet1!J198</f>
        <v>0</v>
      </c>
      <c r="L198" s="0" t="n">
        <f aca="false">[2]Sheet1!K198</f>
        <v>0</v>
      </c>
      <c r="M198" s="0" t="n">
        <f aca="false">[2]Sheet1!L198</f>
        <v>0</v>
      </c>
      <c r="N198" s="0" t="n">
        <f aca="false">[2]Sheet1!M198</f>
        <v>0</v>
      </c>
      <c r="O198" s="0" t="n">
        <f aca="false">[2]Sheet1!N198</f>
        <v>0</v>
      </c>
      <c r="P198" s="226" t="n">
        <f aca="false">SUM(AY198+BA198)</f>
        <v>77.0833333333333</v>
      </c>
      <c r="Q198" s="204" t="s">
        <v>1259</v>
      </c>
      <c r="R198" s="218" t="n">
        <v>3.7</v>
      </c>
      <c r="S198" s="227"/>
      <c r="T198" s="71"/>
      <c r="U198" s="201"/>
      <c r="V198" s="71"/>
      <c r="W198" s="227"/>
      <c r="X198" s="71"/>
      <c r="Y198" s="201"/>
      <c r="Z198" s="71"/>
      <c r="AA198" s="227"/>
      <c r="AB198" s="71"/>
      <c r="AC198" s="201"/>
      <c r="AD198" s="71"/>
      <c r="AE198" s="227"/>
      <c r="AF198" s="71"/>
      <c r="AG198" s="201"/>
      <c r="AH198" s="71"/>
      <c r="AI198" s="227"/>
      <c r="AJ198" s="71"/>
      <c r="AK198" s="201"/>
      <c r="AL198" s="71"/>
      <c r="AM198" s="227"/>
      <c r="AN198" s="71"/>
      <c r="AO198" s="201"/>
      <c r="AP198" s="71"/>
      <c r="AQ198" s="227"/>
      <c r="AR198" s="71"/>
      <c r="AS198" s="227"/>
      <c r="AT198" s="228"/>
      <c r="AU198" s="227"/>
      <c r="AV198" s="228"/>
      <c r="AW198" s="227"/>
      <c r="AX198" s="229" t="n">
        <f aca="false">SUM(R198+T198+V198+X198+Z198+AB198+AD198+AF198+AH198+AJ198+AL198+AN198+AP198+AR198)</f>
        <v>3.7</v>
      </c>
      <c r="AY198" s="230" t="n">
        <f aca="false">SUM(AX198*1000)/48</f>
        <v>77.0833333333333</v>
      </c>
      <c r="AZ198" s="231" t="n">
        <f aca="false">IFERROR(VLOOKUP(A198,'Site check'!$A$14:$O$47,15,0),0)</f>
        <v>0</v>
      </c>
      <c r="BA198" s="232" t="n">
        <f aca="false">SUM(AZ198*1000)/48</f>
        <v>0</v>
      </c>
      <c r="BB198" s="90" t="n">
        <f aca="false">SUM(P198/2)+E198</f>
        <v>38.5416666666667</v>
      </c>
      <c r="BC198" s="90" t="n">
        <f aca="false">SUM(P198/2)+F198</f>
        <v>38.5416666666667</v>
      </c>
    </row>
    <row r="199" customFormat="false" ht="13.15" hidden="false" customHeight="false" outlineLevel="0" collapsed="false">
      <c r="A199" s="0" t="str">
        <f aca="false">[2]Sheet1!A199</f>
        <v>LDSTS1_DCDB Eaton J10</v>
      </c>
      <c r="B199" s="0" t="str">
        <f aca="false">[2]Sheet1!B199</f>
        <v>LDSTS1;DC SYS01</v>
      </c>
      <c r="C199" s="44" t="str">
        <f aca="false">[2]Sheet1!C199</f>
        <v>LDSTS1</v>
      </c>
      <c r="D199" s="44" t="s">
        <v>646</v>
      </c>
      <c r="E199" s="0" t="n">
        <f aca="false">[2]Sheet1!D199</f>
        <v>155</v>
      </c>
      <c r="F199" s="0" t="n">
        <f aca="false">[2]Sheet1!E199</f>
        <v>155</v>
      </c>
      <c r="G199" s="45" t="n">
        <f aca="false">[2]Sheet1!F199</f>
        <v>44974</v>
      </c>
      <c r="H199" s="0" t="n">
        <f aca="false">[2]Sheet1!G199</f>
        <v>300</v>
      </c>
      <c r="I199" s="0" t="n">
        <f aca="false">[2]Sheet1!H199</f>
        <v>300</v>
      </c>
      <c r="J199" s="0" t="n">
        <f aca="false">[2]Sheet1!I199</f>
        <v>0</v>
      </c>
      <c r="K199" s="0" t="n">
        <f aca="false">[2]Sheet1!J199</f>
        <v>0</v>
      </c>
      <c r="L199" s="0" t="n">
        <f aca="false">[2]Sheet1!K199</f>
        <v>0</v>
      </c>
      <c r="M199" s="0" t="n">
        <f aca="false">[2]Sheet1!L199</f>
        <v>0</v>
      </c>
      <c r="N199" s="0" t="n">
        <f aca="false">[2]Sheet1!M199</f>
        <v>0</v>
      </c>
      <c r="O199" s="0" t="n">
        <f aca="false">[2]Sheet1!N199</f>
        <v>23</v>
      </c>
      <c r="P199" s="226" t="n">
        <f aca="false">SUM(AY199+BA199)</f>
        <v>0</v>
      </c>
      <c r="Q199" s="201"/>
      <c r="R199" s="71"/>
      <c r="S199" s="227"/>
      <c r="T199" s="71"/>
      <c r="U199" s="201"/>
      <c r="V199" s="71"/>
      <c r="W199" s="227"/>
      <c r="X199" s="71"/>
      <c r="Y199" s="201"/>
      <c r="Z199" s="71"/>
      <c r="AA199" s="227"/>
      <c r="AB199" s="71"/>
      <c r="AC199" s="201"/>
      <c r="AD199" s="71"/>
      <c r="AE199" s="227"/>
      <c r="AF199" s="71"/>
      <c r="AG199" s="201"/>
      <c r="AH199" s="71"/>
      <c r="AI199" s="227"/>
      <c r="AJ199" s="71"/>
      <c r="AK199" s="201"/>
      <c r="AL199" s="71"/>
      <c r="AM199" s="227"/>
      <c r="AN199" s="71"/>
      <c r="AO199" s="201"/>
      <c r="AP199" s="71"/>
      <c r="AQ199" s="227"/>
      <c r="AR199" s="71"/>
      <c r="AS199" s="227"/>
      <c r="AT199" s="228"/>
      <c r="AU199" s="227"/>
      <c r="AV199" s="228"/>
      <c r="AW199" s="227"/>
      <c r="AX199" s="229" t="n">
        <f aca="false">SUM(R199+T199+V199+X199+Z199+AB199+AD199+AF199+AH199+AJ199+AL199+AN199+AP199+AR199)</f>
        <v>0</v>
      </c>
      <c r="AY199" s="230" t="n">
        <f aca="false">SUM(AX199*1000)/48</f>
        <v>0</v>
      </c>
      <c r="AZ199" s="231" t="n">
        <f aca="false">IFERROR(VLOOKUP(A199,'Site check'!$A$14:$O$47,15,0),0)</f>
        <v>0</v>
      </c>
      <c r="BA199" s="232" t="n">
        <f aca="false">SUM(AZ199*1000)/48</f>
        <v>0</v>
      </c>
      <c r="BB199" s="90" t="n">
        <f aca="false">SUM(P199/2)+E199</f>
        <v>155</v>
      </c>
      <c r="BC199" s="90" t="n">
        <f aca="false">SUM(P199/2)+F199</f>
        <v>155</v>
      </c>
    </row>
    <row r="200" customFormat="false" ht="13.15" hidden="false" customHeight="false" outlineLevel="0" collapsed="false">
      <c r="A200" s="0" t="str">
        <f aca="false">[2]Sheet1!A200</f>
        <v>LDSTS1_DCDB Eaton M19</v>
      </c>
      <c r="B200" s="0" t="str">
        <f aca="false">[2]Sheet1!B200</f>
        <v>LDSTS1;DC SYS01</v>
      </c>
      <c r="C200" s="44" t="str">
        <f aca="false">[2]Sheet1!C200</f>
        <v>LDSTS1</v>
      </c>
      <c r="D200" s="44" t="s">
        <v>646</v>
      </c>
      <c r="E200" s="0" t="n">
        <f aca="false">[2]Sheet1!D200</f>
        <v>132</v>
      </c>
      <c r="F200" s="0" t="n">
        <f aca="false">[2]Sheet1!E200</f>
        <v>129</v>
      </c>
      <c r="G200" s="45" t="n">
        <f aca="false">[2]Sheet1!F200</f>
        <v>44974</v>
      </c>
      <c r="H200" s="0" t="n">
        <f aca="false">[2]Sheet1!G200</f>
        <v>300</v>
      </c>
      <c r="I200" s="0" t="n">
        <f aca="false">[2]Sheet1!H200</f>
        <v>300</v>
      </c>
      <c r="J200" s="0" t="n">
        <f aca="false">[2]Sheet1!I200</f>
        <v>1</v>
      </c>
      <c r="K200" s="0" t="n">
        <f aca="false">[2]Sheet1!J200</f>
        <v>0</v>
      </c>
      <c r="L200" s="0" t="n">
        <f aca="false">[2]Sheet1!K200</f>
        <v>0</v>
      </c>
      <c r="M200" s="0" t="n">
        <f aca="false">[2]Sheet1!L200</f>
        <v>0</v>
      </c>
      <c r="N200" s="0" t="n">
        <f aca="false">[2]Sheet1!M200</f>
        <v>0</v>
      </c>
      <c r="O200" s="0" t="n">
        <f aca="false">[2]Sheet1!N200</f>
        <v>31</v>
      </c>
      <c r="P200" s="226" t="n">
        <f aca="false">SUM(AY200+BA200)</f>
        <v>310.416666666667</v>
      </c>
      <c r="Q200" s="170" t="s">
        <v>1262</v>
      </c>
      <c r="R200" s="234" t="n">
        <v>5</v>
      </c>
      <c r="S200" s="170" t="s">
        <v>1263</v>
      </c>
      <c r="T200" s="234" t="n">
        <v>1.5</v>
      </c>
      <c r="U200" s="179" t="s">
        <v>1264</v>
      </c>
      <c r="V200" s="180" t="n">
        <v>3.2</v>
      </c>
      <c r="W200" s="202" t="s">
        <v>1265</v>
      </c>
      <c r="X200" s="235" t="n">
        <v>1</v>
      </c>
      <c r="Y200" s="179" t="s">
        <v>1266</v>
      </c>
      <c r="Z200" s="180" t="n">
        <v>4.2</v>
      </c>
      <c r="AA200" s="227"/>
      <c r="AB200" s="71"/>
      <c r="AC200" s="201"/>
      <c r="AD200" s="71"/>
      <c r="AE200" s="227"/>
      <c r="AF200" s="71"/>
      <c r="AG200" s="201"/>
      <c r="AH200" s="71"/>
      <c r="AI200" s="227"/>
      <c r="AJ200" s="71"/>
      <c r="AK200" s="201"/>
      <c r="AL200" s="71"/>
      <c r="AM200" s="227"/>
      <c r="AN200" s="71"/>
      <c r="AO200" s="201"/>
      <c r="AP200" s="71"/>
      <c r="AQ200" s="227"/>
      <c r="AR200" s="71"/>
      <c r="AS200" s="227"/>
      <c r="AT200" s="228"/>
      <c r="AU200" s="227"/>
      <c r="AV200" s="228"/>
      <c r="AW200" s="227"/>
      <c r="AX200" s="229" t="n">
        <f aca="false">SUM(R200+T200+V200+X200+Z200+AB200+AD200+AF200+AH200+AJ200+AL200+AN200+AP200+AR200)</f>
        <v>14.9</v>
      </c>
      <c r="AY200" s="230" t="n">
        <f aca="false">SUM(AX200*1000)/48</f>
        <v>310.416666666667</v>
      </c>
      <c r="AZ200" s="231" t="n">
        <f aca="false">IFERROR(VLOOKUP(A200,'Site check'!$A$14:$O$47,15,0),0)</f>
        <v>0</v>
      </c>
      <c r="BA200" s="232" t="n">
        <f aca="false">SUM(AZ200*1000)/48</f>
        <v>0</v>
      </c>
      <c r="BB200" s="90" t="n">
        <f aca="false">SUM(P200/2)+E200</f>
        <v>287.208333333333</v>
      </c>
      <c r="BC200" s="90" t="n">
        <f aca="false">SUM(P200/2)+F200</f>
        <v>284.208333333333</v>
      </c>
    </row>
    <row r="201" customFormat="false" ht="13.15" hidden="false" customHeight="false" outlineLevel="0" collapsed="false">
      <c r="A201" s="0" t="str">
        <f aca="false">[2]Sheet1!A201</f>
        <v>LDSTS1 EOS DA</v>
      </c>
      <c r="B201" s="0" t="str">
        <f aca="false">[2]Sheet1!B201</f>
        <v>LDSTS1;DC SYS01</v>
      </c>
      <c r="C201" s="44" t="str">
        <f aca="false">[2]Sheet1!C201</f>
        <v>LDSTS1</v>
      </c>
      <c r="D201" s="44" t="s">
        <v>646</v>
      </c>
      <c r="E201" s="0" t="str">
        <f aca="false">[2]Sheet1!D201</f>
        <v>N/A</v>
      </c>
      <c r="F201" s="0" t="str">
        <f aca="false">[2]Sheet1!E201</f>
        <v>N/A</v>
      </c>
      <c r="G201" s="45" t="n">
        <f aca="false">[2]Sheet1!F201</f>
        <v>44974</v>
      </c>
      <c r="H201" s="0" t="n">
        <f aca="false">[2]Sheet1!G201</f>
        <v>80</v>
      </c>
      <c r="I201" s="0" t="n">
        <f aca="false">[2]Sheet1!H201</f>
        <v>80</v>
      </c>
      <c r="J201" s="0" t="n">
        <f aca="false">[2]Sheet1!I201</f>
        <v>0</v>
      </c>
      <c r="K201" s="0" t="n">
        <f aca="false">[2]Sheet1!J201</f>
        <v>0</v>
      </c>
      <c r="L201" s="0" t="n">
        <f aca="false">[2]Sheet1!K201</f>
        <v>0</v>
      </c>
      <c r="M201" s="0" t="n">
        <f aca="false">[2]Sheet1!L201</f>
        <v>0</v>
      </c>
      <c r="N201" s="0" t="n">
        <f aca="false">[2]Sheet1!M201</f>
        <v>11</v>
      </c>
      <c r="O201" s="0" t="n">
        <f aca="false">[2]Sheet1!N201</f>
        <v>0</v>
      </c>
      <c r="P201" s="226" t="n">
        <f aca="false">SUM(AY201+BA201)</f>
        <v>0</v>
      </c>
      <c r="Q201" s="201"/>
      <c r="R201" s="71"/>
      <c r="S201" s="227"/>
      <c r="T201" s="71"/>
      <c r="U201" s="201"/>
      <c r="V201" s="71"/>
      <c r="W201" s="227"/>
      <c r="X201" s="71"/>
      <c r="Y201" s="201"/>
      <c r="Z201" s="71"/>
      <c r="AA201" s="227"/>
      <c r="AB201" s="71"/>
      <c r="AC201" s="201"/>
      <c r="AD201" s="71"/>
      <c r="AE201" s="227"/>
      <c r="AF201" s="71"/>
      <c r="AG201" s="201"/>
      <c r="AH201" s="71"/>
      <c r="AI201" s="227"/>
      <c r="AJ201" s="71"/>
      <c r="AK201" s="201"/>
      <c r="AL201" s="71"/>
      <c r="AM201" s="227"/>
      <c r="AN201" s="71"/>
      <c r="AO201" s="201"/>
      <c r="AP201" s="71"/>
      <c r="AQ201" s="227"/>
      <c r="AR201" s="71"/>
      <c r="AS201" s="227"/>
      <c r="AT201" s="228"/>
      <c r="AU201" s="227"/>
      <c r="AV201" s="228"/>
      <c r="AW201" s="227"/>
      <c r="AX201" s="229" t="n">
        <f aca="false">SUM(R201+T201+V201+X201+Z201+AB201+AD201+AF201+AH201+AJ201+AL201+AN201+AP201+AR201)</f>
        <v>0</v>
      </c>
      <c r="AY201" s="230" t="n">
        <f aca="false">SUM(AX201*1000)/48</f>
        <v>0</v>
      </c>
      <c r="AZ201" s="231" t="n">
        <f aca="false">IFERROR(VLOOKUP(A201,'Site check'!$A$14:$O$47,15,0),0)</f>
        <v>0</v>
      </c>
      <c r="BA201" s="232" t="n">
        <f aca="false">SUM(AZ201*1000)/48</f>
        <v>0</v>
      </c>
      <c r="BB201" s="90" t="e">
        <f aca="false">SUM(P201/2)+E201</f>
        <v>#VALUE!</v>
      </c>
      <c r="BC201" s="90" t="e">
        <f aca="false">SUM(P201/2)+F201</f>
        <v>#VALUE!</v>
      </c>
    </row>
    <row r="202" customFormat="false" ht="13.15" hidden="false" customHeight="false" outlineLevel="0" collapsed="false">
      <c r="A202" s="0" t="str">
        <f aca="false">[2]Sheet1!A202</f>
        <v>LDSTS1 EOS EA</v>
      </c>
      <c r="B202" s="0" t="str">
        <f aca="false">[2]Sheet1!B202</f>
        <v>LDSTS1;DC SYS01</v>
      </c>
      <c r="C202" s="44" t="str">
        <f aca="false">[2]Sheet1!C202</f>
        <v>LDSTS1</v>
      </c>
      <c r="D202" s="44" t="s">
        <v>646</v>
      </c>
      <c r="E202" s="0" t="str">
        <f aca="false">[2]Sheet1!D202</f>
        <v>N/A</v>
      </c>
      <c r="F202" s="0" t="str">
        <f aca="false">[2]Sheet1!E202</f>
        <v>N/A</v>
      </c>
      <c r="G202" s="45" t="n">
        <f aca="false">[2]Sheet1!F202</f>
        <v>44974</v>
      </c>
      <c r="H202" s="0" t="n">
        <f aca="false">[2]Sheet1!G202</f>
        <v>80</v>
      </c>
      <c r="I202" s="0" t="n">
        <f aca="false">[2]Sheet1!H202</f>
        <v>80</v>
      </c>
      <c r="J202" s="0" t="n">
        <f aca="false">[2]Sheet1!I202</f>
        <v>0</v>
      </c>
      <c r="K202" s="0" t="n">
        <f aca="false">[2]Sheet1!J202</f>
        <v>0</v>
      </c>
      <c r="L202" s="0" t="n">
        <f aca="false">[2]Sheet1!K202</f>
        <v>0</v>
      </c>
      <c r="M202" s="0" t="n">
        <f aca="false">[2]Sheet1!L202</f>
        <v>0</v>
      </c>
      <c r="N202" s="0" t="n">
        <f aca="false">[2]Sheet1!M202</f>
        <v>11</v>
      </c>
      <c r="O202" s="0" t="n">
        <f aca="false">[2]Sheet1!N202</f>
        <v>0</v>
      </c>
      <c r="P202" s="226" t="n">
        <f aca="false">SUM(AY202+BA202)</f>
        <v>0</v>
      </c>
      <c r="Q202" s="201"/>
      <c r="R202" s="71"/>
      <c r="S202" s="227"/>
      <c r="T202" s="71"/>
      <c r="U202" s="201"/>
      <c r="V202" s="71"/>
      <c r="W202" s="227"/>
      <c r="X202" s="71"/>
      <c r="Y202" s="201"/>
      <c r="Z202" s="71"/>
      <c r="AA202" s="227"/>
      <c r="AB202" s="71"/>
      <c r="AC202" s="201"/>
      <c r="AD202" s="71"/>
      <c r="AE202" s="227"/>
      <c r="AF202" s="71"/>
      <c r="AG202" s="201"/>
      <c r="AH202" s="71"/>
      <c r="AI202" s="227"/>
      <c r="AJ202" s="71"/>
      <c r="AK202" s="201"/>
      <c r="AL202" s="71"/>
      <c r="AM202" s="227"/>
      <c r="AN202" s="71"/>
      <c r="AO202" s="201"/>
      <c r="AP202" s="71"/>
      <c r="AQ202" s="227"/>
      <c r="AR202" s="71"/>
      <c r="AS202" s="227"/>
      <c r="AT202" s="228"/>
      <c r="AU202" s="227"/>
      <c r="AV202" s="228"/>
      <c r="AW202" s="227"/>
      <c r="AX202" s="229" t="n">
        <f aca="false">SUM(R202+T202+V202+X202+Z202+AB202+AD202+AF202+AH202+AJ202+AL202+AN202+AP202+AR202)</f>
        <v>0</v>
      </c>
      <c r="AY202" s="230" t="n">
        <f aca="false">SUM(AX202*1000)/48</f>
        <v>0</v>
      </c>
      <c r="AZ202" s="231" t="n">
        <f aca="false">IFERROR(VLOOKUP(A202,'Site check'!$A$14:$O$47,15,0),0)</f>
        <v>0</v>
      </c>
      <c r="BA202" s="232" t="n">
        <f aca="false">SUM(AZ202*1000)/48</f>
        <v>0</v>
      </c>
      <c r="BB202" s="90" t="e">
        <f aca="false">SUM(P202/2)+E202</f>
        <v>#VALUE!</v>
      </c>
      <c r="BC202" s="90" t="e">
        <f aca="false">SUM(P202/2)+F202</f>
        <v>#VALUE!</v>
      </c>
    </row>
    <row r="203" customFormat="false" ht="13.15" hidden="false" customHeight="false" outlineLevel="0" collapsed="false">
      <c r="A203" s="0" t="str">
        <f aca="false">[2]Sheet1!A203</f>
        <v>LDSTS1 EOS FA</v>
      </c>
      <c r="B203" s="0" t="str">
        <f aca="false">[2]Sheet1!B203</f>
        <v>LDSTS1;DC SYS01</v>
      </c>
      <c r="C203" s="44" t="str">
        <f aca="false">[2]Sheet1!C203</f>
        <v>LDSTS1</v>
      </c>
      <c r="D203" s="44" t="s">
        <v>646</v>
      </c>
      <c r="E203" s="0" t="str">
        <f aca="false">[2]Sheet1!D203</f>
        <v>N/A</v>
      </c>
      <c r="F203" s="0" t="str">
        <f aca="false">[2]Sheet1!E203</f>
        <v>N/A</v>
      </c>
      <c r="G203" s="45" t="n">
        <f aca="false">[2]Sheet1!F203</f>
        <v>44974</v>
      </c>
      <c r="H203" s="0" t="n">
        <f aca="false">[2]Sheet1!G203</f>
        <v>80</v>
      </c>
      <c r="I203" s="0" t="n">
        <f aca="false">[2]Sheet1!H203</f>
        <v>80</v>
      </c>
      <c r="J203" s="0" t="n">
        <f aca="false">[2]Sheet1!I203</f>
        <v>0</v>
      </c>
      <c r="K203" s="0" t="n">
        <f aca="false">[2]Sheet1!J203</f>
        <v>0</v>
      </c>
      <c r="L203" s="0" t="n">
        <f aca="false">[2]Sheet1!K203</f>
        <v>0</v>
      </c>
      <c r="M203" s="0" t="n">
        <f aca="false">[2]Sheet1!L203</f>
        <v>0</v>
      </c>
      <c r="N203" s="0" t="n">
        <f aca="false">[2]Sheet1!M203</f>
        <v>8</v>
      </c>
      <c r="O203" s="0" t="n">
        <f aca="false">[2]Sheet1!N203</f>
        <v>0</v>
      </c>
      <c r="P203" s="226" t="n">
        <f aca="false">SUM(AY203+BA203)</f>
        <v>0</v>
      </c>
      <c r="Q203" s="201"/>
      <c r="R203" s="71"/>
      <c r="S203" s="227"/>
      <c r="T203" s="71"/>
      <c r="U203" s="201"/>
      <c r="V203" s="71"/>
      <c r="W203" s="227"/>
      <c r="X203" s="71"/>
      <c r="Y203" s="201"/>
      <c r="Z203" s="71"/>
      <c r="AA203" s="227"/>
      <c r="AB203" s="71"/>
      <c r="AC203" s="201"/>
      <c r="AD203" s="71"/>
      <c r="AE203" s="227"/>
      <c r="AF203" s="71"/>
      <c r="AG203" s="201"/>
      <c r="AH203" s="71"/>
      <c r="AI203" s="227"/>
      <c r="AJ203" s="71"/>
      <c r="AK203" s="201"/>
      <c r="AL203" s="71"/>
      <c r="AM203" s="227"/>
      <c r="AN203" s="71"/>
      <c r="AO203" s="201"/>
      <c r="AP203" s="71"/>
      <c r="AQ203" s="227"/>
      <c r="AR203" s="71"/>
      <c r="AS203" s="227"/>
      <c r="AT203" s="228"/>
      <c r="AU203" s="227"/>
      <c r="AV203" s="228"/>
      <c r="AW203" s="227"/>
      <c r="AX203" s="229" t="n">
        <f aca="false">SUM(R203+T203+V203+X203+Z203+AB203+AD203+AF203+AH203+AJ203+AL203+AN203+AP203+AR203)</f>
        <v>0</v>
      </c>
      <c r="AY203" s="230" t="n">
        <f aca="false">SUM(AX203*1000)/48</f>
        <v>0</v>
      </c>
      <c r="AZ203" s="231" t="n">
        <f aca="false">IFERROR(VLOOKUP(A203,'Site check'!$A$14:$O$47,15,0),0)</f>
        <v>0</v>
      </c>
      <c r="BA203" s="232" t="n">
        <f aca="false">SUM(AZ203*1000)/48</f>
        <v>0</v>
      </c>
      <c r="BB203" s="90" t="e">
        <f aca="false">SUM(P203/2)+E203</f>
        <v>#VALUE!</v>
      </c>
      <c r="BC203" s="90" t="e">
        <f aca="false">SUM(P203/2)+F203</f>
        <v>#VALUE!</v>
      </c>
    </row>
    <row r="204" customFormat="false" ht="13.15" hidden="false" customHeight="false" outlineLevel="0" collapsed="false">
      <c r="A204" s="0" t="str">
        <f aca="false">[2]Sheet1!A204</f>
        <v>LDSTS1 EOS GA</v>
      </c>
      <c r="B204" s="0" t="str">
        <f aca="false">[2]Sheet1!B204</f>
        <v>LDSTS1;DC SYS01</v>
      </c>
      <c r="C204" s="44" t="str">
        <f aca="false">[2]Sheet1!C204</f>
        <v>LDSTS1</v>
      </c>
      <c r="D204" s="44" t="s">
        <v>646</v>
      </c>
      <c r="E204" s="0" t="str">
        <f aca="false">[2]Sheet1!D204</f>
        <v>N/A</v>
      </c>
      <c r="F204" s="0" t="str">
        <f aca="false">[2]Sheet1!E204</f>
        <v>N/A</v>
      </c>
      <c r="G204" s="45" t="n">
        <f aca="false">[2]Sheet1!F204</f>
        <v>44974</v>
      </c>
      <c r="H204" s="0" t="n">
        <f aca="false">[2]Sheet1!G204</f>
        <v>80</v>
      </c>
      <c r="I204" s="0" t="n">
        <f aca="false">[2]Sheet1!H204</f>
        <v>80</v>
      </c>
      <c r="J204" s="0" t="n">
        <f aca="false">[2]Sheet1!I204</f>
        <v>0</v>
      </c>
      <c r="K204" s="0" t="n">
        <f aca="false">[2]Sheet1!J204</f>
        <v>0</v>
      </c>
      <c r="L204" s="0" t="n">
        <f aca="false">[2]Sheet1!K204</f>
        <v>0</v>
      </c>
      <c r="M204" s="0" t="n">
        <f aca="false">[2]Sheet1!L204</f>
        <v>0</v>
      </c>
      <c r="N204" s="0" t="n">
        <f aca="false">[2]Sheet1!M204</f>
        <v>10</v>
      </c>
      <c r="O204" s="0" t="n">
        <f aca="false">[2]Sheet1!N204</f>
        <v>0</v>
      </c>
      <c r="P204" s="226" t="n">
        <f aca="false">SUM(AY204+BA204)</f>
        <v>0</v>
      </c>
      <c r="Q204" s="201"/>
      <c r="R204" s="71"/>
      <c r="S204" s="227"/>
      <c r="T204" s="71"/>
      <c r="U204" s="201"/>
      <c r="V204" s="71"/>
      <c r="W204" s="227"/>
      <c r="X204" s="71"/>
      <c r="Y204" s="201"/>
      <c r="Z204" s="71"/>
      <c r="AA204" s="227"/>
      <c r="AB204" s="71"/>
      <c r="AC204" s="201"/>
      <c r="AD204" s="71"/>
      <c r="AE204" s="227"/>
      <c r="AF204" s="71"/>
      <c r="AG204" s="201"/>
      <c r="AH204" s="71"/>
      <c r="AI204" s="227"/>
      <c r="AJ204" s="71"/>
      <c r="AK204" s="201"/>
      <c r="AL204" s="71"/>
      <c r="AM204" s="227"/>
      <c r="AN204" s="71"/>
      <c r="AO204" s="201"/>
      <c r="AP204" s="71"/>
      <c r="AQ204" s="227"/>
      <c r="AR204" s="71"/>
      <c r="AS204" s="227"/>
      <c r="AT204" s="228"/>
      <c r="AU204" s="227"/>
      <c r="AV204" s="228"/>
      <c r="AW204" s="227"/>
      <c r="AX204" s="229" t="n">
        <f aca="false">SUM(R204+T204+V204+X204+Z204+AB204+AD204+AF204+AH204+AJ204+AL204+AN204+AP204+AR204)</f>
        <v>0</v>
      </c>
      <c r="AY204" s="230" t="n">
        <f aca="false">SUM(AX204*1000)/48</f>
        <v>0</v>
      </c>
      <c r="AZ204" s="231" t="n">
        <f aca="false">IFERROR(VLOOKUP(A204,'Site check'!$A$14:$O$47,15,0),0)</f>
        <v>0</v>
      </c>
      <c r="BA204" s="232" t="n">
        <f aca="false">SUM(AZ204*1000)/48</f>
        <v>0</v>
      </c>
      <c r="BB204" s="90" t="e">
        <f aca="false">SUM(P204/2)+E204</f>
        <v>#VALUE!</v>
      </c>
      <c r="BC204" s="90" t="e">
        <f aca="false">SUM(P204/2)+F204</f>
        <v>#VALUE!</v>
      </c>
    </row>
    <row r="205" customFormat="false" ht="13.15" hidden="false" customHeight="false" outlineLevel="0" collapsed="false">
      <c r="A205" s="0" t="str">
        <f aca="false">[2]Sheet1!A205</f>
        <v>LDSTS1 EOS HA</v>
      </c>
      <c r="B205" s="0" t="str">
        <f aca="false">[2]Sheet1!B205</f>
        <v>LDSTS1;DC SYS01</v>
      </c>
      <c r="C205" s="44" t="str">
        <f aca="false">[2]Sheet1!C205</f>
        <v>LDSTS1</v>
      </c>
      <c r="D205" s="44" t="s">
        <v>646</v>
      </c>
      <c r="E205" s="0" t="str">
        <f aca="false">[2]Sheet1!D205</f>
        <v>N/A</v>
      </c>
      <c r="F205" s="0" t="str">
        <f aca="false">[2]Sheet1!E205</f>
        <v>N/A</v>
      </c>
      <c r="G205" s="45" t="n">
        <f aca="false">[2]Sheet1!F205</f>
        <v>44974</v>
      </c>
      <c r="H205" s="0" t="n">
        <f aca="false">[2]Sheet1!G205</f>
        <v>80</v>
      </c>
      <c r="I205" s="0" t="n">
        <f aca="false">[2]Sheet1!H205</f>
        <v>80</v>
      </c>
      <c r="J205" s="0" t="n">
        <f aca="false">[2]Sheet1!I205</f>
        <v>0</v>
      </c>
      <c r="K205" s="0" t="n">
        <f aca="false">[2]Sheet1!J205</f>
        <v>0</v>
      </c>
      <c r="L205" s="0" t="n">
        <f aca="false">[2]Sheet1!K205</f>
        <v>0</v>
      </c>
      <c r="M205" s="0" t="n">
        <f aca="false">[2]Sheet1!L205</f>
        <v>0</v>
      </c>
      <c r="N205" s="0" t="n">
        <f aca="false">[2]Sheet1!M205</f>
        <v>12</v>
      </c>
      <c r="O205" s="0" t="n">
        <f aca="false">[2]Sheet1!N205</f>
        <v>0</v>
      </c>
      <c r="P205" s="226" t="n">
        <f aca="false">SUM(AY205+BA205)</f>
        <v>0</v>
      </c>
      <c r="Q205" s="201"/>
      <c r="R205" s="71"/>
      <c r="S205" s="227"/>
      <c r="T205" s="71"/>
      <c r="U205" s="201"/>
      <c r="V205" s="71"/>
      <c r="W205" s="227"/>
      <c r="X205" s="71"/>
      <c r="Y205" s="201"/>
      <c r="Z205" s="71"/>
      <c r="AA205" s="227"/>
      <c r="AB205" s="71"/>
      <c r="AC205" s="201"/>
      <c r="AD205" s="71"/>
      <c r="AE205" s="227"/>
      <c r="AF205" s="71"/>
      <c r="AG205" s="201"/>
      <c r="AH205" s="71"/>
      <c r="AI205" s="227"/>
      <c r="AJ205" s="71"/>
      <c r="AK205" s="201"/>
      <c r="AL205" s="71"/>
      <c r="AM205" s="227"/>
      <c r="AN205" s="71"/>
      <c r="AO205" s="201"/>
      <c r="AP205" s="71"/>
      <c r="AQ205" s="227"/>
      <c r="AR205" s="71"/>
      <c r="AS205" s="227"/>
      <c r="AT205" s="228"/>
      <c r="AU205" s="227"/>
      <c r="AV205" s="228"/>
      <c r="AW205" s="227"/>
      <c r="AX205" s="229" t="n">
        <f aca="false">SUM(R205+T205+V205+X205+Z205+AB205+AD205+AF205+AH205+AJ205+AL205+AN205+AP205+AR205)</f>
        <v>0</v>
      </c>
      <c r="AY205" s="230" t="n">
        <f aca="false">SUM(AX205*1000)/48</f>
        <v>0</v>
      </c>
      <c r="AZ205" s="231" t="n">
        <f aca="false">IFERROR(VLOOKUP(A205,'Site check'!$A$14:$O$47,15,0),0)</f>
        <v>0</v>
      </c>
      <c r="BA205" s="232" t="n">
        <f aca="false">SUM(AZ205*1000)/48</f>
        <v>0</v>
      </c>
      <c r="BB205" s="90" t="e">
        <f aca="false">SUM(P205/2)+E205</f>
        <v>#VALUE!</v>
      </c>
      <c r="BC205" s="90" t="e">
        <f aca="false">SUM(P205/2)+F205</f>
        <v>#VALUE!</v>
      </c>
    </row>
    <row r="206" customFormat="false" ht="13.15" hidden="false" customHeight="false" outlineLevel="0" collapsed="false">
      <c r="A206" s="0" t="str">
        <f aca="false">[2]Sheet1!A206</f>
        <v>LDSTS1 EOS JA</v>
      </c>
      <c r="B206" s="0" t="str">
        <f aca="false">[2]Sheet1!B206</f>
        <v>LDSTS1;DC SYS01</v>
      </c>
      <c r="C206" s="44" t="str">
        <f aca="false">[2]Sheet1!C206</f>
        <v>LDSTS1</v>
      </c>
      <c r="D206" s="44" t="s">
        <v>646</v>
      </c>
      <c r="E206" s="0" t="str">
        <f aca="false">[2]Sheet1!D206</f>
        <v>N/A</v>
      </c>
      <c r="F206" s="0" t="str">
        <f aca="false">[2]Sheet1!E206</f>
        <v>N/A</v>
      </c>
      <c r="G206" s="45" t="n">
        <f aca="false">[2]Sheet1!F206</f>
        <v>44974</v>
      </c>
      <c r="H206" s="0" t="n">
        <f aca="false">[2]Sheet1!G206</f>
        <v>80</v>
      </c>
      <c r="I206" s="0" t="n">
        <f aca="false">[2]Sheet1!H206</f>
        <v>80</v>
      </c>
      <c r="J206" s="0" t="n">
        <f aca="false">[2]Sheet1!I206</f>
        <v>0</v>
      </c>
      <c r="K206" s="0" t="n">
        <f aca="false">[2]Sheet1!J206</f>
        <v>0</v>
      </c>
      <c r="L206" s="0" t="n">
        <f aca="false">[2]Sheet1!K206</f>
        <v>0</v>
      </c>
      <c r="M206" s="0" t="n">
        <f aca="false">[2]Sheet1!L206</f>
        <v>0</v>
      </c>
      <c r="N206" s="0" t="n">
        <f aca="false">[2]Sheet1!M206</f>
        <v>12</v>
      </c>
      <c r="O206" s="0" t="n">
        <f aca="false">[2]Sheet1!N206</f>
        <v>0</v>
      </c>
      <c r="P206" s="226" t="n">
        <f aca="false">SUM(AY206+BA206)</f>
        <v>0</v>
      </c>
      <c r="Q206" s="201"/>
      <c r="R206" s="71"/>
      <c r="S206" s="227"/>
      <c r="T206" s="71"/>
      <c r="U206" s="201"/>
      <c r="V206" s="71"/>
      <c r="W206" s="227"/>
      <c r="X206" s="71"/>
      <c r="Y206" s="201"/>
      <c r="Z206" s="71"/>
      <c r="AA206" s="227"/>
      <c r="AB206" s="71"/>
      <c r="AC206" s="201"/>
      <c r="AD206" s="71"/>
      <c r="AE206" s="227"/>
      <c r="AF206" s="71"/>
      <c r="AG206" s="201"/>
      <c r="AH206" s="71"/>
      <c r="AI206" s="227"/>
      <c r="AJ206" s="71"/>
      <c r="AK206" s="201"/>
      <c r="AL206" s="71"/>
      <c r="AM206" s="227"/>
      <c r="AN206" s="71"/>
      <c r="AO206" s="201"/>
      <c r="AP206" s="71"/>
      <c r="AQ206" s="227"/>
      <c r="AR206" s="71"/>
      <c r="AS206" s="227"/>
      <c r="AT206" s="228"/>
      <c r="AU206" s="227"/>
      <c r="AV206" s="228"/>
      <c r="AW206" s="227"/>
      <c r="AX206" s="229" t="n">
        <f aca="false">SUM(R206+T206+V206+X206+Z206+AB206+AD206+AF206+AH206+AJ206+AL206+AN206+AP206+AR206)</f>
        <v>0</v>
      </c>
      <c r="AY206" s="230" t="n">
        <f aca="false">SUM(AX206*1000)/48</f>
        <v>0</v>
      </c>
      <c r="AZ206" s="231" t="n">
        <f aca="false">IFERROR(VLOOKUP(A206,'Site check'!$A$14:$O$47,15,0),0)</f>
        <v>0</v>
      </c>
      <c r="BA206" s="232" t="n">
        <f aca="false">SUM(AZ206*1000)/48</f>
        <v>0</v>
      </c>
      <c r="BB206" s="90" t="e">
        <f aca="false">SUM(P206/2)+E206</f>
        <v>#VALUE!</v>
      </c>
      <c r="BC206" s="90" t="e">
        <f aca="false">SUM(P206/2)+F206</f>
        <v>#VALUE!</v>
      </c>
    </row>
    <row r="207" customFormat="false" ht="13.15" hidden="false" customHeight="false" outlineLevel="0" collapsed="false">
      <c r="A207" s="0" t="str">
        <f aca="false">[2]Sheet1!A207</f>
        <v>LDSTS1 EOS KA</v>
      </c>
      <c r="B207" s="0" t="str">
        <f aca="false">[2]Sheet1!B207</f>
        <v>LDSTS1;DC SYS01</v>
      </c>
      <c r="C207" s="44" t="str">
        <f aca="false">[2]Sheet1!C207</f>
        <v>LDSTS1</v>
      </c>
      <c r="D207" s="44" t="s">
        <v>646</v>
      </c>
      <c r="E207" s="0" t="str">
        <f aca="false">[2]Sheet1!D207</f>
        <v>N/A</v>
      </c>
      <c r="F207" s="0" t="str">
        <f aca="false">[2]Sheet1!E207</f>
        <v>N/A</v>
      </c>
      <c r="G207" s="45" t="n">
        <f aca="false">[2]Sheet1!F207</f>
        <v>44974</v>
      </c>
      <c r="H207" s="0" t="n">
        <f aca="false">[2]Sheet1!G207</f>
        <v>80</v>
      </c>
      <c r="I207" s="0" t="n">
        <f aca="false">[2]Sheet1!H207</f>
        <v>80</v>
      </c>
      <c r="J207" s="0" t="n">
        <f aca="false">[2]Sheet1!I207</f>
        <v>0</v>
      </c>
      <c r="K207" s="0" t="n">
        <f aca="false">[2]Sheet1!J207</f>
        <v>0</v>
      </c>
      <c r="L207" s="0" t="n">
        <f aca="false">[2]Sheet1!K207</f>
        <v>3</v>
      </c>
      <c r="M207" s="0" t="n">
        <f aca="false">[2]Sheet1!L207</f>
        <v>0</v>
      </c>
      <c r="N207" s="0" t="n">
        <f aca="false">[2]Sheet1!M207</f>
        <v>0</v>
      </c>
      <c r="O207" s="0" t="n">
        <f aca="false">[2]Sheet1!N207</f>
        <v>0</v>
      </c>
      <c r="P207" s="226" t="n">
        <f aca="false">SUM(AY207+BA207)</f>
        <v>0</v>
      </c>
      <c r="Q207" s="201"/>
      <c r="R207" s="71"/>
      <c r="S207" s="227"/>
      <c r="T207" s="71"/>
      <c r="U207" s="201"/>
      <c r="V207" s="71"/>
      <c r="W207" s="227"/>
      <c r="X207" s="71"/>
      <c r="Y207" s="201"/>
      <c r="Z207" s="71"/>
      <c r="AA207" s="227"/>
      <c r="AB207" s="71"/>
      <c r="AC207" s="201"/>
      <c r="AD207" s="71"/>
      <c r="AE207" s="227"/>
      <c r="AF207" s="71"/>
      <c r="AG207" s="201"/>
      <c r="AH207" s="71"/>
      <c r="AI207" s="227"/>
      <c r="AJ207" s="71"/>
      <c r="AK207" s="201"/>
      <c r="AL207" s="71"/>
      <c r="AM207" s="227"/>
      <c r="AN207" s="71"/>
      <c r="AO207" s="201"/>
      <c r="AP207" s="71"/>
      <c r="AQ207" s="227"/>
      <c r="AR207" s="71"/>
      <c r="AS207" s="227"/>
      <c r="AT207" s="228"/>
      <c r="AU207" s="227"/>
      <c r="AV207" s="228"/>
      <c r="AW207" s="227"/>
      <c r="AX207" s="229" t="n">
        <f aca="false">SUM(R207+T207+V207+X207+Z207+AB207+AD207+AF207+AH207+AJ207+AL207+AN207+AP207+AR207)</f>
        <v>0</v>
      </c>
      <c r="AY207" s="230" t="n">
        <f aca="false">SUM(AX207*1000)/48</f>
        <v>0</v>
      </c>
      <c r="AZ207" s="231" t="n">
        <f aca="false">IFERROR(VLOOKUP(A207,'Site check'!$A$14:$O$47,15,0),0)</f>
        <v>0</v>
      </c>
      <c r="BA207" s="232" t="n">
        <f aca="false">SUM(AZ207*1000)/48</f>
        <v>0</v>
      </c>
      <c r="BB207" s="90" t="e">
        <f aca="false">SUM(P207/2)+E207</f>
        <v>#VALUE!</v>
      </c>
      <c r="BC207" s="90" t="e">
        <f aca="false">SUM(P207/2)+F207</f>
        <v>#VALUE!</v>
      </c>
    </row>
    <row r="208" customFormat="false" ht="13.15" hidden="false" customHeight="false" outlineLevel="0" collapsed="false">
      <c r="A208" s="0" t="str">
        <f aca="false">[2]Sheet1!A208</f>
        <v>LDSTS1 EOS LA</v>
      </c>
      <c r="B208" s="0" t="str">
        <f aca="false">[2]Sheet1!B208</f>
        <v>LDSTS1;DC SYS01</v>
      </c>
      <c r="C208" s="44" t="str">
        <f aca="false">[2]Sheet1!C208</f>
        <v>LDSTS1</v>
      </c>
      <c r="D208" s="44" t="s">
        <v>646</v>
      </c>
      <c r="E208" s="0" t="str">
        <f aca="false">[2]Sheet1!D208</f>
        <v>N/A</v>
      </c>
      <c r="F208" s="0" t="str">
        <f aca="false">[2]Sheet1!E208</f>
        <v>N/A</v>
      </c>
      <c r="G208" s="45" t="n">
        <f aca="false">[2]Sheet1!F208</f>
        <v>44974</v>
      </c>
      <c r="H208" s="0" t="n">
        <f aca="false">[2]Sheet1!G208</f>
        <v>80</v>
      </c>
      <c r="I208" s="0" t="n">
        <f aca="false">[2]Sheet1!H208</f>
        <v>80</v>
      </c>
      <c r="J208" s="0" t="n">
        <f aca="false">[2]Sheet1!I208</f>
        <v>0</v>
      </c>
      <c r="K208" s="0" t="n">
        <f aca="false">[2]Sheet1!J208</f>
        <v>0</v>
      </c>
      <c r="L208" s="0" t="n">
        <f aca="false">[2]Sheet1!K208</f>
        <v>2</v>
      </c>
      <c r="M208" s="0" t="n">
        <f aca="false">[2]Sheet1!L208</f>
        <v>0</v>
      </c>
      <c r="N208" s="0" t="n">
        <f aca="false">[2]Sheet1!M208</f>
        <v>0</v>
      </c>
      <c r="O208" s="0" t="n">
        <f aca="false">[2]Sheet1!N208</f>
        <v>0</v>
      </c>
      <c r="P208" s="226" t="n">
        <f aca="false">SUM(AY208+BA208)</f>
        <v>0</v>
      </c>
      <c r="Q208" s="201"/>
      <c r="R208" s="71"/>
      <c r="S208" s="227"/>
      <c r="T208" s="71"/>
      <c r="U208" s="201"/>
      <c r="V208" s="71"/>
      <c r="W208" s="227"/>
      <c r="X208" s="71"/>
      <c r="Y208" s="201"/>
      <c r="Z208" s="71"/>
      <c r="AA208" s="227"/>
      <c r="AB208" s="71"/>
      <c r="AC208" s="201"/>
      <c r="AD208" s="71"/>
      <c r="AE208" s="227"/>
      <c r="AF208" s="71"/>
      <c r="AG208" s="201"/>
      <c r="AH208" s="71"/>
      <c r="AI208" s="227"/>
      <c r="AJ208" s="71"/>
      <c r="AK208" s="201"/>
      <c r="AL208" s="71"/>
      <c r="AM208" s="227"/>
      <c r="AN208" s="71"/>
      <c r="AO208" s="201"/>
      <c r="AP208" s="71"/>
      <c r="AQ208" s="227"/>
      <c r="AR208" s="71"/>
      <c r="AS208" s="227"/>
      <c r="AT208" s="228"/>
      <c r="AU208" s="227"/>
      <c r="AV208" s="228"/>
      <c r="AW208" s="227"/>
      <c r="AX208" s="229" t="n">
        <f aca="false">SUM(R208+T208+V208+X208+Z208+AB208+AD208+AF208+AH208+AJ208+AL208+AN208+AP208+AR208)</f>
        <v>0</v>
      </c>
      <c r="AY208" s="230" t="n">
        <f aca="false">SUM(AX208*1000)/48</f>
        <v>0</v>
      </c>
      <c r="AZ208" s="231" t="n">
        <f aca="false">IFERROR(VLOOKUP(A208,'Site check'!$A$14:$O$47,15,0),0)</f>
        <v>0</v>
      </c>
      <c r="BA208" s="232" t="n">
        <f aca="false">SUM(AZ208*1000)/48</f>
        <v>0</v>
      </c>
      <c r="BB208" s="90" t="e">
        <f aca="false">SUM(P208/2)+E208</f>
        <v>#VALUE!</v>
      </c>
      <c r="BC208" s="90" t="e">
        <f aca="false">SUM(P208/2)+F208</f>
        <v>#VALUE!</v>
      </c>
    </row>
    <row r="209" customFormat="false" ht="13.15" hidden="false" customHeight="false" outlineLevel="0" collapsed="false">
      <c r="A209" s="0" t="str">
        <f aca="false">[2]Sheet1!A209</f>
        <v>LDSTS1 EOS M</v>
      </c>
      <c r="B209" s="0" t="str">
        <f aca="false">[2]Sheet1!B209</f>
        <v>LDSTS1;DC SYS01</v>
      </c>
      <c r="C209" s="44" t="str">
        <f aca="false">[2]Sheet1!C209</f>
        <v>LDSTS1</v>
      </c>
      <c r="D209" s="44" t="s">
        <v>646</v>
      </c>
      <c r="E209" s="0" t="str">
        <f aca="false">[2]Sheet1!D209</f>
        <v>N/A</v>
      </c>
      <c r="F209" s="0" t="str">
        <f aca="false">[2]Sheet1!E209</f>
        <v>N/A</v>
      </c>
      <c r="G209" s="45" t="n">
        <f aca="false">[2]Sheet1!F209</f>
        <v>44974</v>
      </c>
      <c r="H209" s="0" t="n">
        <f aca="false">[2]Sheet1!G209</f>
        <v>80</v>
      </c>
      <c r="I209" s="0" t="n">
        <f aca="false">[2]Sheet1!H209</f>
        <v>80</v>
      </c>
      <c r="J209" s="0" t="n">
        <f aca="false">[2]Sheet1!I209</f>
        <v>0</v>
      </c>
      <c r="K209" s="0" t="n">
        <f aca="false">[2]Sheet1!J209</f>
        <v>0</v>
      </c>
      <c r="L209" s="0" t="n">
        <f aca="false">[2]Sheet1!K209</f>
        <v>0</v>
      </c>
      <c r="M209" s="0" t="n">
        <f aca="false">[2]Sheet1!L209</f>
        <v>0</v>
      </c>
      <c r="N209" s="0" t="n">
        <f aca="false">[2]Sheet1!M209</f>
        <v>10</v>
      </c>
      <c r="O209" s="0" t="n">
        <f aca="false">[2]Sheet1!N209</f>
        <v>0</v>
      </c>
      <c r="P209" s="226" t="n">
        <f aca="false">SUM(AY209+BA209)</f>
        <v>0</v>
      </c>
      <c r="Q209" s="201"/>
      <c r="R209" s="71"/>
      <c r="S209" s="227"/>
      <c r="T209" s="71"/>
      <c r="U209" s="201"/>
      <c r="V209" s="71"/>
      <c r="W209" s="227"/>
      <c r="X209" s="71"/>
      <c r="Y209" s="201"/>
      <c r="Z209" s="71"/>
      <c r="AA209" s="227"/>
      <c r="AB209" s="71"/>
      <c r="AC209" s="201"/>
      <c r="AD209" s="71"/>
      <c r="AE209" s="227"/>
      <c r="AF209" s="71"/>
      <c r="AG209" s="201"/>
      <c r="AH209" s="71"/>
      <c r="AI209" s="227"/>
      <c r="AJ209" s="71"/>
      <c r="AK209" s="201"/>
      <c r="AL209" s="71"/>
      <c r="AM209" s="227"/>
      <c r="AN209" s="71"/>
      <c r="AO209" s="201"/>
      <c r="AP209" s="71"/>
      <c r="AQ209" s="227"/>
      <c r="AR209" s="71"/>
      <c r="AS209" s="227"/>
      <c r="AT209" s="228"/>
      <c r="AU209" s="227"/>
      <c r="AV209" s="228"/>
      <c r="AW209" s="227"/>
      <c r="AX209" s="229" t="n">
        <f aca="false">SUM(R209+T209+V209+X209+Z209+AB209+AD209+AF209+AH209+AJ209+AL209+AN209+AP209+AR209)</f>
        <v>0</v>
      </c>
      <c r="AY209" s="230" t="n">
        <f aca="false">SUM(AX209*1000)/48</f>
        <v>0</v>
      </c>
      <c r="AZ209" s="231" t="n">
        <f aca="false">IFERROR(VLOOKUP(A209,'Site check'!$A$14:$O$47,15,0),0)</f>
        <v>0</v>
      </c>
      <c r="BA209" s="232" t="n">
        <f aca="false">SUM(AZ209*1000)/48</f>
        <v>0</v>
      </c>
      <c r="BB209" s="90" t="e">
        <f aca="false">SUM(P209/2)+E209</f>
        <v>#VALUE!</v>
      </c>
      <c r="BC209" s="90" t="e">
        <f aca="false">SUM(P209/2)+F209</f>
        <v>#VALUE!</v>
      </c>
    </row>
    <row r="210" customFormat="false" ht="13.15" hidden="false" customHeight="false" outlineLevel="0" collapsed="false">
      <c r="A210" s="0" t="str">
        <f aca="false">[2]Sheet1!A210</f>
        <v>LDSTS1 EOS MA</v>
      </c>
      <c r="B210" s="0" t="str">
        <f aca="false">[2]Sheet1!B210</f>
        <v>LDSTS1;DC SYS01</v>
      </c>
      <c r="C210" s="44" t="str">
        <f aca="false">[2]Sheet1!C210</f>
        <v>LDSTS1</v>
      </c>
      <c r="D210" s="44" t="s">
        <v>646</v>
      </c>
      <c r="E210" s="0" t="str">
        <f aca="false">[2]Sheet1!D210</f>
        <v>N/A</v>
      </c>
      <c r="F210" s="0" t="str">
        <f aca="false">[2]Sheet1!E210</f>
        <v>N/A</v>
      </c>
      <c r="G210" s="45" t="n">
        <f aca="false">[2]Sheet1!F210</f>
        <v>44974</v>
      </c>
      <c r="H210" s="0" t="n">
        <f aca="false">[2]Sheet1!G210</f>
        <v>80</v>
      </c>
      <c r="I210" s="0" t="n">
        <f aca="false">[2]Sheet1!H210</f>
        <v>80</v>
      </c>
      <c r="J210" s="0" t="n">
        <f aca="false">[2]Sheet1!I210</f>
        <v>0</v>
      </c>
      <c r="K210" s="0" t="n">
        <f aca="false">[2]Sheet1!J210</f>
        <v>0</v>
      </c>
      <c r="L210" s="0" t="n">
        <f aca="false">[2]Sheet1!K210</f>
        <v>0</v>
      </c>
      <c r="M210" s="0" t="n">
        <f aca="false">[2]Sheet1!L210</f>
        <v>0</v>
      </c>
      <c r="N210" s="0" t="n">
        <f aca="false">[2]Sheet1!M210</f>
        <v>19</v>
      </c>
      <c r="O210" s="0" t="n">
        <f aca="false">[2]Sheet1!N210</f>
        <v>0</v>
      </c>
      <c r="P210" s="226" t="n">
        <f aca="false">SUM(AY210+BA210)</f>
        <v>0</v>
      </c>
      <c r="Q210" s="201"/>
      <c r="R210" s="71"/>
      <c r="S210" s="227"/>
      <c r="T210" s="71"/>
      <c r="U210" s="201"/>
      <c r="V210" s="71"/>
      <c r="W210" s="227"/>
      <c r="X210" s="71"/>
      <c r="Y210" s="201"/>
      <c r="Z210" s="71"/>
      <c r="AA210" s="227"/>
      <c r="AB210" s="71"/>
      <c r="AC210" s="201"/>
      <c r="AD210" s="71"/>
      <c r="AE210" s="227"/>
      <c r="AF210" s="71"/>
      <c r="AG210" s="201"/>
      <c r="AH210" s="71"/>
      <c r="AI210" s="227"/>
      <c r="AJ210" s="71"/>
      <c r="AK210" s="201"/>
      <c r="AL210" s="71"/>
      <c r="AM210" s="227"/>
      <c r="AN210" s="71"/>
      <c r="AO210" s="201"/>
      <c r="AP210" s="71"/>
      <c r="AQ210" s="227"/>
      <c r="AR210" s="71"/>
      <c r="AS210" s="227"/>
      <c r="AT210" s="228"/>
      <c r="AU210" s="227"/>
      <c r="AV210" s="228"/>
      <c r="AW210" s="227"/>
      <c r="AX210" s="229" t="n">
        <f aca="false">SUM(R210+T210+V210+X210+Z210+AB210+AD210+AF210+AH210+AJ210+AL210+AN210+AP210+AR210)</f>
        <v>0</v>
      </c>
      <c r="AY210" s="230" t="n">
        <f aca="false">SUM(AX210*1000)/48</f>
        <v>0</v>
      </c>
      <c r="AZ210" s="231" t="n">
        <f aca="false">IFERROR(VLOOKUP(A210,'Site check'!$A$14:$O$47,15,0),0)</f>
        <v>0</v>
      </c>
      <c r="BA210" s="232" t="n">
        <f aca="false">SUM(AZ210*1000)/48</f>
        <v>0</v>
      </c>
      <c r="BB210" s="90" t="e">
        <f aca="false">SUM(P210/2)+E210</f>
        <v>#VALUE!</v>
      </c>
      <c r="BC210" s="90" t="e">
        <f aca="false">SUM(P210/2)+F210</f>
        <v>#VALUE!</v>
      </c>
    </row>
    <row r="211" customFormat="false" ht="13.15" hidden="false" customHeight="false" outlineLevel="0" collapsed="false">
      <c r="A211" s="0" t="str">
        <f aca="false">[2]Sheet1!A211</f>
        <v>LDSTS1 EOS N</v>
      </c>
      <c r="B211" s="0" t="str">
        <f aca="false">[2]Sheet1!B211</f>
        <v>LDSTS1;DC SYS01</v>
      </c>
      <c r="C211" s="44" t="str">
        <f aca="false">[2]Sheet1!C211</f>
        <v>LDSTS1</v>
      </c>
      <c r="D211" s="44" t="s">
        <v>646</v>
      </c>
      <c r="E211" s="0" t="str">
        <f aca="false">[2]Sheet1!D211</f>
        <v>N/A</v>
      </c>
      <c r="F211" s="0" t="str">
        <f aca="false">[2]Sheet1!E211</f>
        <v>N/A</v>
      </c>
      <c r="G211" s="45" t="n">
        <f aca="false">[2]Sheet1!F211</f>
        <v>44974</v>
      </c>
      <c r="H211" s="0" t="n">
        <f aca="false">[2]Sheet1!G211</f>
        <v>80</v>
      </c>
      <c r="I211" s="0" t="n">
        <f aca="false">[2]Sheet1!H211</f>
        <v>80</v>
      </c>
      <c r="J211" s="0" t="n">
        <f aca="false">[2]Sheet1!I211</f>
        <v>0</v>
      </c>
      <c r="K211" s="0" t="n">
        <f aca="false">[2]Sheet1!J211</f>
        <v>0</v>
      </c>
      <c r="L211" s="0" t="n">
        <f aca="false">[2]Sheet1!K211</f>
        <v>0</v>
      </c>
      <c r="M211" s="0" t="n">
        <f aca="false">[2]Sheet1!L211</f>
        <v>0</v>
      </c>
      <c r="N211" s="0" t="n">
        <f aca="false">[2]Sheet1!M211</f>
        <v>9</v>
      </c>
      <c r="O211" s="0" t="n">
        <f aca="false">[2]Sheet1!N211</f>
        <v>0</v>
      </c>
      <c r="P211" s="226" t="n">
        <f aca="false">SUM(AY211+BA211)</f>
        <v>0</v>
      </c>
      <c r="Q211" s="201"/>
      <c r="R211" s="71"/>
      <c r="S211" s="227"/>
      <c r="T211" s="71"/>
      <c r="U211" s="201"/>
      <c r="V211" s="71"/>
      <c r="W211" s="227"/>
      <c r="X211" s="71"/>
      <c r="Y211" s="201"/>
      <c r="Z211" s="71"/>
      <c r="AA211" s="227"/>
      <c r="AB211" s="71"/>
      <c r="AC211" s="201"/>
      <c r="AD211" s="71"/>
      <c r="AE211" s="227"/>
      <c r="AF211" s="71"/>
      <c r="AG211" s="201"/>
      <c r="AH211" s="71"/>
      <c r="AI211" s="227"/>
      <c r="AJ211" s="71"/>
      <c r="AK211" s="201"/>
      <c r="AL211" s="71"/>
      <c r="AM211" s="227"/>
      <c r="AN211" s="71"/>
      <c r="AO211" s="201"/>
      <c r="AP211" s="71"/>
      <c r="AQ211" s="227"/>
      <c r="AR211" s="71"/>
      <c r="AS211" s="227"/>
      <c r="AT211" s="228"/>
      <c r="AU211" s="227"/>
      <c r="AV211" s="228"/>
      <c r="AW211" s="227"/>
      <c r="AX211" s="229" t="n">
        <f aca="false">SUM(R211+T211+V211+X211+Z211+AB211+AD211+AF211+AH211+AJ211+AL211+AN211+AP211+AR211)</f>
        <v>0</v>
      </c>
      <c r="AY211" s="230" t="n">
        <f aca="false">SUM(AX211*1000)/48</f>
        <v>0</v>
      </c>
      <c r="AZ211" s="231" t="n">
        <f aca="false">IFERROR(VLOOKUP(A211,'Site check'!$A$14:$O$47,15,0),0)</f>
        <v>0</v>
      </c>
      <c r="BA211" s="232" t="n">
        <f aca="false">SUM(AZ211*1000)/48</f>
        <v>0</v>
      </c>
      <c r="BB211" s="90" t="e">
        <f aca="false">SUM(P211/2)+E211</f>
        <v>#VALUE!</v>
      </c>
      <c r="BC211" s="90" t="e">
        <f aca="false">SUM(P211/2)+F211</f>
        <v>#VALUE!</v>
      </c>
    </row>
    <row r="212" customFormat="false" ht="13.15" hidden="false" customHeight="false" outlineLevel="0" collapsed="false">
      <c r="A212" s="0" t="str">
        <f aca="false">[2]Sheet1!A212</f>
        <v>LDSTS1 EOS NA</v>
      </c>
      <c r="B212" s="0" t="str">
        <f aca="false">[2]Sheet1!B212</f>
        <v>LDSTS1;DC SYS01</v>
      </c>
      <c r="C212" s="44" t="str">
        <f aca="false">[2]Sheet1!C212</f>
        <v>LDSTS1</v>
      </c>
      <c r="D212" s="44" t="s">
        <v>646</v>
      </c>
      <c r="E212" s="0" t="str">
        <f aca="false">[2]Sheet1!D212</f>
        <v>N/A</v>
      </c>
      <c r="F212" s="0" t="str">
        <f aca="false">[2]Sheet1!E212</f>
        <v>N/A</v>
      </c>
      <c r="G212" s="45" t="n">
        <f aca="false">[2]Sheet1!F212</f>
        <v>44974</v>
      </c>
      <c r="H212" s="0" t="n">
        <f aca="false">[2]Sheet1!G212</f>
        <v>80</v>
      </c>
      <c r="I212" s="0" t="n">
        <f aca="false">[2]Sheet1!H212</f>
        <v>80</v>
      </c>
      <c r="J212" s="0" t="n">
        <f aca="false">[2]Sheet1!I212</f>
        <v>0</v>
      </c>
      <c r="K212" s="0" t="n">
        <f aca="false">[2]Sheet1!J212</f>
        <v>0</v>
      </c>
      <c r="L212" s="0" t="n">
        <f aca="false">[2]Sheet1!K212</f>
        <v>0</v>
      </c>
      <c r="M212" s="0" t="n">
        <f aca="false">[2]Sheet1!L212</f>
        <v>0</v>
      </c>
      <c r="N212" s="0" t="n">
        <f aca="false">[2]Sheet1!M212</f>
        <v>9</v>
      </c>
      <c r="O212" s="0" t="n">
        <f aca="false">[2]Sheet1!N212</f>
        <v>0</v>
      </c>
      <c r="P212" s="226" t="n">
        <f aca="false">SUM(AY212+BA212)</f>
        <v>0</v>
      </c>
      <c r="Q212" s="201"/>
      <c r="R212" s="71"/>
      <c r="S212" s="227"/>
      <c r="T212" s="71"/>
      <c r="U212" s="201"/>
      <c r="V212" s="71"/>
      <c r="W212" s="227"/>
      <c r="X212" s="71"/>
      <c r="Y212" s="201"/>
      <c r="Z212" s="71"/>
      <c r="AA212" s="227"/>
      <c r="AB212" s="71"/>
      <c r="AC212" s="201"/>
      <c r="AD212" s="71"/>
      <c r="AE212" s="227"/>
      <c r="AF212" s="71"/>
      <c r="AG212" s="201"/>
      <c r="AH212" s="71"/>
      <c r="AI212" s="227"/>
      <c r="AJ212" s="71"/>
      <c r="AK212" s="201"/>
      <c r="AL212" s="71"/>
      <c r="AM212" s="227"/>
      <c r="AN212" s="71"/>
      <c r="AO212" s="201"/>
      <c r="AP212" s="71"/>
      <c r="AQ212" s="227"/>
      <c r="AR212" s="71"/>
      <c r="AS212" s="227"/>
      <c r="AT212" s="228"/>
      <c r="AU212" s="227"/>
      <c r="AV212" s="228"/>
      <c r="AW212" s="227"/>
      <c r="AX212" s="229" t="n">
        <f aca="false">SUM(R212+T212+V212+X212+Z212+AB212+AD212+AF212+AH212+AJ212+AL212+AN212+AP212+AR212)</f>
        <v>0</v>
      </c>
      <c r="AY212" s="230" t="n">
        <f aca="false">SUM(AX212*1000)/48</f>
        <v>0</v>
      </c>
      <c r="AZ212" s="231" t="n">
        <f aca="false">IFERROR(VLOOKUP(A212,'Site check'!$A$14:$O$47,15,0),0)</f>
        <v>0</v>
      </c>
      <c r="BA212" s="232" t="n">
        <f aca="false">SUM(AZ212*1000)/48</f>
        <v>0</v>
      </c>
      <c r="BB212" s="90" t="e">
        <f aca="false">SUM(P212/2)+E212</f>
        <v>#VALUE!</v>
      </c>
      <c r="BC212" s="90" t="e">
        <f aca="false">SUM(P212/2)+F212</f>
        <v>#VALUE!</v>
      </c>
    </row>
    <row r="213" customFormat="false" ht="13.15" hidden="false" customHeight="false" outlineLevel="0" collapsed="false">
      <c r="A213" s="0" t="str">
        <f aca="false">[2]Sheet1!A213</f>
        <v>IGNORE</v>
      </c>
      <c r="B213" s="0" t="str">
        <f aca="false">[2]Sheet1!B213</f>
        <v>LDSTS1;DC SYS01</v>
      </c>
      <c r="C213" s="44" t="str">
        <f aca="false">[2]Sheet1!C213</f>
        <v>LDSTS1</v>
      </c>
      <c r="D213" s="44" t="s">
        <v>646</v>
      </c>
      <c r="E213" s="0" t="n">
        <f aca="false">[2]Sheet1!D213</f>
        <v>0</v>
      </c>
      <c r="F213" s="0" t="n">
        <f aca="false">[2]Sheet1!E213</f>
        <v>0</v>
      </c>
      <c r="G213" s="45" t="n">
        <f aca="false">[2]Sheet1!F213</f>
        <v>0</v>
      </c>
      <c r="H213" s="0" t="n">
        <f aca="false">[2]Sheet1!G213</f>
        <v>300</v>
      </c>
      <c r="I213" s="0" t="n">
        <f aca="false">[2]Sheet1!H213</f>
        <v>300</v>
      </c>
      <c r="J213" s="0" t="n">
        <f aca="false">[2]Sheet1!I213</f>
        <v>0</v>
      </c>
      <c r="K213" s="0" t="n">
        <f aca="false">[2]Sheet1!J213</f>
        <v>0</v>
      </c>
      <c r="L213" s="0" t="n">
        <f aca="false">[2]Sheet1!K213</f>
        <v>0</v>
      </c>
      <c r="M213" s="0" t="n">
        <f aca="false">[2]Sheet1!L213</f>
        <v>0</v>
      </c>
      <c r="N213" s="0" t="n">
        <f aca="false">[2]Sheet1!M213</f>
        <v>0</v>
      </c>
      <c r="O213" s="0" t="n">
        <f aca="false">[2]Sheet1!N213</f>
        <v>0</v>
      </c>
      <c r="P213" s="226" t="n">
        <f aca="false">SUM(AY213+BA213)</f>
        <v>0</v>
      </c>
      <c r="Q213" s="201"/>
      <c r="R213" s="71"/>
      <c r="S213" s="227"/>
      <c r="T213" s="71"/>
      <c r="U213" s="201"/>
      <c r="V213" s="71"/>
      <c r="W213" s="227"/>
      <c r="X213" s="71"/>
      <c r="Y213" s="201"/>
      <c r="Z213" s="71"/>
      <c r="AA213" s="227"/>
      <c r="AB213" s="71"/>
      <c r="AC213" s="201"/>
      <c r="AD213" s="71"/>
      <c r="AE213" s="227"/>
      <c r="AF213" s="71"/>
      <c r="AG213" s="201"/>
      <c r="AH213" s="71"/>
      <c r="AI213" s="227"/>
      <c r="AJ213" s="71"/>
      <c r="AK213" s="201"/>
      <c r="AL213" s="71"/>
      <c r="AM213" s="227"/>
      <c r="AN213" s="71"/>
      <c r="AO213" s="201"/>
      <c r="AP213" s="71"/>
      <c r="AQ213" s="227"/>
      <c r="AR213" s="71"/>
      <c r="AS213" s="227"/>
      <c r="AT213" s="228"/>
      <c r="AU213" s="227"/>
      <c r="AV213" s="228"/>
      <c r="AW213" s="227"/>
      <c r="AX213" s="229" t="n">
        <f aca="false">SUM(R213+T213+V213+X213+Z213+AB213+AD213+AF213+AH213+AJ213+AL213+AN213+AP213+AR213)</f>
        <v>0</v>
      </c>
      <c r="AY213" s="230" t="n">
        <f aca="false">SUM(AX213*1000)/48</f>
        <v>0</v>
      </c>
      <c r="AZ213" s="231" t="n">
        <f aca="false">IFERROR(VLOOKUP(A213,'Site check'!$A$14:$O$47,15,0),0)</f>
        <v>0</v>
      </c>
      <c r="BA213" s="232" t="n">
        <f aca="false">SUM(AZ213*1000)/48</f>
        <v>0</v>
      </c>
      <c r="BB213" s="90" t="n">
        <f aca="false">SUM(P213/2)+E213</f>
        <v>0</v>
      </c>
      <c r="BC213" s="90" t="n">
        <f aca="false">SUM(P213/2)+F213</f>
        <v>0</v>
      </c>
    </row>
    <row r="214" customFormat="false" ht="13.15" hidden="false" customHeight="false" outlineLevel="0" collapsed="false">
      <c r="A214" s="0" t="str">
        <f aca="false">[2]Sheet1!A214</f>
        <v>IGNORE</v>
      </c>
      <c r="B214" s="0" t="str">
        <f aca="false">[2]Sheet1!B214</f>
        <v>LDSTS1;DC SYS01</v>
      </c>
      <c r="C214" s="44" t="str">
        <f aca="false">[2]Sheet1!C214</f>
        <v>LDSTS1</v>
      </c>
      <c r="D214" s="44" t="s">
        <v>646</v>
      </c>
      <c r="E214" s="0" t="n">
        <f aca="false">[2]Sheet1!D214</f>
        <v>0</v>
      </c>
      <c r="F214" s="0" t="n">
        <f aca="false">[2]Sheet1!E214</f>
        <v>0</v>
      </c>
      <c r="G214" s="45" t="n">
        <f aca="false">[2]Sheet1!F214</f>
        <v>0</v>
      </c>
      <c r="H214" s="0" t="n">
        <f aca="false">[2]Sheet1!G214</f>
        <v>300</v>
      </c>
      <c r="I214" s="0" t="n">
        <f aca="false">[2]Sheet1!H214</f>
        <v>300</v>
      </c>
      <c r="J214" s="0" t="n">
        <f aca="false">[2]Sheet1!I214</f>
        <v>0</v>
      </c>
      <c r="K214" s="0" t="n">
        <f aca="false">[2]Sheet1!J214</f>
        <v>8</v>
      </c>
      <c r="L214" s="0" t="n">
        <f aca="false">[2]Sheet1!K214</f>
        <v>0</v>
      </c>
      <c r="M214" s="0" t="n">
        <f aca="false">[2]Sheet1!L214</f>
        <v>0</v>
      </c>
      <c r="N214" s="0" t="n">
        <f aca="false">[2]Sheet1!M214</f>
        <v>0</v>
      </c>
      <c r="O214" s="0" t="n">
        <f aca="false">[2]Sheet1!N214</f>
        <v>0</v>
      </c>
      <c r="P214" s="226" t="n">
        <f aca="false">SUM(AY214+BA214)</f>
        <v>0</v>
      </c>
      <c r="Q214" s="201"/>
      <c r="R214" s="71"/>
      <c r="S214" s="227"/>
      <c r="T214" s="71"/>
      <c r="U214" s="201"/>
      <c r="V214" s="71"/>
      <c r="W214" s="227"/>
      <c r="X214" s="71"/>
      <c r="Y214" s="201"/>
      <c r="Z214" s="71"/>
      <c r="AA214" s="227"/>
      <c r="AB214" s="71"/>
      <c r="AC214" s="201"/>
      <c r="AD214" s="71"/>
      <c r="AE214" s="227"/>
      <c r="AF214" s="71"/>
      <c r="AG214" s="201"/>
      <c r="AH214" s="71"/>
      <c r="AI214" s="227"/>
      <c r="AJ214" s="71"/>
      <c r="AK214" s="201"/>
      <c r="AL214" s="71"/>
      <c r="AM214" s="227"/>
      <c r="AN214" s="71"/>
      <c r="AO214" s="201"/>
      <c r="AP214" s="71"/>
      <c r="AQ214" s="227"/>
      <c r="AR214" s="71"/>
      <c r="AS214" s="227"/>
      <c r="AT214" s="228"/>
      <c r="AU214" s="227"/>
      <c r="AV214" s="228"/>
      <c r="AW214" s="227"/>
      <c r="AX214" s="229" t="n">
        <f aca="false">SUM(R214+T214+V214+X214+Z214+AB214+AD214+AF214+AH214+AJ214+AL214+AN214+AP214+AR214)</f>
        <v>0</v>
      </c>
      <c r="AY214" s="230" t="n">
        <f aca="false">SUM(AX214*1000)/48</f>
        <v>0</v>
      </c>
      <c r="AZ214" s="231" t="n">
        <f aca="false">IFERROR(VLOOKUP(A214,'Site check'!$A$14:$O$47,15,0),0)</f>
        <v>0</v>
      </c>
      <c r="BA214" s="232" t="n">
        <f aca="false">SUM(AZ214*1000)/48</f>
        <v>0</v>
      </c>
      <c r="BB214" s="90" t="n">
        <f aca="false">SUM(P214/2)+E214</f>
        <v>0</v>
      </c>
      <c r="BC214" s="90" t="n">
        <f aca="false">SUM(P214/2)+F214</f>
        <v>0</v>
      </c>
    </row>
    <row r="215" customFormat="false" ht="13.15" hidden="false" customHeight="false" outlineLevel="0" collapsed="false">
      <c r="A215" s="0" t="str">
        <f aca="false">[2]Sheet1!A215</f>
        <v>MDBTD1_EATON DC-DB-1.</v>
      </c>
      <c r="B215" s="0" t="str">
        <f aca="false">[2]Sheet1!B215</f>
        <v>MDBTD1;DC SYS01</v>
      </c>
      <c r="C215" s="44" t="str">
        <f aca="false">[2]Sheet1!C215</f>
        <v>MDBTD1</v>
      </c>
      <c r="D215" s="44" t="s">
        <v>674</v>
      </c>
      <c r="E215" s="0" t="n">
        <f aca="false">[2]Sheet1!D215</f>
        <v>0.5</v>
      </c>
      <c r="F215" s="0" t="n">
        <f aca="false">[2]Sheet1!E215</f>
        <v>0.5</v>
      </c>
      <c r="G215" s="45" t="str">
        <f aca="false">[2]Sheet1!F215</f>
        <v>16/10/2020</v>
      </c>
      <c r="H215" s="0" t="n">
        <f aca="false">[2]Sheet1!G215</f>
        <v>300</v>
      </c>
      <c r="I215" s="0" t="n">
        <f aca="false">[2]Sheet1!H215</f>
        <v>300</v>
      </c>
      <c r="J215" s="0" t="n">
        <f aca="false">[2]Sheet1!I215</f>
        <v>6</v>
      </c>
      <c r="K215" s="0" t="n">
        <f aca="false">[2]Sheet1!J215</f>
        <v>0</v>
      </c>
      <c r="L215" s="0" t="n">
        <f aca="false">[2]Sheet1!K215</f>
        <v>0</v>
      </c>
      <c r="M215" s="0" t="n">
        <f aca="false">[2]Sheet1!L215</f>
        <v>0</v>
      </c>
      <c r="N215" s="0" t="n">
        <f aca="false">[2]Sheet1!M215</f>
        <v>0</v>
      </c>
      <c r="O215" s="0" t="n">
        <f aca="false">[2]Sheet1!N215</f>
        <v>37</v>
      </c>
      <c r="P215" s="226" t="n">
        <f aca="false">SUM(AY215+BA215)</f>
        <v>0</v>
      </c>
      <c r="Q215" s="201"/>
      <c r="R215" s="71"/>
      <c r="S215" s="227"/>
      <c r="T215" s="71"/>
      <c r="U215" s="201"/>
      <c r="V215" s="71"/>
      <c r="W215" s="227"/>
      <c r="X215" s="71"/>
      <c r="Y215" s="201"/>
      <c r="Z215" s="71"/>
      <c r="AA215" s="227"/>
      <c r="AB215" s="71"/>
      <c r="AC215" s="201"/>
      <c r="AD215" s="71"/>
      <c r="AE215" s="227"/>
      <c r="AF215" s="71"/>
      <c r="AG215" s="201"/>
      <c r="AH215" s="71"/>
      <c r="AI215" s="227"/>
      <c r="AJ215" s="71"/>
      <c r="AK215" s="201"/>
      <c r="AL215" s="71"/>
      <c r="AM215" s="227"/>
      <c r="AN215" s="71"/>
      <c r="AO215" s="201"/>
      <c r="AP215" s="71"/>
      <c r="AQ215" s="227"/>
      <c r="AR215" s="71"/>
      <c r="AS215" s="227"/>
      <c r="AT215" s="228"/>
      <c r="AU215" s="227"/>
      <c r="AV215" s="228"/>
      <c r="AW215" s="227"/>
      <c r="AX215" s="229" t="n">
        <f aca="false">SUM(R215+T215+V215+X215+Z215+AB215+AD215+AF215+AH215+AJ215+AL215+AN215+AP215+AR215)</f>
        <v>0</v>
      </c>
      <c r="AY215" s="230" t="n">
        <f aca="false">SUM(AX215*1000)/48</f>
        <v>0</v>
      </c>
      <c r="AZ215" s="231" t="n">
        <f aca="false">IFERROR(VLOOKUP(A215,'Site check'!$A$14:$O$47,15,0),0)</f>
        <v>0</v>
      </c>
      <c r="BA215" s="232" t="n">
        <f aca="false">SUM(AZ215*1000)/48</f>
        <v>0</v>
      </c>
      <c r="BB215" s="90" t="n">
        <f aca="false">SUM(P215/2)+E215</f>
        <v>0.5</v>
      </c>
      <c r="BC215" s="90" t="n">
        <f aca="false">SUM(P215/2)+F215</f>
        <v>0.5</v>
      </c>
    </row>
    <row r="216" customFormat="false" ht="13.15" hidden="false" customHeight="false" outlineLevel="0" collapsed="false">
      <c r="A216" s="0" t="str">
        <f aca="false">[2]Sheet1!A216</f>
        <v>NULTB1_SEC_CBDB_Suite D.</v>
      </c>
      <c r="B216" s="0" t="str">
        <f aca="false">[2]Sheet1!B216</f>
        <v>NULTB1;DC SYS01</v>
      </c>
      <c r="C216" s="44" t="str">
        <f aca="false">[2]Sheet1!C216</f>
        <v>NULTB1</v>
      </c>
      <c r="D216" s="44" t="s">
        <v>696</v>
      </c>
      <c r="E216" s="0" t="n">
        <f aca="false">[2]Sheet1!D216</f>
        <v>40</v>
      </c>
      <c r="F216" s="0" t="n">
        <f aca="false">[2]Sheet1!E216</f>
        <v>40</v>
      </c>
      <c r="G216" s="45" t="n">
        <f aca="false">[2]Sheet1!F216</f>
        <v>44235</v>
      </c>
      <c r="H216" s="0" t="n">
        <f aca="false">[2]Sheet1!G216</f>
        <v>300</v>
      </c>
      <c r="I216" s="0" t="n">
        <f aca="false">[2]Sheet1!H216</f>
        <v>300</v>
      </c>
      <c r="J216" s="0" t="n">
        <f aca="false">[2]Sheet1!I216</f>
        <v>0</v>
      </c>
      <c r="K216" s="0" t="n">
        <f aca="false">[2]Sheet1!J216</f>
        <v>0</v>
      </c>
      <c r="L216" s="0" t="n">
        <f aca="false">[2]Sheet1!K216</f>
        <v>14</v>
      </c>
      <c r="M216" s="0" t="n">
        <f aca="false">[2]Sheet1!L216</f>
        <v>1</v>
      </c>
      <c r="N216" s="0" t="n">
        <f aca="false">[2]Sheet1!M216</f>
        <v>0</v>
      </c>
      <c r="O216" s="0" t="n">
        <f aca="false">[2]Sheet1!N216</f>
        <v>32</v>
      </c>
      <c r="P216" s="226" t="n">
        <f aca="false">SUM(AY216+BA216)</f>
        <v>104.166666666667</v>
      </c>
      <c r="Q216" s="170" t="s">
        <v>1319</v>
      </c>
      <c r="R216" s="234" t="n">
        <v>5</v>
      </c>
      <c r="S216" s="227"/>
      <c r="T216" s="71"/>
      <c r="U216" s="201"/>
      <c r="V216" s="71"/>
      <c r="W216" s="227"/>
      <c r="X216" s="71"/>
      <c r="Y216" s="201"/>
      <c r="Z216" s="71"/>
      <c r="AA216" s="227"/>
      <c r="AB216" s="71"/>
      <c r="AC216" s="201"/>
      <c r="AD216" s="71"/>
      <c r="AE216" s="227"/>
      <c r="AF216" s="71"/>
      <c r="AG216" s="201"/>
      <c r="AH216" s="71"/>
      <c r="AI216" s="227"/>
      <c r="AJ216" s="71"/>
      <c r="AK216" s="201"/>
      <c r="AL216" s="71"/>
      <c r="AM216" s="227"/>
      <c r="AN216" s="71"/>
      <c r="AO216" s="201"/>
      <c r="AP216" s="71"/>
      <c r="AQ216" s="227"/>
      <c r="AR216" s="71"/>
      <c r="AS216" s="227"/>
      <c r="AT216" s="228"/>
      <c r="AU216" s="227"/>
      <c r="AV216" s="228"/>
      <c r="AW216" s="227"/>
      <c r="AX216" s="229" t="n">
        <f aca="false">SUM(R216+T216+V216+X216+Z216+AB216+AD216+AF216+AH216+AJ216+AL216+AN216+AP216+AR216)</f>
        <v>5</v>
      </c>
      <c r="AY216" s="230" t="n">
        <f aca="false">SUM(AX216*1000)/48</f>
        <v>104.166666666667</v>
      </c>
      <c r="AZ216" s="231" t="n">
        <f aca="false">IFERROR(VLOOKUP(A216,'Site check'!$A$14:$O$47,15,0),0)</f>
        <v>0</v>
      </c>
      <c r="BA216" s="232" t="n">
        <f aca="false">SUM(AZ216*1000)/48</f>
        <v>0</v>
      </c>
      <c r="BB216" s="90" t="n">
        <f aca="false">SUM(P216/2)+E216</f>
        <v>92.0833333333333</v>
      </c>
      <c r="BC216" s="90" t="n">
        <f aca="false">SUM(P216/2)+F216</f>
        <v>92.0833333333333</v>
      </c>
    </row>
    <row r="217" customFormat="false" ht="13.15" hidden="false" customHeight="false" outlineLevel="0" collapsed="false">
      <c r="A217" s="0" t="str">
        <f aca="false">[2]Sheet1!A217</f>
        <v>NWCN05_PDU1A_B</v>
      </c>
      <c r="B217" s="0" t="str">
        <f aca="false">[2]Sheet1!B217</f>
        <v>NWCN05;DC SYS01</v>
      </c>
      <c r="C217" s="44" t="str">
        <f aca="false">[2]Sheet1!C217</f>
        <v>NWCN05</v>
      </c>
      <c r="D217" s="44" t="s">
        <v>698</v>
      </c>
      <c r="E217" s="0" t="n">
        <f aca="false">[2]Sheet1!D217</f>
        <v>56.74</v>
      </c>
      <c r="F217" s="0" t="n">
        <f aca="false">[2]Sheet1!E217</f>
        <v>40.66</v>
      </c>
      <c r="G217" s="45" t="n">
        <f aca="false">[2]Sheet1!F217</f>
        <v>45631</v>
      </c>
      <c r="H217" s="0" t="n">
        <f aca="false">[2]Sheet1!G217</f>
        <v>360</v>
      </c>
      <c r="I217" s="0" t="n">
        <f aca="false">[2]Sheet1!H217</f>
        <v>360</v>
      </c>
      <c r="J217" s="0" t="n">
        <f aca="false">[2]Sheet1!I217</f>
        <v>0</v>
      </c>
      <c r="K217" s="0" t="n">
        <f aca="false">[2]Sheet1!J217</f>
        <v>0</v>
      </c>
      <c r="L217" s="0" t="n">
        <f aca="false">[2]Sheet1!K217</f>
        <v>0</v>
      </c>
      <c r="M217" s="0" t="n">
        <f aca="false">[2]Sheet1!L217</f>
        <v>0</v>
      </c>
      <c r="N217" s="0" t="n">
        <f aca="false">[2]Sheet1!M217</f>
        <v>0</v>
      </c>
      <c r="O217" s="0" t="n">
        <f aca="false">[2]Sheet1!N217</f>
        <v>0</v>
      </c>
      <c r="P217" s="226" t="n">
        <f aca="false">SUM(AY217+BA217)</f>
        <v>387.5</v>
      </c>
      <c r="Q217" s="170" t="s">
        <v>1320</v>
      </c>
      <c r="R217" s="234" t="n">
        <v>1.1</v>
      </c>
      <c r="S217" s="170" t="s">
        <v>1321</v>
      </c>
      <c r="T217" s="171" t="n">
        <v>10.3</v>
      </c>
      <c r="U217" s="170" t="s">
        <v>1322</v>
      </c>
      <c r="V217" s="209" t="n">
        <v>1.7</v>
      </c>
      <c r="W217" s="204" t="s">
        <v>1495</v>
      </c>
      <c r="X217" s="221" t="n">
        <v>5.5</v>
      </c>
      <c r="Y217" s="204"/>
      <c r="Z217" s="221"/>
      <c r="AA217" s="227"/>
      <c r="AB217" s="71"/>
      <c r="AC217" s="201"/>
      <c r="AD217" s="71"/>
      <c r="AE217" s="227"/>
      <c r="AF217" s="71"/>
      <c r="AG217" s="201"/>
      <c r="AH217" s="71"/>
      <c r="AI217" s="227"/>
      <c r="AJ217" s="71"/>
      <c r="AK217" s="201"/>
      <c r="AL217" s="71"/>
      <c r="AM217" s="227"/>
      <c r="AN217" s="71"/>
      <c r="AO217" s="201"/>
      <c r="AP217" s="71"/>
      <c r="AQ217" s="227"/>
      <c r="AR217" s="71"/>
      <c r="AS217" s="227"/>
      <c r="AT217" s="228"/>
      <c r="AU217" s="227"/>
      <c r="AV217" s="228"/>
      <c r="AW217" s="227"/>
      <c r="AX217" s="229" t="n">
        <f aca="false">SUM(R217+T217+V217+X217+Z217+AB217+AD217+AF217+AH217+AJ217+AL217+AN217+AP217+AR217)</f>
        <v>18.6</v>
      </c>
      <c r="AY217" s="230" t="n">
        <f aca="false">SUM(AX217*1000)/48</f>
        <v>387.5</v>
      </c>
      <c r="AZ217" s="231" t="n">
        <f aca="false">IFERROR(VLOOKUP(A217,'Site check'!$A$14:$O$47,15,0),0)</f>
        <v>0</v>
      </c>
      <c r="BA217" s="232" t="n">
        <f aca="false">SUM(AZ217*1000)/48</f>
        <v>0</v>
      </c>
      <c r="BB217" s="90" t="n">
        <f aca="false">SUM(P217/2)+E217</f>
        <v>250.49</v>
      </c>
      <c r="BC217" s="90" t="n">
        <f aca="false">SUM(P217/2)+F217</f>
        <v>234.41</v>
      </c>
    </row>
    <row r="218" customFormat="false" ht="13.15" hidden="false" customHeight="false" outlineLevel="0" collapsed="false">
      <c r="A218" s="0" t="str">
        <f aca="false">[2]Sheet1!A218</f>
        <v>NWCN05_SEC_DD770_AB01</v>
      </c>
      <c r="B218" s="0" t="str">
        <f aca="false">[2]Sheet1!B218</f>
        <v>NWCN05;DC SYS01</v>
      </c>
      <c r="C218" s="44" t="str">
        <f aca="false">[2]Sheet1!C218</f>
        <v>NWCN05</v>
      </c>
      <c r="D218" s="44" t="s">
        <v>698</v>
      </c>
      <c r="E218" s="0" t="n">
        <f aca="false">[2]Sheet1!D218</f>
        <v>70</v>
      </c>
      <c r="F218" s="0" t="n">
        <f aca="false">[2]Sheet1!E218</f>
        <v>0</v>
      </c>
      <c r="G218" s="45" t="n">
        <f aca="false">[2]Sheet1!F218</f>
        <v>44084</v>
      </c>
      <c r="H218" s="0" t="n">
        <f aca="false">[2]Sheet1!G218</f>
        <v>300</v>
      </c>
      <c r="I218" s="0" t="n">
        <f aca="false">[2]Sheet1!H218</f>
        <v>300</v>
      </c>
      <c r="J218" s="0" t="n">
        <f aca="false">[2]Sheet1!I218</f>
        <v>3</v>
      </c>
      <c r="K218" s="0" t="n">
        <f aca="false">[2]Sheet1!J218</f>
        <v>0</v>
      </c>
      <c r="L218" s="0" t="n">
        <f aca="false">[2]Sheet1!K218</f>
        <v>4</v>
      </c>
      <c r="M218" s="0" t="n">
        <f aca="false">[2]Sheet1!L218</f>
        <v>14</v>
      </c>
      <c r="N218" s="0" t="n">
        <f aca="false">[2]Sheet1!M218</f>
        <v>11</v>
      </c>
      <c r="O218" s="0" t="n">
        <f aca="false">[2]Sheet1!N218</f>
        <v>0</v>
      </c>
      <c r="P218" s="226" t="n">
        <f aca="false">SUM(AY218+BA218)</f>
        <v>0</v>
      </c>
      <c r="Q218" s="201"/>
      <c r="R218" s="71"/>
      <c r="S218" s="227"/>
      <c r="T218" s="71"/>
      <c r="U218" s="201"/>
      <c r="V218" s="71"/>
      <c r="W218" s="227"/>
      <c r="X218" s="71"/>
      <c r="Y218" s="201"/>
      <c r="Z218" s="71"/>
      <c r="AA218" s="227"/>
      <c r="AB218" s="71"/>
      <c r="AC218" s="201"/>
      <c r="AD218" s="71"/>
      <c r="AE218" s="227"/>
      <c r="AF218" s="71"/>
      <c r="AG218" s="201"/>
      <c r="AH218" s="71"/>
      <c r="AI218" s="227"/>
      <c r="AJ218" s="71"/>
      <c r="AK218" s="201"/>
      <c r="AL218" s="71"/>
      <c r="AM218" s="227"/>
      <c r="AN218" s="71"/>
      <c r="AO218" s="201"/>
      <c r="AP218" s="71"/>
      <c r="AQ218" s="227"/>
      <c r="AR218" s="71"/>
      <c r="AS218" s="227"/>
      <c r="AT218" s="228"/>
      <c r="AU218" s="227"/>
      <c r="AV218" s="228"/>
      <c r="AW218" s="227"/>
      <c r="AX218" s="229" t="n">
        <f aca="false">SUM(R218+T218+V218+X218+Z218+AB218+AD218+AF218+AH218+AJ218+AL218+AN218+AP218+AR218)</f>
        <v>0</v>
      </c>
      <c r="AY218" s="230" t="n">
        <f aca="false">SUM(AX218*1000)/48</f>
        <v>0</v>
      </c>
      <c r="AZ218" s="231" t="n">
        <f aca="false">IFERROR(VLOOKUP(A218,'Site check'!$A$14:$O$47,15,0),0)</f>
        <v>0</v>
      </c>
      <c r="BA218" s="232" t="n">
        <f aca="false">SUM(AZ218*1000)/48</f>
        <v>0</v>
      </c>
      <c r="BB218" s="90" t="n">
        <f aca="false">SUM(P218/2)+E218</f>
        <v>70</v>
      </c>
      <c r="BC218" s="90" t="n">
        <f aca="false">SUM(P218/2)+F218</f>
        <v>0</v>
      </c>
    </row>
    <row r="219" customFormat="false" ht="13.15" hidden="false" customHeight="false" outlineLevel="0" collapsed="false">
      <c r="A219" s="0" t="str">
        <f aca="false">[2]Sheet1!A219</f>
        <v>NWCN05_SEC_DD770_CD17</v>
      </c>
      <c r="B219" s="0" t="str">
        <f aca="false">[2]Sheet1!B219</f>
        <v>NWCN05;DC SYS01</v>
      </c>
      <c r="C219" s="44" t="str">
        <f aca="false">[2]Sheet1!C219</f>
        <v>NWCN05</v>
      </c>
      <c r="D219" s="44" t="s">
        <v>698</v>
      </c>
      <c r="E219" s="0" t="n">
        <f aca="false">[2]Sheet1!D219</f>
        <v>80</v>
      </c>
      <c r="F219" s="0" t="n">
        <f aca="false">[2]Sheet1!E219</f>
        <v>60</v>
      </c>
      <c r="G219" s="45" t="n">
        <f aca="false">[2]Sheet1!F219</f>
        <v>44084</v>
      </c>
      <c r="H219" s="0" t="n">
        <f aca="false">[2]Sheet1!G219</f>
        <v>300</v>
      </c>
      <c r="I219" s="0" t="n">
        <f aca="false">[2]Sheet1!H219</f>
        <v>300</v>
      </c>
      <c r="J219" s="0" t="n">
        <f aca="false">[2]Sheet1!I219</f>
        <v>6</v>
      </c>
      <c r="K219" s="0" t="n">
        <f aca="false">[2]Sheet1!J219</f>
        <v>0</v>
      </c>
      <c r="L219" s="0" t="n">
        <f aca="false">[2]Sheet1!K219</f>
        <v>4</v>
      </c>
      <c r="M219" s="0" t="n">
        <f aca="false">[2]Sheet1!L219</f>
        <v>11</v>
      </c>
      <c r="N219" s="0" t="n">
        <f aca="false">[2]Sheet1!M219</f>
        <v>9</v>
      </c>
      <c r="O219" s="0" t="n">
        <f aca="false">[2]Sheet1!N219</f>
        <v>0</v>
      </c>
      <c r="P219" s="226" t="n">
        <f aca="false">SUM(AY219+BA219)</f>
        <v>20.8333333333333</v>
      </c>
      <c r="Q219" s="244" t="s">
        <v>1496</v>
      </c>
      <c r="R219" s="245" t="n">
        <v>1</v>
      </c>
      <c r="S219" s="227"/>
      <c r="T219" s="71"/>
      <c r="U219" s="201"/>
      <c r="V219" s="71"/>
      <c r="W219" s="227"/>
      <c r="X219" s="71"/>
      <c r="Y219" s="201"/>
      <c r="Z219" s="71"/>
      <c r="AA219" s="227"/>
      <c r="AB219" s="71"/>
      <c r="AC219" s="201"/>
      <c r="AD219" s="71"/>
      <c r="AE219" s="227"/>
      <c r="AF219" s="71"/>
      <c r="AG219" s="201"/>
      <c r="AH219" s="71"/>
      <c r="AI219" s="227"/>
      <c r="AJ219" s="71"/>
      <c r="AK219" s="201"/>
      <c r="AL219" s="71"/>
      <c r="AM219" s="227"/>
      <c r="AN219" s="71"/>
      <c r="AO219" s="201"/>
      <c r="AP219" s="71"/>
      <c r="AQ219" s="227"/>
      <c r="AR219" s="71"/>
      <c r="AS219" s="227"/>
      <c r="AT219" s="228"/>
      <c r="AU219" s="227"/>
      <c r="AV219" s="228"/>
      <c r="AW219" s="227"/>
      <c r="AX219" s="229" t="n">
        <f aca="false">SUM(R219+T219+V219+X219+Z219+AB219+AD219+AF219+AH219+AJ219+AL219+AN219+AP219+AR219)</f>
        <v>1</v>
      </c>
      <c r="AY219" s="230" t="n">
        <f aca="false">SUM(AX219*1000)/48</f>
        <v>20.8333333333333</v>
      </c>
      <c r="AZ219" s="231" t="n">
        <f aca="false">IFERROR(VLOOKUP(A219,'Site check'!$A$14:$O$47,15,0),0)</f>
        <v>0</v>
      </c>
      <c r="BA219" s="232" t="n">
        <f aca="false">SUM(AZ219*1000)/48</f>
        <v>0</v>
      </c>
      <c r="BB219" s="90" t="n">
        <f aca="false">SUM(P219/2)+E219</f>
        <v>90.4166666666667</v>
      </c>
      <c r="BC219" s="90" t="n">
        <f aca="false">SUM(P219/2)+F219</f>
        <v>70.4166666666667</v>
      </c>
    </row>
    <row r="220" customFormat="false" ht="13.15" hidden="false" customHeight="false" outlineLevel="0" collapsed="false">
      <c r="A220" s="0" t="str">
        <f aca="false">[2]Sheet1!A220</f>
        <v>SHD_SEC_DD770_AB7</v>
      </c>
      <c r="B220" s="0" t="str">
        <f aca="false">[2]Sheet1!B220</f>
        <v>SHD;DC SYS01</v>
      </c>
      <c r="C220" s="44" t="str">
        <f aca="false">[2]Sheet1!C220</f>
        <v>SHD</v>
      </c>
      <c r="D220" s="44" t="s">
        <v>757</v>
      </c>
      <c r="E220" s="0" t="n">
        <f aca="false">[2]Sheet1!D220</f>
        <v>100</v>
      </c>
      <c r="F220" s="0" t="n">
        <f aca="false">[2]Sheet1!E220</f>
        <v>100</v>
      </c>
      <c r="G220" s="45" t="n">
        <f aca="false">[2]Sheet1!F220</f>
        <v>44971</v>
      </c>
      <c r="H220" s="0" t="n">
        <f aca="false">[2]Sheet1!G220</f>
        <v>300</v>
      </c>
      <c r="I220" s="0" t="n">
        <f aca="false">[2]Sheet1!H220</f>
        <v>300</v>
      </c>
      <c r="J220" s="0" t="n">
        <f aca="false">[2]Sheet1!I220</f>
        <v>2</v>
      </c>
      <c r="K220" s="0" t="n">
        <f aca="false">[2]Sheet1!J220</f>
        <v>1</v>
      </c>
      <c r="L220" s="0" t="n">
        <f aca="false">[2]Sheet1!K220</f>
        <v>0</v>
      </c>
      <c r="M220" s="0" t="n">
        <f aca="false">[2]Sheet1!L220</f>
        <v>10</v>
      </c>
      <c r="N220" s="0" t="n">
        <f aca="false">[2]Sheet1!M220</f>
        <v>10</v>
      </c>
      <c r="O220" s="0" t="n">
        <f aca="false">[2]Sheet1!N220</f>
        <v>0</v>
      </c>
      <c r="P220" s="226" t="n">
        <f aca="false">SUM(AY220+BA220)</f>
        <v>0</v>
      </c>
      <c r="Q220" s="201"/>
      <c r="R220" s="71"/>
      <c r="S220" s="227"/>
      <c r="T220" s="71"/>
      <c r="U220" s="201"/>
      <c r="V220" s="71"/>
      <c r="W220" s="227"/>
      <c r="X220" s="71"/>
      <c r="Y220" s="201"/>
      <c r="Z220" s="71"/>
      <c r="AA220" s="227"/>
      <c r="AB220" s="71"/>
      <c r="AC220" s="201"/>
      <c r="AD220" s="71"/>
      <c r="AE220" s="227"/>
      <c r="AF220" s="71"/>
      <c r="AG220" s="201"/>
      <c r="AH220" s="71"/>
      <c r="AI220" s="227"/>
      <c r="AJ220" s="71"/>
      <c r="AK220" s="201"/>
      <c r="AL220" s="71"/>
      <c r="AM220" s="227"/>
      <c r="AN220" s="71"/>
      <c r="AO220" s="201"/>
      <c r="AP220" s="71"/>
      <c r="AQ220" s="227"/>
      <c r="AR220" s="71"/>
      <c r="AS220" s="227"/>
      <c r="AT220" s="228"/>
      <c r="AU220" s="227"/>
      <c r="AV220" s="228"/>
      <c r="AW220" s="227"/>
      <c r="AX220" s="229" t="n">
        <f aca="false">SUM(R220+T220+V220+X220+Z220+AB220+AD220+AF220+AH220+AJ220+AL220+AN220+AP220+AR220)</f>
        <v>0</v>
      </c>
      <c r="AY220" s="230" t="n">
        <f aca="false">SUM(AX220*1000)/48</f>
        <v>0</v>
      </c>
      <c r="AZ220" s="231" t="n">
        <f aca="false">IFERROR(VLOOKUP(A220,'Site check'!$A$14:$O$47,15,0),0)</f>
        <v>0</v>
      </c>
      <c r="BA220" s="232" t="n">
        <f aca="false">SUM(AZ220*1000)/48</f>
        <v>0</v>
      </c>
      <c r="BB220" s="90" t="n">
        <f aca="false">SUM(P220/2)+E220</f>
        <v>100</v>
      </c>
      <c r="BC220" s="90" t="n">
        <f aca="false">SUM(P220/2)+F220</f>
        <v>100</v>
      </c>
    </row>
    <row r="221" customFormat="false" ht="13.15" hidden="false" customHeight="false" outlineLevel="0" collapsed="false">
      <c r="A221" s="0" t="str">
        <f aca="false">[2]Sheet1!A221</f>
        <v>SHD_SEC_DD770_GH00</v>
      </c>
      <c r="B221" s="0" t="str">
        <f aca="false">[2]Sheet1!B221</f>
        <v>SHD;DC SYS01</v>
      </c>
      <c r="C221" s="44" t="str">
        <f aca="false">[2]Sheet1!C221</f>
        <v>SHD</v>
      </c>
      <c r="D221" s="44" t="s">
        <v>757</v>
      </c>
      <c r="E221" s="0" t="n">
        <f aca="false">[2]Sheet1!D221</f>
        <v>110</v>
      </c>
      <c r="F221" s="0" t="n">
        <f aca="false">[2]Sheet1!E221</f>
        <v>110</v>
      </c>
      <c r="G221" s="45" t="n">
        <f aca="false">[2]Sheet1!F221</f>
        <v>44971</v>
      </c>
      <c r="H221" s="0" t="n">
        <f aca="false">[2]Sheet1!G221</f>
        <v>300</v>
      </c>
      <c r="I221" s="0" t="n">
        <f aca="false">[2]Sheet1!H221</f>
        <v>300</v>
      </c>
      <c r="J221" s="0" t="n">
        <f aca="false">[2]Sheet1!I221</f>
        <v>3</v>
      </c>
      <c r="K221" s="0" t="n">
        <f aca="false">[2]Sheet1!J221</f>
        <v>3</v>
      </c>
      <c r="L221" s="0" t="n">
        <f aca="false">[2]Sheet1!K221</f>
        <v>0</v>
      </c>
      <c r="M221" s="0" t="n">
        <f aca="false">[2]Sheet1!L221</f>
        <v>11</v>
      </c>
      <c r="N221" s="0" t="n">
        <f aca="false">[2]Sheet1!M221</f>
        <v>8</v>
      </c>
      <c r="O221" s="0" t="n">
        <f aca="false">[2]Sheet1!N221</f>
        <v>0</v>
      </c>
      <c r="P221" s="226" t="n">
        <f aca="false">SUM(AY221+BA221)</f>
        <v>5.20833333333333</v>
      </c>
      <c r="Q221" s="177" t="s">
        <v>1371</v>
      </c>
      <c r="R221" s="235" t="n">
        <v>0.25</v>
      </c>
      <c r="S221" s="227"/>
      <c r="T221" s="71"/>
      <c r="U221" s="201"/>
      <c r="V221" s="71"/>
      <c r="W221" s="227"/>
      <c r="X221" s="71"/>
      <c r="Y221" s="201"/>
      <c r="Z221" s="71"/>
      <c r="AA221" s="227"/>
      <c r="AB221" s="71"/>
      <c r="AC221" s="201"/>
      <c r="AD221" s="71"/>
      <c r="AE221" s="227"/>
      <c r="AF221" s="71"/>
      <c r="AG221" s="201"/>
      <c r="AH221" s="71"/>
      <c r="AI221" s="227"/>
      <c r="AJ221" s="71"/>
      <c r="AK221" s="201"/>
      <c r="AL221" s="71"/>
      <c r="AM221" s="227"/>
      <c r="AN221" s="71"/>
      <c r="AO221" s="201"/>
      <c r="AP221" s="71"/>
      <c r="AQ221" s="227"/>
      <c r="AR221" s="71"/>
      <c r="AS221" s="227"/>
      <c r="AT221" s="228"/>
      <c r="AU221" s="227"/>
      <c r="AV221" s="228"/>
      <c r="AW221" s="227"/>
      <c r="AX221" s="229" t="n">
        <f aca="false">SUM(R221+T221+V221+X221+Z221+AB221+AD221+AF221+AH221+AJ221+AL221+AN221+AP221+AR221)</f>
        <v>0.25</v>
      </c>
      <c r="AY221" s="230" t="n">
        <f aca="false">SUM(AX221*1000)/48</f>
        <v>5.20833333333333</v>
      </c>
      <c r="AZ221" s="231" t="n">
        <f aca="false">IFERROR(VLOOKUP(A221,'Site check'!$A$14:$O$47,15,0),0)</f>
        <v>0</v>
      </c>
      <c r="BA221" s="232" t="n">
        <f aca="false">SUM(AZ221*1000)/48</f>
        <v>0</v>
      </c>
      <c r="BB221" s="90" t="n">
        <f aca="false">SUM(P221/2)+E221</f>
        <v>112.604166666667</v>
      </c>
      <c r="BC221" s="90" t="n">
        <f aca="false">SUM(P221/2)+F221</f>
        <v>112.604166666667</v>
      </c>
    </row>
    <row r="222" customFormat="false" ht="13.15" hidden="false" customHeight="false" outlineLevel="0" collapsed="false">
      <c r="A222" s="0" t="str">
        <f aca="false">[2]Sheet1!A222</f>
        <v>SHD_SEC_WALL_CBDB4</v>
      </c>
      <c r="B222" s="0" t="str">
        <f aca="false">[2]Sheet1!B222</f>
        <v>SHD;DC SYS01</v>
      </c>
      <c r="C222" s="44" t="str">
        <f aca="false">[2]Sheet1!C222</f>
        <v>SHD</v>
      </c>
      <c r="D222" s="44" t="s">
        <v>757</v>
      </c>
      <c r="E222" s="0" t="n">
        <f aca="false">[2]Sheet1!D222</f>
        <v>40</v>
      </c>
      <c r="F222" s="0" t="n">
        <f aca="false">[2]Sheet1!E222</f>
        <v>45</v>
      </c>
      <c r="G222" s="45" t="n">
        <f aca="false">[2]Sheet1!F222</f>
        <v>44971</v>
      </c>
      <c r="H222" s="0" t="n">
        <f aca="false">[2]Sheet1!G222</f>
        <v>300</v>
      </c>
      <c r="I222" s="0" t="n">
        <f aca="false">[2]Sheet1!H222</f>
        <v>300</v>
      </c>
      <c r="J222" s="0" t="n">
        <f aca="false">[2]Sheet1!I222</f>
        <v>0</v>
      </c>
      <c r="K222" s="0" t="n">
        <f aca="false">[2]Sheet1!J222</f>
        <v>0</v>
      </c>
      <c r="L222" s="0" t="n">
        <f aca="false">[2]Sheet1!K222</f>
        <v>0</v>
      </c>
      <c r="M222" s="0" t="n">
        <f aca="false">[2]Sheet1!L222</f>
        <v>0</v>
      </c>
      <c r="N222" s="0" t="n">
        <f aca="false">[2]Sheet1!M222</f>
        <v>2</v>
      </c>
      <c r="O222" s="0" t="n">
        <f aca="false">[2]Sheet1!N222</f>
        <v>0</v>
      </c>
      <c r="P222" s="226" t="n">
        <f aca="false">SUM(AY222+BA222)</f>
        <v>0</v>
      </c>
      <c r="Q222" s="201"/>
      <c r="R222" s="71"/>
      <c r="S222" s="227"/>
      <c r="T222" s="71"/>
      <c r="U222" s="201"/>
      <c r="V222" s="71"/>
      <c r="W222" s="227"/>
      <c r="X222" s="71"/>
      <c r="Y222" s="201"/>
      <c r="Z222" s="71"/>
      <c r="AA222" s="227"/>
      <c r="AB222" s="71"/>
      <c r="AC222" s="201"/>
      <c r="AD222" s="71"/>
      <c r="AE222" s="227"/>
      <c r="AF222" s="71"/>
      <c r="AG222" s="201"/>
      <c r="AH222" s="71"/>
      <c r="AI222" s="227"/>
      <c r="AJ222" s="71"/>
      <c r="AK222" s="201"/>
      <c r="AL222" s="71"/>
      <c r="AM222" s="227"/>
      <c r="AN222" s="71"/>
      <c r="AO222" s="201"/>
      <c r="AP222" s="71"/>
      <c r="AQ222" s="227"/>
      <c r="AR222" s="71"/>
      <c r="AS222" s="227"/>
      <c r="AT222" s="228"/>
      <c r="AU222" s="227"/>
      <c r="AV222" s="228"/>
      <c r="AW222" s="227"/>
      <c r="AX222" s="229" t="n">
        <f aca="false">SUM(R222+T222+V222+X222+Z222+AB222+AD222+AF222+AH222+AJ222+AL222+AN222+AP222+AR222)</f>
        <v>0</v>
      </c>
      <c r="AY222" s="230" t="n">
        <f aca="false">SUM(AX222*1000)/48</f>
        <v>0</v>
      </c>
      <c r="AZ222" s="231" t="n">
        <f aca="false">IFERROR(VLOOKUP(A222,'Site check'!$A$14:$O$47,15,0),0)</f>
        <v>0</v>
      </c>
      <c r="BA222" s="232" t="n">
        <f aca="false">SUM(AZ222*1000)/48</f>
        <v>0</v>
      </c>
      <c r="BB222" s="90" t="n">
        <f aca="false">SUM(P222/2)+E222</f>
        <v>40</v>
      </c>
      <c r="BC222" s="90" t="n">
        <f aca="false">SUM(P222/2)+F222</f>
        <v>45</v>
      </c>
    </row>
    <row r="223" customFormat="false" ht="13.15" hidden="false" customHeight="false" outlineLevel="0" collapsed="false">
      <c r="A223" s="0" t="str">
        <f aca="false">[2]Sheet1!A223</f>
        <v>SNDTM1_PRI_WALL_DIST A3_RECT A</v>
      </c>
      <c r="B223" s="0" t="str">
        <f aca="false">[2]Sheet1!B223</f>
        <v>SNDTM1;DC SYS01</v>
      </c>
      <c r="C223" s="44" t="str">
        <f aca="false">[2]Sheet1!C223</f>
        <v>SNDTM1</v>
      </c>
      <c r="D223" s="44" t="s">
        <v>766</v>
      </c>
      <c r="E223" s="0" t="n">
        <f aca="false">[2]Sheet1!D223</f>
        <v>0</v>
      </c>
      <c r="F223" s="0" t="n">
        <f aca="false">[2]Sheet1!E223</f>
        <v>0</v>
      </c>
      <c r="G223" s="45" t="n">
        <f aca="false">[2]Sheet1!F223</f>
        <v>0</v>
      </c>
      <c r="H223" s="0" t="n">
        <f aca="false">[2]Sheet1!G223</f>
        <v>300</v>
      </c>
      <c r="I223" s="0" t="n">
        <f aca="false">[2]Sheet1!H223</f>
        <v>0</v>
      </c>
      <c r="J223" s="0" t="n">
        <f aca="false">[2]Sheet1!I223</f>
        <v>0</v>
      </c>
      <c r="K223" s="0" t="n">
        <f aca="false">[2]Sheet1!J223</f>
        <v>0</v>
      </c>
      <c r="L223" s="0" t="n">
        <f aca="false">[2]Sheet1!K223</f>
        <v>0</v>
      </c>
      <c r="M223" s="0" t="n">
        <f aca="false">[2]Sheet1!L223</f>
        <v>0</v>
      </c>
      <c r="N223" s="0" t="n">
        <f aca="false">[2]Sheet1!M223</f>
        <v>0</v>
      </c>
      <c r="O223" s="0" t="n">
        <f aca="false">[2]Sheet1!N223</f>
        <v>0</v>
      </c>
      <c r="P223" s="226" t="n">
        <f aca="false">SUM(AY223+BA223)</f>
        <v>0</v>
      </c>
      <c r="Q223" s="201"/>
      <c r="R223" s="71"/>
      <c r="S223" s="227"/>
      <c r="T223" s="71"/>
      <c r="U223" s="201"/>
      <c r="V223" s="71"/>
      <c r="W223" s="227"/>
      <c r="X223" s="71"/>
      <c r="Y223" s="201"/>
      <c r="Z223" s="71"/>
      <c r="AA223" s="227"/>
      <c r="AB223" s="71"/>
      <c r="AC223" s="201"/>
      <c r="AD223" s="71"/>
      <c r="AE223" s="227"/>
      <c r="AF223" s="71"/>
      <c r="AG223" s="201"/>
      <c r="AH223" s="71"/>
      <c r="AI223" s="227"/>
      <c r="AJ223" s="71"/>
      <c r="AK223" s="201"/>
      <c r="AL223" s="71"/>
      <c r="AM223" s="227"/>
      <c r="AN223" s="71"/>
      <c r="AO223" s="201"/>
      <c r="AP223" s="71"/>
      <c r="AQ223" s="227"/>
      <c r="AR223" s="71"/>
      <c r="AS223" s="227"/>
      <c r="AT223" s="228"/>
      <c r="AU223" s="227"/>
      <c r="AV223" s="228"/>
      <c r="AW223" s="227"/>
      <c r="AX223" s="229" t="n">
        <f aca="false">SUM(R223+T223+V223+X223+Z223+AB223+AD223+AF223+AH223+AJ223+AL223+AN223+AP223+AR223)</f>
        <v>0</v>
      </c>
      <c r="AY223" s="230" t="n">
        <f aca="false">SUM(AX223*1000)/48</f>
        <v>0</v>
      </c>
      <c r="AZ223" s="231" t="n">
        <f aca="false">IFERROR(VLOOKUP(A223,'Site check'!$A$14:$O$47,15,0),0)</f>
        <v>0</v>
      </c>
      <c r="BA223" s="232" t="n">
        <f aca="false">SUM(AZ223*1000)/48</f>
        <v>0</v>
      </c>
      <c r="BB223" s="90" t="n">
        <f aca="false">SUM(P223/2)+E223</f>
        <v>0</v>
      </c>
      <c r="BC223" s="90" t="n">
        <f aca="false">SUM(P223/2)+F223</f>
        <v>0</v>
      </c>
    </row>
    <row r="224" customFormat="false" ht="13.15" hidden="false" customHeight="false" outlineLevel="0" collapsed="false">
      <c r="A224" s="0" t="str">
        <f aca="false">[2]Sheet1!A224</f>
        <v>SNDTM1_PRI_WALL_DIST B2_RECT B</v>
      </c>
      <c r="B224" s="0" t="str">
        <f aca="false">[2]Sheet1!B224</f>
        <v>SNDTM1;DC SYS01</v>
      </c>
      <c r="C224" s="44" t="str">
        <f aca="false">[2]Sheet1!C224</f>
        <v>SNDTM1</v>
      </c>
      <c r="D224" s="44" t="s">
        <v>766</v>
      </c>
      <c r="E224" s="0" t="n">
        <f aca="false">[2]Sheet1!D224</f>
        <v>0</v>
      </c>
      <c r="F224" s="0" t="n">
        <f aca="false">[2]Sheet1!E224</f>
        <v>0</v>
      </c>
      <c r="G224" s="45" t="n">
        <f aca="false">[2]Sheet1!F224</f>
        <v>0</v>
      </c>
      <c r="H224" s="0" t="n">
        <f aca="false">[2]Sheet1!G224</f>
        <v>300</v>
      </c>
      <c r="I224" s="0" t="n">
        <f aca="false">[2]Sheet1!H224</f>
        <v>0</v>
      </c>
      <c r="J224" s="0" t="n">
        <f aca="false">[2]Sheet1!I224</f>
        <v>0</v>
      </c>
      <c r="K224" s="0" t="n">
        <f aca="false">[2]Sheet1!J224</f>
        <v>0</v>
      </c>
      <c r="L224" s="0" t="n">
        <f aca="false">[2]Sheet1!K224</f>
        <v>0</v>
      </c>
      <c r="M224" s="0" t="n">
        <f aca="false">[2]Sheet1!L224</f>
        <v>0</v>
      </c>
      <c r="N224" s="0" t="n">
        <f aca="false">[2]Sheet1!M224</f>
        <v>0</v>
      </c>
      <c r="O224" s="0" t="n">
        <f aca="false">[2]Sheet1!N224</f>
        <v>0</v>
      </c>
      <c r="P224" s="226" t="n">
        <f aca="false">SUM(AY224+BA224)</f>
        <v>0</v>
      </c>
      <c r="Q224" s="201"/>
      <c r="R224" s="71"/>
      <c r="S224" s="227"/>
      <c r="T224" s="71"/>
      <c r="U224" s="201"/>
      <c r="V224" s="71"/>
      <c r="W224" s="227"/>
      <c r="X224" s="71"/>
      <c r="Y224" s="201"/>
      <c r="Z224" s="71"/>
      <c r="AA224" s="227"/>
      <c r="AB224" s="71"/>
      <c r="AC224" s="201"/>
      <c r="AD224" s="71"/>
      <c r="AE224" s="227"/>
      <c r="AF224" s="71"/>
      <c r="AG224" s="201"/>
      <c r="AH224" s="71"/>
      <c r="AI224" s="227"/>
      <c r="AJ224" s="71"/>
      <c r="AK224" s="201"/>
      <c r="AL224" s="71"/>
      <c r="AM224" s="227"/>
      <c r="AN224" s="71"/>
      <c r="AO224" s="201"/>
      <c r="AP224" s="71"/>
      <c r="AQ224" s="227"/>
      <c r="AR224" s="71"/>
      <c r="AS224" s="227"/>
      <c r="AT224" s="228"/>
      <c r="AU224" s="227"/>
      <c r="AV224" s="228"/>
      <c r="AW224" s="227"/>
      <c r="AX224" s="229" t="n">
        <f aca="false">SUM(R224+T224+V224+X224+Z224+AB224+AD224+AF224+AH224+AJ224+AL224+AN224+AP224+AR224)</f>
        <v>0</v>
      </c>
      <c r="AY224" s="230" t="n">
        <f aca="false">SUM(AX224*1000)/48</f>
        <v>0</v>
      </c>
      <c r="AZ224" s="231" t="n">
        <f aca="false">IFERROR(VLOOKUP(A224,'Site check'!$A$14:$O$47,15,0),0)</f>
        <v>0</v>
      </c>
      <c r="BA224" s="232" t="n">
        <f aca="false">SUM(AZ224*1000)/48</f>
        <v>0</v>
      </c>
      <c r="BB224" s="90" t="n">
        <f aca="false">SUM(P224/2)+E224</f>
        <v>0</v>
      </c>
      <c r="BC224" s="90" t="n">
        <f aca="false">SUM(P224/2)+F224</f>
        <v>0</v>
      </c>
    </row>
    <row r="225" customFormat="false" ht="13.15" hidden="false" customHeight="false" outlineLevel="0" collapsed="false">
      <c r="A225" s="0" t="str">
        <f aca="false">[2]Sheet1!A225</f>
        <v>TGY_SEC_DD770_D08</v>
      </c>
      <c r="B225" s="0" t="str">
        <f aca="false">[2]Sheet1!B225</f>
        <v>TGY;DC SYSA</v>
      </c>
      <c r="C225" s="44" t="str">
        <f aca="false">[2]Sheet1!C225</f>
        <v>TGYN04</v>
      </c>
      <c r="D225" s="44" t="s">
        <v>794</v>
      </c>
      <c r="E225" s="0" t="n">
        <f aca="false">[2]Sheet1!D225</f>
        <v>25</v>
      </c>
      <c r="F225" s="0" t="n">
        <f aca="false">[2]Sheet1!E225</f>
        <v>25</v>
      </c>
      <c r="G225" s="45" t="n">
        <f aca="false">[2]Sheet1!F225</f>
        <v>44973</v>
      </c>
      <c r="H225" s="0" t="n">
        <f aca="false">[2]Sheet1!G225</f>
        <v>300</v>
      </c>
      <c r="I225" s="0" t="n">
        <f aca="false">[2]Sheet1!H225</f>
        <v>300</v>
      </c>
      <c r="J225" s="0" t="n">
        <f aca="false">[2]Sheet1!I225</f>
        <v>6</v>
      </c>
      <c r="K225" s="0" t="n">
        <f aca="false">[2]Sheet1!J225</f>
        <v>5</v>
      </c>
      <c r="L225" s="0" t="n">
        <f aca="false">[2]Sheet1!K225</f>
        <v>6</v>
      </c>
      <c r="M225" s="0" t="n">
        <f aca="false">[2]Sheet1!L225</f>
        <v>14</v>
      </c>
      <c r="N225" s="0" t="n">
        <f aca="false">[2]Sheet1!M225</f>
        <v>12</v>
      </c>
      <c r="O225" s="0" t="n">
        <f aca="false">[2]Sheet1!N225</f>
        <v>0</v>
      </c>
      <c r="P225" s="226" t="n">
        <f aca="false">SUM(AY225+BA225)</f>
        <v>0</v>
      </c>
      <c r="Q225" s="201"/>
      <c r="R225" s="71"/>
      <c r="S225" s="227"/>
      <c r="T225" s="71"/>
      <c r="U225" s="201"/>
      <c r="V225" s="71"/>
      <c r="W225" s="227"/>
      <c r="X225" s="71"/>
      <c r="Y225" s="201"/>
      <c r="Z225" s="71"/>
      <c r="AA225" s="227"/>
      <c r="AB225" s="71"/>
      <c r="AC225" s="201"/>
      <c r="AD225" s="71"/>
      <c r="AE225" s="227"/>
      <c r="AF225" s="71"/>
      <c r="AG225" s="201"/>
      <c r="AH225" s="71"/>
      <c r="AI225" s="227"/>
      <c r="AJ225" s="71"/>
      <c r="AK225" s="201"/>
      <c r="AL225" s="71"/>
      <c r="AM225" s="227"/>
      <c r="AN225" s="71"/>
      <c r="AO225" s="201"/>
      <c r="AP225" s="71"/>
      <c r="AQ225" s="227"/>
      <c r="AR225" s="71"/>
      <c r="AS225" s="227"/>
      <c r="AT225" s="228"/>
      <c r="AU225" s="227"/>
      <c r="AV225" s="228"/>
      <c r="AW225" s="227"/>
      <c r="AX225" s="229" t="n">
        <f aca="false">SUM(R225+T225+V225+X225+Z225+AB225+AD225+AF225+AH225+AJ225+AL225+AN225+AP225+AR225)</f>
        <v>0</v>
      </c>
      <c r="AY225" s="230" t="n">
        <f aca="false">SUM(AX225*1000)/48</f>
        <v>0</v>
      </c>
      <c r="AZ225" s="231" t="n">
        <f aca="false">IFERROR(VLOOKUP(A225,'Site check'!$A$14:$O$47,15,0),0)</f>
        <v>0</v>
      </c>
      <c r="BA225" s="232" t="n">
        <f aca="false">SUM(AZ225*1000)/48</f>
        <v>0</v>
      </c>
      <c r="BB225" s="90" t="n">
        <f aca="false">SUM(P225/2)+E225</f>
        <v>25</v>
      </c>
      <c r="BC225" s="90" t="n">
        <f aca="false">SUM(P225/2)+F225</f>
        <v>25</v>
      </c>
    </row>
    <row r="226" customFormat="false" ht="13.15" hidden="false" customHeight="false" outlineLevel="0" collapsed="false">
      <c r="A226" s="0" t="str">
        <f aca="false">[2]Sheet1!A226</f>
        <v>TGY_SEC_DD770_V1</v>
      </c>
      <c r="B226" s="0" t="str">
        <f aca="false">[2]Sheet1!B226</f>
        <v>TGY;DC SYSA</v>
      </c>
      <c r="C226" s="44" t="str">
        <f aca="false">[2]Sheet1!C226</f>
        <v>TGYN04</v>
      </c>
      <c r="D226" s="44" t="s">
        <v>794</v>
      </c>
      <c r="E226" s="0" t="n">
        <f aca="false">[2]Sheet1!D226</f>
        <v>100</v>
      </c>
      <c r="F226" s="0" t="n">
        <f aca="false">[2]Sheet1!E226</f>
        <v>100</v>
      </c>
      <c r="G226" s="45" t="n">
        <f aca="false">[2]Sheet1!F226</f>
        <v>44973</v>
      </c>
      <c r="H226" s="0" t="n">
        <f aca="false">[2]Sheet1!G226</f>
        <v>300</v>
      </c>
      <c r="I226" s="0" t="n">
        <f aca="false">[2]Sheet1!H226</f>
        <v>300</v>
      </c>
      <c r="J226" s="0" t="n">
        <f aca="false">[2]Sheet1!I226</f>
        <v>0</v>
      </c>
      <c r="K226" s="0" t="n">
        <f aca="false">[2]Sheet1!J226</f>
        <v>3</v>
      </c>
      <c r="L226" s="0" t="n">
        <f aca="false">[2]Sheet1!K226</f>
        <v>6</v>
      </c>
      <c r="M226" s="0" t="n">
        <f aca="false">[2]Sheet1!L226</f>
        <v>24</v>
      </c>
      <c r="N226" s="0" t="n">
        <f aca="false">[2]Sheet1!M226</f>
        <v>10</v>
      </c>
      <c r="O226" s="0" t="n">
        <f aca="false">[2]Sheet1!N226</f>
        <v>0</v>
      </c>
      <c r="P226" s="226" t="n">
        <f aca="false">SUM(AY226+BA226)</f>
        <v>0</v>
      </c>
      <c r="Q226" s="201"/>
      <c r="R226" s="71"/>
      <c r="S226" s="227"/>
      <c r="T226" s="71"/>
      <c r="U226" s="201"/>
      <c r="V226" s="71"/>
      <c r="W226" s="227"/>
      <c r="X226" s="71"/>
      <c r="Y226" s="201"/>
      <c r="Z226" s="71"/>
      <c r="AA226" s="227"/>
      <c r="AB226" s="71"/>
      <c r="AC226" s="201"/>
      <c r="AD226" s="71"/>
      <c r="AE226" s="227"/>
      <c r="AF226" s="71"/>
      <c r="AG226" s="201"/>
      <c r="AH226" s="71"/>
      <c r="AI226" s="227"/>
      <c r="AJ226" s="71"/>
      <c r="AK226" s="201"/>
      <c r="AL226" s="71"/>
      <c r="AM226" s="227"/>
      <c r="AN226" s="71"/>
      <c r="AO226" s="201"/>
      <c r="AP226" s="71"/>
      <c r="AQ226" s="227"/>
      <c r="AR226" s="71"/>
      <c r="AS226" s="227"/>
      <c r="AT226" s="228"/>
      <c r="AU226" s="227"/>
      <c r="AV226" s="228"/>
      <c r="AW226" s="227"/>
      <c r="AX226" s="229" t="n">
        <f aca="false">SUM(R226+T226+V226+X226+Z226+AB226+AD226+AF226+AH226+AJ226+AL226+AN226+AP226+AR226)</f>
        <v>0</v>
      </c>
      <c r="AY226" s="230" t="n">
        <f aca="false">SUM(AX226*1000)/48</f>
        <v>0</v>
      </c>
      <c r="AZ226" s="231" t="n">
        <f aca="false">IFERROR(VLOOKUP(A226,'Site check'!$A$14:$O$47,15,0),0)</f>
        <v>0</v>
      </c>
      <c r="BA226" s="232" t="n">
        <f aca="false">SUM(AZ226*1000)/48</f>
        <v>0</v>
      </c>
      <c r="BB226" s="90" t="n">
        <f aca="false">SUM(P226/2)+E226</f>
        <v>100</v>
      </c>
      <c r="BC226" s="90" t="n">
        <f aca="false">SUM(P226/2)+F226</f>
        <v>100</v>
      </c>
    </row>
    <row r="227" customFormat="false" ht="13.15" hidden="false" customHeight="false" outlineLevel="0" collapsed="false">
      <c r="A227" s="0" t="str">
        <f aca="false">[2]Sheet1!A227</f>
        <v>TGY_SEC_WALL_CBDB</v>
      </c>
      <c r="B227" s="0" t="str">
        <f aca="false">[2]Sheet1!B227</f>
        <v>TGY;DC SYSA</v>
      </c>
      <c r="C227" s="44" t="str">
        <f aca="false">[2]Sheet1!C227</f>
        <v>TGYN04</v>
      </c>
      <c r="D227" s="44" t="s">
        <v>794</v>
      </c>
      <c r="E227" s="0" t="n">
        <f aca="false">[2]Sheet1!D227</f>
        <v>0</v>
      </c>
      <c r="F227" s="0" t="n">
        <f aca="false">[2]Sheet1!E227</f>
        <v>0</v>
      </c>
      <c r="G227" s="45" t="n">
        <f aca="false">[2]Sheet1!F227</f>
        <v>0</v>
      </c>
      <c r="H227" s="0" t="n">
        <f aca="false">[2]Sheet1!G227</f>
        <v>300</v>
      </c>
      <c r="I227" s="0" t="n">
        <f aca="false">[2]Sheet1!H227</f>
        <v>300</v>
      </c>
      <c r="J227" s="0" t="n">
        <f aca="false">[2]Sheet1!I227</f>
        <v>0</v>
      </c>
      <c r="K227" s="0" t="n">
        <f aca="false">[2]Sheet1!J227</f>
        <v>0</v>
      </c>
      <c r="L227" s="0" t="n">
        <f aca="false">[2]Sheet1!K227</f>
        <v>0</v>
      </c>
      <c r="M227" s="0" t="n">
        <f aca="false">[2]Sheet1!L227</f>
        <v>0</v>
      </c>
      <c r="N227" s="0" t="n">
        <f aca="false">[2]Sheet1!M227</f>
        <v>0</v>
      </c>
      <c r="O227" s="0" t="n">
        <f aca="false">[2]Sheet1!N227</f>
        <v>4</v>
      </c>
      <c r="P227" s="226" t="n">
        <f aca="false">SUM(AY227+BA227)</f>
        <v>0</v>
      </c>
      <c r="Q227" s="201"/>
      <c r="R227" s="71"/>
      <c r="S227" s="227"/>
      <c r="T227" s="71"/>
      <c r="U227" s="201"/>
      <c r="V227" s="71"/>
      <c r="W227" s="227"/>
      <c r="X227" s="71"/>
      <c r="Y227" s="201"/>
      <c r="Z227" s="71"/>
      <c r="AA227" s="227"/>
      <c r="AB227" s="71"/>
      <c r="AC227" s="201"/>
      <c r="AD227" s="71"/>
      <c r="AE227" s="227"/>
      <c r="AF227" s="71"/>
      <c r="AG227" s="201"/>
      <c r="AH227" s="71"/>
      <c r="AI227" s="227"/>
      <c r="AJ227" s="71"/>
      <c r="AK227" s="201"/>
      <c r="AL227" s="71"/>
      <c r="AM227" s="227"/>
      <c r="AN227" s="71"/>
      <c r="AO227" s="201"/>
      <c r="AP227" s="71"/>
      <c r="AQ227" s="227"/>
      <c r="AR227" s="71"/>
      <c r="AS227" s="227"/>
      <c r="AT227" s="228"/>
      <c r="AU227" s="227"/>
      <c r="AV227" s="228"/>
      <c r="AW227" s="227"/>
      <c r="AX227" s="229" t="n">
        <f aca="false">SUM(R227+T227+V227+X227+Z227+AB227+AD227+AF227+AH227+AJ227+AL227+AN227+AP227+AR227)</f>
        <v>0</v>
      </c>
      <c r="AY227" s="230" t="n">
        <f aca="false">SUM(AX227*1000)/48</f>
        <v>0</v>
      </c>
      <c r="AZ227" s="231" t="n">
        <f aca="false">IFERROR(VLOOKUP(A227,'Site check'!$A$14:$O$47,15,0),0)</f>
        <v>0</v>
      </c>
      <c r="BA227" s="232" t="n">
        <f aca="false">SUM(AZ227*1000)/48</f>
        <v>0</v>
      </c>
      <c r="BB227" s="90" t="n">
        <f aca="false">SUM(P227/2)+E227</f>
        <v>0</v>
      </c>
      <c r="BC227" s="90" t="n">
        <f aca="false">SUM(P227/2)+F227</f>
        <v>0</v>
      </c>
    </row>
    <row r="228" customFormat="false" ht="13.15" hidden="false" customHeight="false" outlineLevel="0" collapsed="false">
      <c r="A228" s="0" t="str">
        <f aca="false">[2]Sheet1!A228</f>
        <v>TGY_SEC_Eaton_BD01_Room5</v>
      </c>
      <c r="B228" s="0" t="str">
        <f aca="false">[2]Sheet1!B228</f>
        <v>TGY;DC SYSA</v>
      </c>
      <c r="C228" s="44" t="str">
        <f aca="false">[2]Sheet1!C228</f>
        <v>TGYN04</v>
      </c>
      <c r="D228" s="44" t="s">
        <v>794</v>
      </c>
      <c r="E228" s="0" t="n">
        <f aca="false">[2]Sheet1!D228</f>
        <v>87</v>
      </c>
      <c r="F228" s="0" t="n">
        <f aca="false">[2]Sheet1!E228</f>
        <v>87</v>
      </c>
      <c r="G228" s="45" t="n">
        <f aca="false">[2]Sheet1!F228</f>
        <v>44973</v>
      </c>
      <c r="H228" s="0" t="n">
        <f aca="false">[2]Sheet1!G228</f>
        <v>300</v>
      </c>
      <c r="I228" s="0" t="n">
        <f aca="false">[2]Sheet1!H228</f>
        <v>300</v>
      </c>
      <c r="J228" s="0" t="n">
        <f aca="false">[2]Sheet1!I228</f>
        <v>0</v>
      </c>
      <c r="K228" s="0" t="n">
        <f aca="false">[2]Sheet1!J228</f>
        <v>0</v>
      </c>
      <c r="L228" s="0" t="n">
        <f aca="false">[2]Sheet1!K228</f>
        <v>0</v>
      </c>
      <c r="M228" s="0" t="n">
        <f aca="false">[2]Sheet1!L228</f>
        <v>0</v>
      </c>
      <c r="N228" s="0" t="n">
        <f aca="false">[2]Sheet1!M228</f>
        <v>0</v>
      </c>
      <c r="O228" s="0" t="n">
        <f aca="false">[2]Sheet1!N228</f>
        <v>40</v>
      </c>
      <c r="P228" s="226" t="n">
        <f aca="false">SUM(AY228+BA228)</f>
        <v>447.916666666667</v>
      </c>
      <c r="Q228" s="170" t="s">
        <v>1409</v>
      </c>
      <c r="R228" s="234" t="n">
        <v>8</v>
      </c>
      <c r="S228" s="170" t="s">
        <v>1410</v>
      </c>
      <c r="T228" s="234" t="n">
        <v>4.5</v>
      </c>
      <c r="U228" s="170" t="s">
        <v>1411</v>
      </c>
      <c r="V228" s="234" t="n">
        <v>4.5</v>
      </c>
      <c r="W228" s="170" t="s">
        <v>1412</v>
      </c>
      <c r="X228" s="234" t="n">
        <v>4.5</v>
      </c>
      <c r="Y228" s="201"/>
      <c r="Z228" s="71"/>
      <c r="AA228" s="227"/>
      <c r="AB228" s="71"/>
      <c r="AC228" s="201"/>
      <c r="AD228" s="71"/>
      <c r="AE228" s="227"/>
      <c r="AF228" s="71"/>
      <c r="AG228" s="201"/>
      <c r="AH228" s="71"/>
      <c r="AI228" s="227"/>
      <c r="AJ228" s="71"/>
      <c r="AK228" s="201"/>
      <c r="AL228" s="71"/>
      <c r="AM228" s="227"/>
      <c r="AN228" s="71"/>
      <c r="AO228" s="201"/>
      <c r="AP228" s="71"/>
      <c r="AQ228" s="227"/>
      <c r="AR228" s="71"/>
      <c r="AS228" s="227"/>
      <c r="AT228" s="228"/>
      <c r="AU228" s="227"/>
      <c r="AV228" s="228"/>
      <c r="AW228" s="227"/>
      <c r="AX228" s="229" t="n">
        <f aca="false">SUM(R228+T228+V228+X228+Z228+AB228+AD228+AF228+AH228+AJ228+AL228+AN228+AP228+AR228)</f>
        <v>21.5</v>
      </c>
      <c r="AY228" s="230" t="n">
        <f aca="false">SUM(AX228*1000)/48</f>
        <v>447.916666666667</v>
      </c>
      <c r="AZ228" s="231" t="n">
        <f aca="false">IFERROR(VLOOKUP(A228,'Site check'!$A$14:$O$47,15,0),0)</f>
        <v>0</v>
      </c>
      <c r="BA228" s="232" t="n">
        <f aca="false">SUM(AZ228*1000)/48</f>
        <v>0</v>
      </c>
      <c r="BB228" s="90" t="n">
        <f aca="false">SUM(P228/2)+E228</f>
        <v>310.958333333333</v>
      </c>
      <c r="BC228" s="90" t="n">
        <f aca="false">SUM(P228/2)+F228</f>
        <v>310.958333333333</v>
      </c>
    </row>
    <row r="229" customFormat="false" ht="13.15" hidden="false" customHeight="false" outlineLevel="0" collapsed="false">
      <c r="A229" s="0" t="str">
        <f aca="false">[2]Sheet1!A229</f>
        <v>TGYN02_SEC_DD770_N01</v>
      </c>
      <c r="B229" s="0" t="str">
        <f aca="false">[2]Sheet1!B229</f>
        <v>TGY;DC SYSA</v>
      </c>
      <c r="C229" s="44" t="str">
        <f aca="false">[2]Sheet1!C229</f>
        <v>TGYN04</v>
      </c>
      <c r="D229" s="44" t="s">
        <v>794</v>
      </c>
      <c r="E229" s="0" t="n">
        <f aca="false">[2]Sheet1!D229</f>
        <v>60</v>
      </c>
      <c r="F229" s="0" t="n">
        <f aca="false">[2]Sheet1!E229</f>
        <v>65</v>
      </c>
      <c r="G229" s="45" t="n">
        <f aca="false">[2]Sheet1!F229</f>
        <v>44973</v>
      </c>
      <c r="H229" s="0" t="n">
        <f aca="false">[2]Sheet1!G229</f>
        <v>300</v>
      </c>
      <c r="I229" s="0" t="n">
        <f aca="false">[2]Sheet1!H229</f>
        <v>300</v>
      </c>
      <c r="J229" s="0" t="n">
        <f aca="false">[2]Sheet1!I229</f>
        <v>1</v>
      </c>
      <c r="K229" s="0" t="n">
        <f aca="false">[2]Sheet1!J229</f>
        <v>6</v>
      </c>
      <c r="L229" s="0" t="n">
        <f aca="false">[2]Sheet1!K229</f>
        <v>6</v>
      </c>
      <c r="M229" s="0" t="n">
        <f aca="false">[2]Sheet1!L229</f>
        <v>18</v>
      </c>
      <c r="N229" s="0" t="n">
        <f aca="false">[2]Sheet1!M229</f>
        <v>12</v>
      </c>
      <c r="O229" s="0" t="n">
        <f aca="false">[2]Sheet1!N229</f>
        <v>0</v>
      </c>
      <c r="P229" s="226" t="n">
        <f aca="false">SUM(AY229+BA229)</f>
        <v>120.833333333333</v>
      </c>
      <c r="Q229" s="186" t="s">
        <v>1413</v>
      </c>
      <c r="R229" s="240" t="n">
        <v>4.2</v>
      </c>
      <c r="S229" s="179" t="s">
        <v>1414</v>
      </c>
      <c r="T229" s="194" t="n">
        <v>1.6</v>
      </c>
      <c r="U229" s="201"/>
      <c r="V229" s="71"/>
      <c r="W229" s="227"/>
      <c r="X229" s="71"/>
      <c r="Y229" s="201"/>
      <c r="Z229" s="71"/>
      <c r="AA229" s="227"/>
      <c r="AB229" s="71"/>
      <c r="AC229" s="201"/>
      <c r="AD229" s="71"/>
      <c r="AE229" s="227"/>
      <c r="AF229" s="71"/>
      <c r="AG229" s="201"/>
      <c r="AH229" s="71"/>
      <c r="AI229" s="227"/>
      <c r="AJ229" s="71"/>
      <c r="AK229" s="201"/>
      <c r="AL229" s="71"/>
      <c r="AM229" s="227"/>
      <c r="AN229" s="71"/>
      <c r="AO229" s="201"/>
      <c r="AP229" s="71"/>
      <c r="AQ229" s="227"/>
      <c r="AR229" s="71"/>
      <c r="AS229" s="227"/>
      <c r="AT229" s="228"/>
      <c r="AU229" s="227"/>
      <c r="AV229" s="228"/>
      <c r="AW229" s="227"/>
      <c r="AX229" s="229" t="n">
        <f aca="false">SUM(R229+T229+V229+X229+Z229+AB229+AD229+AF229+AH229+AJ229+AL229+AN229+AP229+AR229)</f>
        <v>5.8</v>
      </c>
      <c r="AY229" s="230" t="n">
        <f aca="false">SUM(AX229*1000)/48</f>
        <v>120.833333333333</v>
      </c>
      <c r="AZ229" s="231" t="n">
        <f aca="false">IFERROR(VLOOKUP(A229,'Site check'!$A$14:$O$47,15,0),0)</f>
        <v>0</v>
      </c>
      <c r="BA229" s="232" t="n">
        <f aca="false">SUM(AZ229*1000)/48</f>
        <v>0</v>
      </c>
      <c r="BB229" s="90" t="n">
        <f aca="false">SUM(P229/2)+E229</f>
        <v>120.416666666667</v>
      </c>
      <c r="BC229" s="90" t="n">
        <f aca="false">SUM(P229/2)+F229</f>
        <v>125.416666666667</v>
      </c>
    </row>
    <row r="230" customFormat="false" ht="13.15" hidden="false" customHeight="false" outlineLevel="0" collapsed="false">
      <c r="A230" s="0" t="str">
        <f aca="false">[2]Sheet1!A230</f>
        <v>TGYN02_SEC_WALL_DCDB5</v>
      </c>
      <c r="B230" s="0" t="str">
        <f aca="false">[2]Sheet1!B230</f>
        <v>TGY;DC SYSA</v>
      </c>
      <c r="C230" s="44" t="str">
        <f aca="false">[2]Sheet1!C230</f>
        <v>TGYN04</v>
      </c>
      <c r="D230" s="44" t="s">
        <v>794</v>
      </c>
      <c r="E230" s="0" t="n">
        <f aca="false">[2]Sheet1!D230</f>
        <v>40</v>
      </c>
      <c r="F230" s="0" t="n">
        <f aca="false">[2]Sheet1!E230</f>
        <v>45</v>
      </c>
      <c r="G230" s="45" t="n">
        <f aca="false">[2]Sheet1!F230</f>
        <v>44973</v>
      </c>
      <c r="H230" s="0" t="n">
        <f aca="false">[2]Sheet1!G230</f>
        <v>160</v>
      </c>
      <c r="I230" s="0" t="n">
        <f aca="false">[2]Sheet1!H230</f>
        <v>160</v>
      </c>
      <c r="J230" s="0" t="n">
        <f aca="false">[2]Sheet1!I230</f>
        <v>0</v>
      </c>
      <c r="K230" s="0" t="n">
        <f aca="false">[2]Sheet1!J230</f>
        <v>3</v>
      </c>
      <c r="L230" s="0" t="n">
        <f aca="false">[2]Sheet1!K230</f>
        <v>0</v>
      </c>
      <c r="M230" s="0" t="n">
        <f aca="false">[2]Sheet1!L230</f>
        <v>0</v>
      </c>
      <c r="N230" s="0" t="n">
        <f aca="false">[2]Sheet1!M230</f>
        <v>0</v>
      </c>
      <c r="O230" s="0" t="n">
        <f aca="false">[2]Sheet1!N230</f>
        <v>0</v>
      </c>
      <c r="P230" s="226" t="n">
        <f aca="false">SUM(AY230+BA230)</f>
        <v>0</v>
      </c>
      <c r="Q230" s="201"/>
      <c r="R230" s="71"/>
      <c r="S230" s="227"/>
      <c r="T230" s="71"/>
      <c r="U230" s="201"/>
      <c r="V230" s="71"/>
      <c r="W230" s="227"/>
      <c r="X230" s="71"/>
      <c r="Y230" s="201"/>
      <c r="Z230" s="71"/>
      <c r="AA230" s="227"/>
      <c r="AB230" s="71"/>
      <c r="AC230" s="201"/>
      <c r="AD230" s="71"/>
      <c r="AE230" s="227"/>
      <c r="AF230" s="71"/>
      <c r="AG230" s="201"/>
      <c r="AH230" s="71"/>
      <c r="AI230" s="227"/>
      <c r="AJ230" s="71"/>
      <c r="AK230" s="201"/>
      <c r="AL230" s="71"/>
      <c r="AM230" s="227"/>
      <c r="AN230" s="71"/>
      <c r="AO230" s="201"/>
      <c r="AP230" s="71"/>
      <c r="AQ230" s="227"/>
      <c r="AR230" s="71"/>
      <c r="AS230" s="227"/>
      <c r="AT230" s="228"/>
      <c r="AU230" s="227"/>
      <c r="AV230" s="228"/>
      <c r="AW230" s="227"/>
      <c r="AX230" s="229" t="n">
        <f aca="false">SUM(R230+T230+V230+X230+Z230+AB230+AD230+AF230+AH230+AJ230+AL230+AN230+AP230+AR230)</f>
        <v>0</v>
      </c>
      <c r="AY230" s="230" t="n">
        <f aca="false">SUM(AX230*1000)/48</f>
        <v>0</v>
      </c>
      <c r="AZ230" s="231" t="n">
        <f aca="false">IFERROR(VLOOKUP(A230,'Site check'!$A$14:$O$47,15,0),0)</f>
        <v>0</v>
      </c>
      <c r="BA230" s="232" t="n">
        <f aca="false">SUM(AZ230*1000)/48</f>
        <v>0</v>
      </c>
      <c r="BB230" s="90" t="n">
        <f aca="false">SUM(P230/2)+E230</f>
        <v>40</v>
      </c>
      <c r="BC230" s="90" t="n">
        <f aca="false">SUM(P230/2)+F230</f>
        <v>45</v>
      </c>
    </row>
    <row r="231" customFormat="false" ht="13.15" hidden="false" customHeight="false" outlineLevel="0" collapsed="false">
      <c r="A231" s="0" t="str">
        <f aca="false">[2]Sheet1!A231</f>
        <v>TGYN03_SEC_DD770_01</v>
      </c>
      <c r="B231" s="0" t="str">
        <f aca="false">[2]Sheet1!B231</f>
        <v>TGY;DC SYSA</v>
      </c>
      <c r="C231" s="44" t="str">
        <f aca="false">[2]Sheet1!C231</f>
        <v>TGYN04</v>
      </c>
      <c r="D231" s="44" t="s">
        <v>794</v>
      </c>
      <c r="E231" s="0" t="n">
        <f aca="false">[2]Sheet1!D231</f>
        <v>180</v>
      </c>
      <c r="F231" s="0" t="n">
        <f aca="false">[2]Sheet1!E231</f>
        <v>185</v>
      </c>
      <c r="G231" s="45" t="n">
        <f aca="false">[2]Sheet1!F231</f>
        <v>44973</v>
      </c>
      <c r="H231" s="0" t="n">
        <f aca="false">[2]Sheet1!G231</f>
        <v>300</v>
      </c>
      <c r="I231" s="0" t="n">
        <f aca="false">[2]Sheet1!H231</f>
        <v>300</v>
      </c>
      <c r="J231" s="0" t="n">
        <f aca="false">[2]Sheet1!I231</f>
        <v>0</v>
      </c>
      <c r="K231" s="0" t="n">
        <f aca="false">[2]Sheet1!J231</f>
        <v>1</v>
      </c>
      <c r="L231" s="0" t="n">
        <f aca="false">[2]Sheet1!K231</f>
        <v>0</v>
      </c>
      <c r="M231" s="0" t="n">
        <f aca="false">[2]Sheet1!L231</f>
        <v>20</v>
      </c>
      <c r="N231" s="0" t="n">
        <f aca="false">[2]Sheet1!M231</f>
        <v>12</v>
      </c>
      <c r="O231" s="0" t="n">
        <f aca="false">[2]Sheet1!N231</f>
        <v>0</v>
      </c>
      <c r="P231" s="226" t="n">
        <f aca="false">SUM(AY231+BA231)</f>
        <v>0</v>
      </c>
      <c r="Q231" s="201"/>
      <c r="R231" s="71"/>
      <c r="S231" s="227"/>
      <c r="T231" s="71"/>
      <c r="U231" s="201"/>
      <c r="V231" s="71"/>
      <c r="W231" s="227"/>
      <c r="X231" s="71"/>
      <c r="Y231" s="201"/>
      <c r="Z231" s="71"/>
      <c r="AA231" s="227"/>
      <c r="AB231" s="71"/>
      <c r="AC231" s="201"/>
      <c r="AD231" s="71"/>
      <c r="AE231" s="227"/>
      <c r="AF231" s="71"/>
      <c r="AG231" s="201"/>
      <c r="AH231" s="71"/>
      <c r="AI231" s="227"/>
      <c r="AJ231" s="71"/>
      <c r="AK231" s="201"/>
      <c r="AL231" s="71"/>
      <c r="AM231" s="227"/>
      <c r="AN231" s="71"/>
      <c r="AO231" s="201"/>
      <c r="AP231" s="71"/>
      <c r="AQ231" s="227"/>
      <c r="AR231" s="71"/>
      <c r="AS231" s="227"/>
      <c r="AT231" s="228"/>
      <c r="AU231" s="227"/>
      <c r="AV231" s="228"/>
      <c r="AW231" s="227"/>
      <c r="AX231" s="229" t="n">
        <f aca="false">SUM(R231+T231+V231+X231+Z231+AB231+AD231+AF231+AH231+AJ231+AL231+AN231+AP231+AR231)</f>
        <v>0</v>
      </c>
      <c r="AY231" s="230" t="n">
        <f aca="false">SUM(AX231*1000)/48</f>
        <v>0</v>
      </c>
      <c r="AZ231" s="231" t="n">
        <f aca="false">IFERROR(VLOOKUP(A231,'Site check'!$A$14:$O$47,15,0),0)</f>
        <v>0</v>
      </c>
      <c r="BA231" s="232" t="n">
        <f aca="false">SUM(AZ231*1000)/48</f>
        <v>0</v>
      </c>
      <c r="BB231" s="90" t="n">
        <f aca="false">SUM(P231/2)+E231</f>
        <v>180</v>
      </c>
      <c r="BC231" s="90" t="n">
        <f aca="false">SUM(P231/2)+F231</f>
        <v>185</v>
      </c>
    </row>
    <row r="232" customFormat="false" ht="13.15" hidden="false" customHeight="false" outlineLevel="0" collapsed="false">
      <c r="A232" s="0" t="str">
        <f aca="false">[2]Sheet1!A232</f>
        <v>TGYN04_SEC_EATON_D04</v>
      </c>
      <c r="B232" s="0" t="str">
        <f aca="false">[2]Sheet1!B232</f>
        <v>TGY;DC SYSA</v>
      </c>
      <c r="C232" s="44" t="str">
        <f aca="false">[2]Sheet1!C232</f>
        <v>TGYN04</v>
      </c>
      <c r="D232" s="44" t="s">
        <v>794</v>
      </c>
      <c r="E232" s="0" t="n">
        <f aca="false">[2]Sheet1!D232</f>
        <v>30</v>
      </c>
      <c r="F232" s="0" t="n">
        <f aca="false">[2]Sheet1!E232</f>
        <v>30</v>
      </c>
      <c r="G232" s="45" t="n">
        <f aca="false">[2]Sheet1!F232</f>
        <v>41869</v>
      </c>
      <c r="H232" s="0" t="n">
        <f aca="false">[2]Sheet1!G232</f>
        <v>300</v>
      </c>
      <c r="I232" s="0" t="n">
        <f aca="false">[2]Sheet1!H232</f>
        <v>300</v>
      </c>
      <c r="J232" s="0" t="n">
        <f aca="false">[2]Sheet1!I232</f>
        <v>0</v>
      </c>
      <c r="K232" s="0" t="n">
        <f aca="false">[2]Sheet1!J232</f>
        <v>0</v>
      </c>
      <c r="L232" s="0" t="n">
        <f aca="false">[2]Sheet1!K232</f>
        <v>0</v>
      </c>
      <c r="M232" s="0" t="n">
        <f aca="false">[2]Sheet1!L232</f>
        <v>0</v>
      </c>
      <c r="N232" s="0" t="n">
        <f aca="false">[2]Sheet1!M232</f>
        <v>0</v>
      </c>
      <c r="O232" s="0" t="n">
        <f aca="false">[2]Sheet1!N232</f>
        <v>55</v>
      </c>
      <c r="P232" s="226" t="n">
        <f aca="false">SUM(AY232+BA232)</f>
        <v>0</v>
      </c>
      <c r="Q232" s="179"/>
      <c r="R232" s="194"/>
      <c r="S232" s="227"/>
      <c r="T232" s="71"/>
      <c r="U232" s="201"/>
      <c r="V232" s="71"/>
      <c r="W232" s="227"/>
      <c r="X232" s="71"/>
      <c r="Y232" s="201"/>
      <c r="Z232" s="71"/>
      <c r="AA232" s="227"/>
      <c r="AB232" s="71"/>
      <c r="AC232" s="201"/>
      <c r="AD232" s="71"/>
      <c r="AE232" s="227"/>
      <c r="AF232" s="71"/>
      <c r="AG232" s="201"/>
      <c r="AH232" s="71"/>
      <c r="AI232" s="227"/>
      <c r="AJ232" s="71"/>
      <c r="AK232" s="201"/>
      <c r="AL232" s="71"/>
      <c r="AM232" s="227"/>
      <c r="AN232" s="71"/>
      <c r="AO232" s="201"/>
      <c r="AP232" s="71"/>
      <c r="AQ232" s="227"/>
      <c r="AR232" s="71"/>
      <c r="AS232" s="227"/>
      <c r="AT232" s="228"/>
      <c r="AU232" s="227"/>
      <c r="AV232" s="228"/>
      <c r="AW232" s="227"/>
      <c r="AX232" s="229" t="n">
        <f aca="false">SUM(R232+T232+V232+X232+Z232+AB232+AD232+AF232+AH232+AJ232+AL232+AN232+AP232+AR232)</f>
        <v>0</v>
      </c>
      <c r="AY232" s="230" t="n">
        <f aca="false">SUM(AX232*1000)/48</f>
        <v>0</v>
      </c>
      <c r="AZ232" s="231" t="n">
        <f aca="false">IFERROR(VLOOKUP(A232,'Site check'!$A$14:$O$47,15,0),0)</f>
        <v>0</v>
      </c>
      <c r="BA232" s="232" t="n">
        <f aca="false">SUM(AZ232*1000)/48</f>
        <v>0</v>
      </c>
      <c r="BB232" s="90" t="n">
        <f aca="false">SUM(P232/2)+E232</f>
        <v>30</v>
      </c>
      <c r="BC232" s="90" t="n">
        <f aca="false">SUM(P232/2)+F232</f>
        <v>30</v>
      </c>
    </row>
    <row r="233" customFormat="false" ht="13.15" hidden="false" customHeight="false" outlineLevel="0" collapsed="false">
      <c r="A233" s="0" t="str">
        <f aca="false">[2]Sheet1!A233</f>
        <v>YRK_SEC_DD770_WALL_1</v>
      </c>
      <c r="B233" s="0" t="str">
        <f aca="false">[2]Sheet1!B233</f>
        <v>YRK;DC SYS01</v>
      </c>
      <c r="C233" s="44" t="str">
        <f aca="false">[2]Sheet1!C233</f>
        <v>YRK</v>
      </c>
      <c r="D233" s="44" t="s">
        <v>835</v>
      </c>
      <c r="E233" s="0" t="n">
        <f aca="false">[2]Sheet1!D233</f>
        <v>100</v>
      </c>
      <c r="F233" s="0" t="n">
        <f aca="false">[2]Sheet1!E233</f>
        <v>95</v>
      </c>
      <c r="G233" s="45" t="n">
        <f aca="false">[2]Sheet1!F233</f>
        <v>45049</v>
      </c>
      <c r="H233" s="0" t="n">
        <f aca="false">[2]Sheet1!G233</f>
        <v>300</v>
      </c>
      <c r="I233" s="0" t="n">
        <f aca="false">[2]Sheet1!H233</f>
        <v>300</v>
      </c>
      <c r="J233" s="0" t="n">
        <f aca="false">[2]Sheet1!I233</f>
        <v>3</v>
      </c>
      <c r="K233" s="0" t="n">
        <f aca="false">[2]Sheet1!J233</f>
        <v>0</v>
      </c>
      <c r="L233" s="0" t="n">
        <f aca="false">[2]Sheet1!K233</f>
        <v>2</v>
      </c>
      <c r="M233" s="0" t="n">
        <f aca="false">[2]Sheet1!L233</f>
        <v>10</v>
      </c>
      <c r="N233" s="0" t="n">
        <f aca="false">[2]Sheet1!M233</f>
        <v>11</v>
      </c>
      <c r="O233" s="0" t="n">
        <f aca="false">[2]Sheet1!N233</f>
        <v>0</v>
      </c>
      <c r="P233" s="226" t="n">
        <f aca="false">SUM(AY233+BA233)</f>
        <v>20.8333333333333</v>
      </c>
      <c r="Q233" s="204" t="s">
        <v>1447</v>
      </c>
      <c r="R233" s="221" t="n">
        <v>1</v>
      </c>
      <c r="S233" s="212"/>
      <c r="T233" s="221"/>
      <c r="U233" s="201"/>
      <c r="V233" s="71"/>
      <c r="W233" s="227"/>
      <c r="X233" s="71"/>
      <c r="Y233" s="201"/>
      <c r="Z233" s="71"/>
      <c r="AA233" s="227"/>
      <c r="AB233" s="71"/>
      <c r="AC233" s="201"/>
      <c r="AD233" s="71"/>
      <c r="AE233" s="227"/>
      <c r="AF233" s="71"/>
      <c r="AG233" s="201"/>
      <c r="AH233" s="71"/>
      <c r="AI233" s="227"/>
      <c r="AJ233" s="71"/>
      <c r="AK233" s="201"/>
      <c r="AL233" s="71"/>
      <c r="AM233" s="227"/>
      <c r="AN233" s="71"/>
      <c r="AO233" s="201"/>
      <c r="AP233" s="71"/>
      <c r="AQ233" s="227"/>
      <c r="AR233" s="71"/>
      <c r="AS233" s="227"/>
      <c r="AT233" s="228"/>
      <c r="AU233" s="227"/>
      <c r="AV233" s="228"/>
      <c r="AW233" s="227"/>
      <c r="AX233" s="229" t="n">
        <f aca="false">SUM(R233+T233+V233+X233+Z233+AB233+AD233+AF233+AH233+AJ233+AL233+AN233+AP233+AR233)</f>
        <v>1</v>
      </c>
      <c r="AY233" s="230" t="n">
        <f aca="false">SUM(AX233*1000)/48</f>
        <v>20.8333333333333</v>
      </c>
      <c r="AZ233" s="231" t="n">
        <f aca="false">IFERROR(VLOOKUP(A233,'Site check'!$A$14:$O$47,15,0),0)</f>
        <v>0</v>
      </c>
      <c r="BA233" s="232" t="n">
        <f aca="false">SUM(AZ233*1000)/48</f>
        <v>0</v>
      </c>
      <c r="BB233" s="90" t="n">
        <f aca="false">SUM(P233/2)+E233</f>
        <v>110.416666666667</v>
      </c>
      <c r="BC233" s="90" t="n">
        <f aca="false">SUM(P233/2)+F233</f>
        <v>105.416666666667</v>
      </c>
    </row>
    <row r="234" customFormat="false" ht="13.15" hidden="false" customHeight="false" outlineLevel="0" collapsed="false">
      <c r="A234" s="0" t="str">
        <f aca="false">[2]Sheet1!A234</f>
        <v>YRKTH1_SEC_CBDB_ DE01</v>
      </c>
      <c r="B234" s="0" t="str">
        <f aca="false">[2]Sheet1!B234</f>
        <v>YRKTH1; DC SYS01</v>
      </c>
      <c r="C234" s="44" t="str">
        <f aca="false">[2]Sheet1!C234</f>
        <v>YRKTH1</v>
      </c>
      <c r="D234" s="44" t="s">
        <v>836</v>
      </c>
      <c r="E234" s="0" t="n">
        <f aca="false">[2]Sheet1!D234</f>
        <v>25</v>
      </c>
      <c r="F234" s="0" t="n">
        <f aca="false">[2]Sheet1!E234</f>
        <v>25</v>
      </c>
      <c r="G234" s="45" t="n">
        <f aca="false">[2]Sheet1!F234</f>
        <v>45048</v>
      </c>
      <c r="H234" s="0" t="n">
        <f aca="false">[2]Sheet1!G234</f>
        <v>300</v>
      </c>
      <c r="I234" s="0" t="n">
        <f aca="false">[2]Sheet1!H234</f>
        <v>300</v>
      </c>
      <c r="J234" s="0" t="n">
        <f aca="false">[2]Sheet1!I234</f>
        <v>6</v>
      </c>
      <c r="K234" s="0" t="n">
        <f aca="false">[2]Sheet1!J234</f>
        <v>0</v>
      </c>
      <c r="L234" s="0" t="n">
        <f aca="false">[2]Sheet1!K234</f>
        <v>1</v>
      </c>
      <c r="M234" s="0" t="n">
        <f aca="false">[2]Sheet1!L234</f>
        <v>0</v>
      </c>
      <c r="N234" s="0" t="n">
        <f aca="false">[2]Sheet1!M234</f>
        <v>0</v>
      </c>
      <c r="O234" s="0" t="n">
        <f aca="false">[2]Sheet1!N234</f>
        <v>40</v>
      </c>
      <c r="P234" s="226" t="n">
        <f aca="false">SUM(AY234+BA234)</f>
        <v>41.6666666666667</v>
      </c>
      <c r="Q234" s="201" t="s">
        <v>1448</v>
      </c>
      <c r="R234" s="71" t="n">
        <v>2</v>
      </c>
      <c r="S234" s="212"/>
      <c r="T234" s="221"/>
      <c r="U234" s="201"/>
      <c r="V234" s="71"/>
      <c r="W234" s="227"/>
      <c r="X234" s="71"/>
      <c r="Y234" s="201"/>
      <c r="Z234" s="71"/>
      <c r="AA234" s="227"/>
      <c r="AB234" s="71"/>
      <c r="AC234" s="201"/>
      <c r="AD234" s="71"/>
      <c r="AE234" s="227"/>
      <c r="AF234" s="71"/>
      <c r="AG234" s="201"/>
      <c r="AH234" s="71"/>
      <c r="AI234" s="227"/>
      <c r="AJ234" s="71"/>
      <c r="AK234" s="201"/>
      <c r="AL234" s="71"/>
      <c r="AM234" s="227"/>
      <c r="AN234" s="71"/>
      <c r="AO234" s="201"/>
      <c r="AP234" s="71"/>
      <c r="AQ234" s="227"/>
      <c r="AR234" s="71"/>
      <c r="AS234" s="227"/>
      <c r="AT234" s="228"/>
      <c r="AU234" s="227"/>
      <c r="AV234" s="228"/>
      <c r="AW234" s="227"/>
      <c r="AX234" s="229" t="n">
        <f aca="false">SUM(R234+T234+V234+X234+Z234+AB234+AD234+AF234+AH234+AJ234+AL234+AN234+AP234+AR234)</f>
        <v>2</v>
      </c>
      <c r="AY234" s="230" t="n">
        <f aca="false">SUM(AX234*1000)/48</f>
        <v>41.6666666666667</v>
      </c>
      <c r="AZ234" s="231" t="n">
        <f aca="false">IFERROR(VLOOKUP(A234,'Site check'!$A$14:$O$47,15,0),0)</f>
        <v>0</v>
      </c>
      <c r="BA234" s="232" t="n">
        <f aca="false">SUM(AZ234*1000)/48</f>
        <v>0</v>
      </c>
      <c r="BB234" s="90" t="n">
        <f aca="false">SUM(P234/2)+E234</f>
        <v>45.8333333333333</v>
      </c>
      <c r="BC234" s="90" t="n">
        <f aca="false">SUM(P234/2)+F234</f>
        <v>45.8333333333333</v>
      </c>
    </row>
    <row r="235" customFormat="false" ht="13.15" hidden="false" customHeight="false" outlineLevel="0" collapsed="false">
      <c r="A235" s="0" t="str">
        <f aca="false">[2]Sheet1!A235</f>
        <v>BIFTS1_POWEC_C08</v>
      </c>
      <c r="B235" s="0" t="str">
        <f aca="false">[2]Sheet1!B235</f>
        <v>BIFTS1; DC SYS01</v>
      </c>
      <c r="C235" s="44" t="str">
        <f aca="false">[2]Sheet1!C235</f>
        <v>BIFTS1</v>
      </c>
      <c r="D235" s="44" t="s">
        <v>421</v>
      </c>
      <c r="E235" s="0" t="n">
        <f aca="false">[2]Sheet1!D235</f>
        <v>0</v>
      </c>
      <c r="F235" s="0" t="n">
        <f aca="false">[2]Sheet1!E235</f>
        <v>0</v>
      </c>
      <c r="G235" s="45" t="n">
        <f aca="false">[2]Sheet1!F235</f>
        <v>0</v>
      </c>
      <c r="H235" s="0" t="n">
        <f aca="false">[2]Sheet1!G235</f>
        <v>300</v>
      </c>
      <c r="I235" s="0" t="n">
        <f aca="false">[2]Sheet1!H235</f>
        <v>300</v>
      </c>
      <c r="J235" s="0" t="n">
        <f aca="false">[2]Sheet1!I235</f>
        <v>0</v>
      </c>
      <c r="K235" s="0" t="n">
        <f aca="false">[2]Sheet1!J235</f>
        <v>0</v>
      </c>
      <c r="L235" s="0" t="n">
        <f aca="false">[2]Sheet1!K235</f>
        <v>0</v>
      </c>
      <c r="M235" s="0" t="n">
        <f aca="false">[2]Sheet1!L235</f>
        <v>0</v>
      </c>
      <c r="N235" s="0" t="n">
        <f aca="false">[2]Sheet1!M235</f>
        <v>0</v>
      </c>
      <c r="O235" s="0" t="n">
        <f aca="false">[2]Sheet1!N235</f>
        <v>2</v>
      </c>
      <c r="P235" s="226" t="n">
        <f aca="false">SUM(AY235+BA235)</f>
        <v>0</v>
      </c>
      <c r="Q235" s="201"/>
      <c r="R235" s="71"/>
      <c r="S235" s="212"/>
      <c r="T235" s="221"/>
      <c r="U235" s="201"/>
      <c r="V235" s="71"/>
      <c r="W235" s="227"/>
      <c r="X235" s="71"/>
      <c r="Y235" s="201"/>
      <c r="Z235" s="71"/>
      <c r="AA235" s="227"/>
      <c r="AB235" s="71"/>
      <c r="AC235" s="201"/>
      <c r="AD235" s="71"/>
      <c r="AE235" s="227"/>
      <c r="AF235" s="71"/>
      <c r="AG235" s="201"/>
      <c r="AH235" s="71"/>
      <c r="AI235" s="227"/>
      <c r="AJ235" s="71"/>
      <c r="AK235" s="201"/>
      <c r="AL235" s="71"/>
      <c r="AM235" s="227"/>
      <c r="AN235" s="71"/>
      <c r="AO235" s="201"/>
      <c r="AP235" s="71"/>
      <c r="AQ235" s="227"/>
      <c r="AR235" s="71"/>
      <c r="AS235" s="227"/>
      <c r="AT235" s="228"/>
      <c r="AU235" s="227"/>
      <c r="AV235" s="228"/>
      <c r="AW235" s="227"/>
      <c r="AX235" s="229" t="n">
        <f aca="false">SUM(R235+T235+V235+X235+Z235+AB235+AD235+AF235+AH235+AJ235+AL235+AN235+AP235+AR235)</f>
        <v>0</v>
      </c>
      <c r="AY235" s="230" t="n">
        <f aca="false">SUM(AX235*1000)/48</f>
        <v>0</v>
      </c>
      <c r="AZ235" s="231" t="n">
        <f aca="false">IFERROR(VLOOKUP(A235,'Site check'!$A$14:$O$47,15,0),0)</f>
        <v>0</v>
      </c>
      <c r="BA235" s="232" t="n">
        <f aca="false">SUM(AZ235*1000)/48</f>
        <v>0</v>
      </c>
      <c r="BB235" s="90" t="n">
        <f aca="false">SUM(P235/2)+E235</f>
        <v>0</v>
      </c>
      <c r="BC235" s="90" t="n">
        <f aca="false">SUM(P235/2)+F235</f>
        <v>0</v>
      </c>
    </row>
    <row r="236" customFormat="false" ht="13.15" hidden="false" customHeight="false" outlineLevel="0" collapsed="false">
      <c r="A236" s="0" t="str">
        <f aca="false">[2]Sheet1!A236</f>
        <v>BPL_SEC_DCDB_F05</v>
      </c>
      <c r="B236" s="0" t="str">
        <f aca="false">[2]Sheet1!B236</f>
        <v>BPL;DC SYS01</v>
      </c>
      <c r="C236" s="44" t="str">
        <f aca="false">[2]Sheet1!C236</f>
        <v>BPL</v>
      </c>
      <c r="D236" s="44" t="s">
        <v>444</v>
      </c>
      <c r="E236" s="0" t="n">
        <f aca="false">[2]Sheet1!D236</f>
        <v>20</v>
      </c>
      <c r="F236" s="0" t="n">
        <f aca="false">[2]Sheet1!E236</f>
        <v>15</v>
      </c>
      <c r="G236" s="45" t="n">
        <f aca="false">[2]Sheet1!F236</f>
        <v>45341</v>
      </c>
      <c r="H236" s="0" t="n">
        <f aca="false">[2]Sheet1!G236</f>
        <v>300</v>
      </c>
      <c r="I236" s="0" t="n">
        <f aca="false">[2]Sheet1!H236</f>
        <v>300</v>
      </c>
      <c r="J236" s="0" t="n">
        <f aca="false">[2]Sheet1!I236</f>
        <v>4</v>
      </c>
      <c r="K236" s="0" t="n">
        <f aca="false">[2]Sheet1!J236</f>
        <v>0</v>
      </c>
      <c r="L236" s="0" t="n">
        <f aca="false">[2]Sheet1!K236</f>
        <v>2</v>
      </c>
      <c r="M236" s="0" t="n">
        <f aca="false">[2]Sheet1!L236</f>
        <v>0</v>
      </c>
      <c r="N236" s="0" t="n">
        <f aca="false">[2]Sheet1!M236</f>
        <v>0</v>
      </c>
      <c r="O236" s="0" t="n">
        <f aca="false">[2]Sheet1!N236</f>
        <v>33</v>
      </c>
      <c r="P236" s="226" t="n">
        <f aca="false">SUM(AY236+BA236)</f>
        <v>112.5</v>
      </c>
      <c r="Q236" s="201" t="s">
        <v>1039</v>
      </c>
      <c r="R236" s="71" t="n">
        <v>1</v>
      </c>
      <c r="S236" s="191" t="s">
        <v>1497</v>
      </c>
      <c r="T236" s="175" t="n">
        <v>4.4</v>
      </c>
      <c r="U236" s="201"/>
      <c r="V236" s="71"/>
      <c r="W236" s="227"/>
      <c r="X236" s="71"/>
      <c r="Y236" s="201"/>
      <c r="Z236" s="71"/>
      <c r="AA236" s="227"/>
      <c r="AB236" s="71"/>
      <c r="AC236" s="201"/>
      <c r="AD236" s="71"/>
      <c r="AE236" s="227"/>
      <c r="AF236" s="71"/>
      <c r="AG236" s="201"/>
      <c r="AH236" s="71"/>
      <c r="AI236" s="227"/>
      <c r="AJ236" s="71"/>
      <c r="AK236" s="201"/>
      <c r="AL236" s="71"/>
      <c r="AM236" s="227"/>
      <c r="AN236" s="71"/>
      <c r="AO236" s="201"/>
      <c r="AP236" s="71"/>
      <c r="AQ236" s="227"/>
      <c r="AR236" s="71"/>
      <c r="AS236" s="227"/>
      <c r="AT236" s="228"/>
      <c r="AU236" s="227"/>
      <c r="AV236" s="228"/>
      <c r="AW236" s="227"/>
      <c r="AX236" s="229" t="n">
        <f aca="false">SUM(R236+T236+V236+X236+Z236+AB236+AD236+AF236+AH236+AJ236+AL236+AN236+AP236+AR236)</f>
        <v>5.4</v>
      </c>
      <c r="AY236" s="230" t="n">
        <f aca="false">SUM(AX236*1000)/48</f>
        <v>112.5</v>
      </c>
      <c r="AZ236" s="231" t="n">
        <f aca="false">IFERROR(VLOOKUP(A236,'Site check'!$A$14:$O$47,15,0),0)</f>
        <v>0</v>
      </c>
      <c r="BA236" s="232" t="n">
        <f aca="false">SUM(AZ236*1000)/48</f>
        <v>0</v>
      </c>
      <c r="BB236" s="90" t="n">
        <f aca="false">SUM(P236/2)+E236</f>
        <v>76.25</v>
      </c>
      <c r="BC236" s="90" t="n">
        <f aca="false">SUM(P236/2)+F236</f>
        <v>71.25</v>
      </c>
    </row>
    <row r="237" customFormat="false" ht="13.15" hidden="false" customHeight="false" outlineLevel="0" collapsed="false">
      <c r="A237" s="0" t="str">
        <f aca="false">[2]Sheet1!A237</f>
        <v>CSL_SEC_WALL_DCDB_01</v>
      </c>
      <c r="B237" s="0" t="str">
        <f aca="false">[2]Sheet1!B237</f>
        <v>CSL;DC SYS01</v>
      </c>
      <c r="C237" s="44" t="str">
        <f aca="false">[2]Sheet1!C237</f>
        <v>CSL</v>
      </c>
      <c r="D237" s="44" t="s">
        <v>1498</v>
      </c>
      <c r="E237" s="0" t="n">
        <f aca="false">[2]Sheet1!D237</f>
        <v>0</v>
      </c>
      <c r="F237" s="0" t="n">
        <f aca="false">[2]Sheet1!E237</f>
        <v>0</v>
      </c>
      <c r="G237" s="45" t="n">
        <f aca="false">[2]Sheet1!F237</f>
        <v>0</v>
      </c>
      <c r="H237" s="0" t="n">
        <f aca="false">[2]Sheet1!G237</f>
        <v>300</v>
      </c>
      <c r="I237" s="0" t="n">
        <f aca="false">[2]Sheet1!H237</f>
        <v>300</v>
      </c>
      <c r="J237" s="0" t="n">
        <f aca="false">[2]Sheet1!I237</f>
        <v>0</v>
      </c>
      <c r="K237" s="0" t="n">
        <f aca="false">[2]Sheet1!J237</f>
        <v>0</v>
      </c>
      <c r="L237" s="0" t="n">
        <f aca="false">[2]Sheet1!K237</f>
        <v>0</v>
      </c>
      <c r="M237" s="0" t="n">
        <f aca="false">[2]Sheet1!L237</f>
        <v>0</v>
      </c>
      <c r="N237" s="0" t="n">
        <f aca="false">[2]Sheet1!M237</f>
        <v>0</v>
      </c>
      <c r="O237" s="0" t="n">
        <f aca="false">[2]Sheet1!N237</f>
        <v>0</v>
      </c>
      <c r="P237" s="226" t="n">
        <f aca="false">SUM(AY237+BA237)</f>
        <v>0</v>
      </c>
      <c r="Q237" s="201"/>
      <c r="R237" s="71"/>
      <c r="S237" s="227"/>
      <c r="T237" s="71"/>
      <c r="U237" s="201"/>
      <c r="V237" s="71"/>
      <c r="W237" s="227"/>
      <c r="X237" s="71"/>
      <c r="Y237" s="201"/>
      <c r="Z237" s="71"/>
      <c r="AA237" s="227"/>
      <c r="AB237" s="71"/>
      <c r="AC237" s="201"/>
      <c r="AD237" s="71"/>
      <c r="AE237" s="227"/>
      <c r="AF237" s="71"/>
      <c r="AG237" s="201"/>
      <c r="AH237" s="71"/>
      <c r="AI237" s="227"/>
      <c r="AJ237" s="71"/>
      <c r="AK237" s="201"/>
      <c r="AL237" s="71"/>
      <c r="AM237" s="227"/>
      <c r="AN237" s="71"/>
      <c r="AO237" s="201"/>
      <c r="AP237" s="71"/>
      <c r="AQ237" s="227"/>
      <c r="AR237" s="71"/>
      <c r="AS237" s="227"/>
      <c r="AT237" s="228"/>
      <c r="AU237" s="227"/>
      <c r="AV237" s="228"/>
      <c r="AW237" s="227"/>
      <c r="AX237" s="229" t="n">
        <f aca="false">SUM(R237+T237+V237+X237+Z237+AB237+AD237+AF237+AH237+AJ237+AL237+AN237+AP237+AR237)</f>
        <v>0</v>
      </c>
      <c r="AY237" s="230" t="n">
        <f aca="false">SUM(AX237*1000)/48</f>
        <v>0</v>
      </c>
      <c r="AZ237" s="231" t="n">
        <f aca="false">IFERROR(VLOOKUP(A237,'Site check'!$A$14:$O$47,15,0),0)</f>
        <v>0</v>
      </c>
      <c r="BA237" s="232" t="n">
        <f aca="false">SUM(AZ237*1000)/48</f>
        <v>0</v>
      </c>
      <c r="BB237" s="90" t="n">
        <f aca="false">SUM(P237/2)+E237</f>
        <v>0</v>
      </c>
      <c r="BC237" s="90" t="n">
        <f aca="false">SUM(P237/2)+F237</f>
        <v>0</v>
      </c>
    </row>
    <row r="238" customFormat="false" ht="13.15" hidden="false" customHeight="false" outlineLevel="0" collapsed="false">
      <c r="A238" s="0" t="str">
        <f aca="false">[2]Sheet1!A238</f>
        <v>CSL_SYS01_PER_01</v>
      </c>
      <c r="B238" s="0" t="str">
        <f aca="false">[2]Sheet1!B238</f>
        <v>CSL;DC SYS01</v>
      </c>
      <c r="C238" s="44" t="str">
        <f aca="false">[2]Sheet1!C238</f>
        <v>CSL</v>
      </c>
      <c r="D238" s="44" t="s">
        <v>1498</v>
      </c>
      <c r="E238" s="0" t="n">
        <f aca="false">[2]Sheet1!D238</f>
        <v>0</v>
      </c>
      <c r="F238" s="0" t="n">
        <f aca="false">[2]Sheet1!E238</f>
        <v>0</v>
      </c>
      <c r="G238" s="45" t="n">
        <f aca="false">[2]Sheet1!F238</f>
        <v>0</v>
      </c>
      <c r="H238" s="0" t="n">
        <f aca="false">[2]Sheet1!G238</f>
        <v>300</v>
      </c>
      <c r="I238" s="0" t="n">
        <f aca="false">[2]Sheet1!H238</f>
        <v>300</v>
      </c>
      <c r="J238" s="0" t="n">
        <f aca="false">[2]Sheet1!I238</f>
        <v>0</v>
      </c>
      <c r="K238" s="0" t="n">
        <f aca="false">[2]Sheet1!J238</f>
        <v>0</v>
      </c>
      <c r="L238" s="0" t="n">
        <f aca="false">[2]Sheet1!K238</f>
        <v>0</v>
      </c>
      <c r="M238" s="0" t="n">
        <f aca="false">[2]Sheet1!L238</f>
        <v>10</v>
      </c>
      <c r="N238" s="0" t="n">
        <f aca="false">[2]Sheet1!M238</f>
        <v>0</v>
      </c>
      <c r="O238" s="0" t="n">
        <f aca="false">[2]Sheet1!N238</f>
        <v>0</v>
      </c>
      <c r="P238" s="226" t="n">
        <f aca="false">SUM(AY238+BA238)</f>
        <v>0</v>
      </c>
      <c r="Q238" s="201"/>
      <c r="R238" s="71"/>
      <c r="S238" s="227"/>
      <c r="T238" s="71"/>
      <c r="U238" s="201"/>
      <c r="V238" s="71"/>
      <c r="W238" s="227"/>
      <c r="X238" s="71"/>
      <c r="Y238" s="201"/>
      <c r="Z238" s="71"/>
      <c r="AA238" s="227"/>
      <c r="AB238" s="71"/>
      <c r="AC238" s="201"/>
      <c r="AD238" s="71"/>
      <c r="AE238" s="227"/>
      <c r="AF238" s="71"/>
      <c r="AG238" s="201"/>
      <c r="AH238" s="71"/>
      <c r="AI238" s="227"/>
      <c r="AJ238" s="71"/>
      <c r="AK238" s="201"/>
      <c r="AL238" s="71"/>
      <c r="AM238" s="227"/>
      <c r="AN238" s="71"/>
      <c r="AO238" s="201"/>
      <c r="AP238" s="71"/>
      <c r="AQ238" s="227"/>
      <c r="AR238" s="71"/>
      <c r="AS238" s="227"/>
      <c r="AT238" s="228"/>
      <c r="AU238" s="227"/>
      <c r="AV238" s="228"/>
      <c r="AW238" s="227"/>
      <c r="AX238" s="229" t="n">
        <f aca="false">SUM(R238+T238+V238+X238+Z238+AB238+AD238+AF238+AH238+AJ238+AL238+AN238+AP238+AR238)</f>
        <v>0</v>
      </c>
      <c r="AY238" s="230" t="n">
        <f aca="false">SUM(AX238*1000)/48</f>
        <v>0</v>
      </c>
      <c r="AZ238" s="231" t="n">
        <f aca="false">IFERROR(VLOOKUP(A238,'Site check'!$A$14:$O$47,15,0),0)</f>
        <v>0</v>
      </c>
      <c r="BA238" s="232" t="n">
        <f aca="false">SUM(AZ238*1000)/48</f>
        <v>0</v>
      </c>
      <c r="BB238" s="90" t="n">
        <f aca="false">SUM(P238/2)+E238</f>
        <v>0</v>
      </c>
      <c r="BC238" s="90" t="n">
        <f aca="false">SUM(P238/2)+F238</f>
        <v>0</v>
      </c>
    </row>
    <row r="239" customFormat="false" ht="13.15" hidden="false" customHeight="false" outlineLevel="0" collapsed="false">
      <c r="A239" s="0" t="str">
        <f aca="false">[2]Sheet1!A239</f>
        <v>CSLN13_SEC_CBDB_ BC0</v>
      </c>
      <c r="B239" s="0" t="str">
        <f aca="false">[2]Sheet1!B239</f>
        <v>CSLN13;DC SYS01</v>
      </c>
      <c r="C239" s="44" t="str">
        <f aca="false">[2]Sheet1!C239</f>
        <v>CSLN13</v>
      </c>
      <c r="D239" s="44" t="s">
        <v>514</v>
      </c>
      <c r="E239" s="0" t="n">
        <f aca="false">[2]Sheet1!D239</f>
        <v>50</v>
      </c>
      <c r="F239" s="0" t="n">
        <f aca="false">[2]Sheet1!E239</f>
        <v>50</v>
      </c>
      <c r="G239" s="45" t="n">
        <f aca="false">[2]Sheet1!F239</f>
        <v>44300</v>
      </c>
      <c r="H239" s="0" t="n">
        <f aca="false">[2]Sheet1!G239</f>
        <v>300</v>
      </c>
      <c r="I239" s="0" t="n">
        <f aca="false">[2]Sheet1!H239</f>
        <v>300</v>
      </c>
      <c r="J239" s="0" t="n">
        <f aca="false">[2]Sheet1!I239</f>
        <v>13</v>
      </c>
      <c r="K239" s="0" t="n">
        <f aca="false">[2]Sheet1!J239</f>
        <v>10</v>
      </c>
      <c r="L239" s="0" t="n">
        <f aca="false">[2]Sheet1!K239</f>
        <v>1</v>
      </c>
      <c r="M239" s="0" t="n">
        <f aca="false">[2]Sheet1!L239</f>
        <v>0</v>
      </c>
      <c r="N239" s="0" t="n">
        <f aca="false">[2]Sheet1!M239</f>
        <v>0</v>
      </c>
      <c r="O239" s="0" t="n">
        <f aca="false">[2]Sheet1!N239</f>
        <v>43</v>
      </c>
      <c r="P239" s="226" t="n">
        <f aca="false">SUM(AY239+BA239)</f>
        <v>41.6666666666667</v>
      </c>
      <c r="Q239" s="204" t="s">
        <v>1499</v>
      </c>
      <c r="R239" s="221" t="n">
        <v>2</v>
      </c>
      <c r="S239" s="227"/>
      <c r="T239" s="71"/>
      <c r="U239" s="201"/>
      <c r="V239" s="71"/>
      <c r="W239" s="227"/>
      <c r="X239" s="71"/>
      <c r="Y239" s="201"/>
      <c r="Z239" s="71"/>
      <c r="AA239" s="227"/>
      <c r="AB239" s="71"/>
      <c r="AC239" s="201"/>
      <c r="AD239" s="71"/>
      <c r="AE239" s="227"/>
      <c r="AF239" s="71"/>
      <c r="AG239" s="201"/>
      <c r="AH239" s="71"/>
      <c r="AI239" s="227"/>
      <c r="AJ239" s="71"/>
      <c r="AK239" s="201"/>
      <c r="AL239" s="71"/>
      <c r="AM239" s="227"/>
      <c r="AN239" s="71"/>
      <c r="AO239" s="201"/>
      <c r="AP239" s="71"/>
      <c r="AQ239" s="227"/>
      <c r="AR239" s="71"/>
      <c r="AS239" s="227"/>
      <c r="AT239" s="228"/>
      <c r="AU239" s="227"/>
      <c r="AV239" s="228"/>
      <c r="AW239" s="227"/>
      <c r="AX239" s="229" t="n">
        <f aca="false">SUM(R239+T239+V239+X239+Z239+AB239+AD239+AF239+AH239+AJ239+AL239+AN239+AP239+AR239)</f>
        <v>2</v>
      </c>
      <c r="AY239" s="230" t="n">
        <f aca="false">SUM(AX239*1000)/48</f>
        <v>41.6666666666667</v>
      </c>
      <c r="AZ239" s="231" t="n">
        <f aca="false">IFERROR(VLOOKUP(A239,'Site check'!$A$14:$O$47,15,0),0)</f>
        <v>0</v>
      </c>
      <c r="BA239" s="232" t="n">
        <f aca="false">SUM(AZ239*1000)/48</f>
        <v>0</v>
      </c>
      <c r="BB239" s="90" t="n">
        <f aca="false">SUM(P239/2)+E239</f>
        <v>70.8333333333333</v>
      </c>
      <c r="BC239" s="90" t="n">
        <f aca="false">SUM(P239/2)+F239</f>
        <v>70.8333333333333</v>
      </c>
    </row>
    <row r="240" customFormat="false" ht="13.15" hidden="false" customHeight="false" outlineLevel="0" collapsed="false">
      <c r="A240" s="0" t="str">
        <f aca="false">[2]Sheet1!A240</f>
        <v>CTRTK1_SEC_EATON_BC0</v>
      </c>
      <c r="B240" s="0" t="str">
        <f aca="false">[2]Sheet1!B240</f>
        <v>CTRTK1;DC SYS01</v>
      </c>
      <c r="C240" s="44" t="str">
        <f aca="false">[2]Sheet1!C240</f>
        <v>CTRTK1</v>
      </c>
      <c r="D240" s="44" t="s">
        <v>520</v>
      </c>
      <c r="E240" s="0" t="n">
        <f aca="false">[2]Sheet1!D240</f>
        <v>10</v>
      </c>
      <c r="F240" s="0" t="n">
        <f aca="false">[2]Sheet1!E240</f>
        <v>10</v>
      </c>
      <c r="G240" s="45" t="n">
        <f aca="false">[2]Sheet1!F240</f>
        <v>44159</v>
      </c>
      <c r="H240" s="0" t="n">
        <f aca="false">[2]Sheet1!G240</f>
        <v>300</v>
      </c>
      <c r="I240" s="0" t="n">
        <f aca="false">[2]Sheet1!H240</f>
        <v>300</v>
      </c>
      <c r="J240" s="0" t="n">
        <f aca="false">[2]Sheet1!I240</f>
        <v>0</v>
      </c>
      <c r="K240" s="0" t="n">
        <f aca="false">[2]Sheet1!J240</f>
        <v>0</v>
      </c>
      <c r="L240" s="0" t="n">
        <f aca="false">[2]Sheet1!K240</f>
        <v>0</v>
      </c>
      <c r="M240" s="0" t="n">
        <f aca="false">[2]Sheet1!L240</f>
        <v>0</v>
      </c>
      <c r="N240" s="0" t="n">
        <f aca="false">[2]Sheet1!M240</f>
        <v>0</v>
      </c>
      <c r="O240" s="0" t="n">
        <f aca="false">[2]Sheet1!N240</f>
        <v>40</v>
      </c>
      <c r="P240" s="226" t="n">
        <f aca="false">SUM(AY240+BA240)</f>
        <v>0</v>
      </c>
      <c r="Q240" s="201"/>
      <c r="R240" s="71"/>
      <c r="S240" s="227"/>
      <c r="T240" s="71"/>
      <c r="U240" s="201"/>
      <c r="V240" s="71"/>
      <c r="W240" s="227"/>
      <c r="X240" s="71"/>
      <c r="Y240" s="201"/>
      <c r="Z240" s="71"/>
      <c r="AA240" s="227"/>
      <c r="AB240" s="71"/>
      <c r="AC240" s="201"/>
      <c r="AD240" s="71"/>
      <c r="AE240" s="227"/>
      <c r="AF240" s="71"/>
      <c r="AG240" s="201"/>
      <c r="AH240" s="71"/>
      <c r="AI240" s="227"/>
      <c r="AJ240" s="71"/>
      <c r="AK240" s="201"/>
      <c r="AL240" s="71"/>
      <c r="AM240" s="227"/>
      <c r="AN240" s="71"/>
      <c r="AO240" s="201"/>
      <c r="AP240" s="71"/>
      <c r="AQ240" s="227"/>
      <c r="AR240" s="71"/>
      <c r="AS240" s="227"/>
      <c r="AT240" s="228"/>
      <c r="AU240" s="227"/>
      <c r="AV240" s="228"/>
      <c r="AW240" s="227"/>
      <c r="AX240" s="229" t="n">
        <f aca="false">SUM(R240+T240+V240+X240+Z240+AB240+AD240+AF240+AH240+AJ240+AL240+AN240+AP240+AR240)</f>
        <v>0</v>
      </c>
      <c r="AY240" s="230" t="n">
        <f aca="false">SUM(AX240*1000)/48</f>
        <v>0</v>
      </c>
      <c r="AZ240" s="231" t="n">
        <f aca="false">IFERROR(VLOOKUP(A240,'Site check'!$A$14:$O$47,15,0),0)</f>
        <v>0</v>
      </c>
      <c r="BA240" s="232" t="n">
        <f aca="false">SUM(AZ240*1000)/48</f>
        <v>0</v>
      </c>
      <c r="BB240" s="90" t="n">
        <f aca="false">SUM(P240/2)+E240</f>
        <v>10</v>
      </c>
      <c r="BC240" s="90" t="n">
        <f aca="false">SUM(P240/2)+F240</f>
        <v>10</v>
      </c>
    </row>
    <row r="241" customFormat="false" ht="13.15" hidden="false" customHeight="false" outlineLevel="0" collapsed="false">
      <c r="A241" s="0" t="str">
        <f aca="false">[2]Sheet1!A241</f>
        <v>CTRTS1_SEC_DCDB_GH10</v>
      </c>
      <c r="B241" s="0" t="str">
        <f aca="false">[2]Sheet1!B241</f>
        <v>CTRTS1; DC SYS01</v>
      </c>
      <c r="C241" s="44" t="str">
        <f aca="false">[2]Sheet1!C241</f>
        <v>CTRTS1</v>
      </c>
      <c r="D241" s="44" t="s">
        <v>521</v>
      </c>
      <c r="E241" s="0" t="n">
        <f aca="false">[2]Sheet1!D241</f>
        <v>60</v>
      </c>
      <c r="F241" s="0" t="n">
        <f aca="false">[2]Sheet1!E241</f>
        <v>60</v>
      </c>
      <c r="G241" s="45" t="n">
        <f aca="false">[2]Sheet1!F241</f>
        <v>44106</v>
      </c>
      <c r="H241" s="0" t="n">
        <f aca="false">[2]Sheet1!G241</f>
        <v>300</v>
      </c>
      <c r="I241" s="0" t="n">
        <f aca="false">[2]Sheet1!H241</f>
        <v>300</v>
      </c>
      <c r="J241" s="0" t="n">
        <f aca="false">[2]Sheet1!I241</f>
        <v>8</v>
      </c>
      <c r="K241" s="0" t="n">
        <f aca="false">[2]Sheet1!J241</f>
        <v>4</v>
      </c>
      <c r="L241" s="0" t="n">
        <f aca="false">[2]Sheet1!K241</f>
        <v>9</v>
      </c>
      <c r="M241" s="0" t="n">
        <f aca="false">[2]Sheet1!L241</f>
        <v>4</v>
      </c>
      <c r="N241" s="0" t="n">
        <f aca="false">[2]Sheet1!M241</f>
        <v>0</v>
      </c>
      <c r="O241" s="0" t="n">
        <f aca="false">[2]Sheet1!N241</f>
        <v>8</v>
      </c>
      <c r="P241" s="226" t="n">
        <f aca="false">SUM(AY241+BA241)</f>
        <v>125</v>
      </c>
      <c r="Q241" s="170" t="s">
        <v>1141</v>
      </c>
      <c r="R241" s="234" t="n">
        <v>5</v>
      </c>
      <c r="S241" s="212" t="s">
        <v>1142</v>
      </c>
      <c r="T241" s="221" t="n">
        <v>1</v>
      </c>
      <c r="U241" s="201"/>
      <c r="V241" s="71"/>
      <c r="W241" s="227"/>
      <c r="X241" s="71"/>
      <c r="Y241" s="201"/>
      <c r="Z241" s="71"/>
      <c r="AA241" s="227"/>
      <c r="AB241" s="71"/>
      <c r="AC241" s="201"/>
      <c r="AD241" s="71"/>
      <c r="AE241" s="227"/>
      <c r="AF241" s="71"/>
      <c r="AG241" s="201"/>
      <c r="AH241" s="71"/>
      <c r="AI241" s="227"/>
      <c r="AJ241" s="71"/>
      <c r="AK241" s="201"/>
      <c r="AL241" s="71"/>
      <c r="AM241" s="227"/>
      <c r="AN241" s="71"/>
      <c r="AO241" s="201"/>
      <c r="AP241" s="71"/>
      <c r="AQ241" s="227"/>
      <c r="AR241" s="71"/>
      <c r="AS241" s="227"/>
      <c r="AT241" s="228"/>
      <c r="AU241" s="227"/>
      <c r="AV241" s="228"/>
      <c r="AW241" s="227"/>
      <c r="AX241" s="229" t="n">
        <f aca="false">SUM(R241+T241+V241+X241+Z241+AB241+AD241+AF241+AH241+AJ241+AL241+AN241+AP241+AR241)</f>
        <v>6</v>
      </c>
      <c r="AY241" s="230" t="n">
        <f aca="false">SUM(AX241*1000)/48</f>
        <v>125</v>
      </c>
      <c r="AZ241" s="231" t="n">
        <f aca="false">IFERROR(VLOOKUP(A241,'Site check'!$A$14:$O$47,15,0),0)</f>
        <v>0</v>
      </c>
      <c r="BA241" s="232" t="n">
        <f aca="false">SUM(AZ241*1000)/48</f>
        <v>0</v>
      </c>
      <c r="BB241" s="90" t="n">
        <f aca="false">SUM(P241/2)+E241</f>
        <v>122.5</v>
      </c>
      <c r="BC241" s="90" t="n">
        <f aca="false">SUM(P241/2)+F241</f>
        <v>122.5</v>
      </c>
    </row>
    <row r="242" customFormat="false" ht="13.15" hidden="false" customHeight="false" outlineLevel="0" collapsed="false">
      <c r="A242" s="0" t="str">
        <f aca="false">[2]Sheet1!A242</f>
        <v>EBCTC1_EOS A</v>
      </c>
      <c r="B242" s="0" t="str">
        <f aca="false">[2]Sheet1!B242</f>
        <v>ECBTC1; DC SYS01</v>
      </c>
      <c r="C242" s="44" t="str">
        <f aca="false">[2]Sheet1!C242</f>
        <v>EBCTC1</v>
      </c>
      <c r="D242" s="44" t="s">
        <v>564</v>
      </c>
      <c r="E242" s="0" t="n">
        <f aca="false">[2]Sheet1!D242</f>
        <v>7.8</v>
      </c>
      <c r="F242" s="0" t="n">
        <f aca="false">[2]Sheet1!E242</f>
        <v>7.8</v>
      </c>
      <c r="G242" s="45" t="n">
        <f aca="false">[2]Sheet1!F242</f>
        <v>44879</v>
      </c>
      <c r="H242" s="0" t="n">
        <f aca="false">[2]Sheet1!G242</f>
        <v>300</v>
      </c>
      <c r="I242" s="0" t="n">
        <f aca="false">[2]Sheet1!H242</f>
        <v>300</v>
      </c>
      <c r="J242" s="0" t="n">
        <f aca="false">[2]Sheet1!I242</f>
        <v>0</v>
      </c>
      <c r="K242" s="0" t="n">
        <f aca="false">[2]Sheet1!J242</f>
        <v>0</v>
      </c>
      <c r="L242" s="0" t="n">
        <f aca="false">[2]Sheet1!K242</f>
        <v>0</v>
      </c>
      <c r="M242" s="0" t="n">
        <f aca="false">[2]Sheet1!L242</f>
        <v>0</v>
      </c>
      <c r="N242" s="0" t="n">
        <f aca="false">[2]Sheet1!M242</f>
        <v>0</v>
      </c>
      <c r="O242" s="0" t="n">
        <f aca="false">[2]Sheet1!N242</f>
        <v>0</v>
      </c>
      <c r="P242" s="226" t="n">
        <f aca="false">SUM(AY242+BA242)</f>
        <v>20.8333333333333</v>
      </c>
      <c r="Q242" s="204" t="s">
        <v>1500</v>
      </c>
      <c r="R242" s="221" t="n">
        <v>1</v>
      </c>
      <c r="S242" s="227"/>
      <c r="T242" s="71"/>
      <c r="U242" s="201"/>
      <c r="V242" s="71"/>
      <c r="W242" s="227"/>
      <c r="X242" s="71"/>
      <c r="Y242" s="201"/>
      <c r="Z242" s="71"/>
      <c r="AA242" s="227"/>
      <c r="AB242" s="71"/>
      <c r="AC242" s="201"/>
      <c r="AD242" s="71"/>
      <c r="AE242" s="227"/>
      <c r="AF242" s="71"/>
      <c r="AG242" s="201"/>
      <c r="AH242" s="71"/>
      <c r="AI242" s="227"/>
      <c r="AJ242" s="71"/>
      <c r="AK242" s="201"/>
      <c r="AL242" s="71"/>
      <c r="AM242" s="227"/>
      <c r="AN242" s="71"/>
      <c r="AO242" s="201"/>
      <c r="AP242" s="71"/>
      <c r="AQ242" s="227"/>
      <c r="AR242" s="71"/>
      <c r="AS242" s="227"/>
      <c r="AT242" s="228"/>
      <c r="AU242" s="227"/>
      <c r="AV242" s="228"/>
      <c r="AW242" s="227"/>
      <c r="AX242" s="229" t="n">
        <f aca="false">SUM(R242+T242+V242+X242+Z242+AB242+AD242+AF242+AH242+AJ242+AL242+AN242+AP242+AR242)</f>
        <v>1</v>
      </c>
      <c r="AY242" s="230" t="n">
        <f aca="false">SUM(AX242*1000)/48</f>
        <v>20.8333333333333</v>
      </c>
      <c r="AZ242" s="231" t="n">
        <f aca="false">IFERROR(VLOOKUP(A242,'Site check'!$A$14:$O$47,15,0),0)</f>
        <v>0</v>
      </c>
      <c r="BA242" s="232" t="n">
        <f aca="false">SUM(AZ242*1000)/48</f>
        <v>0</v>
      </c>
      <c r="BB242" s="90" t="n">
        <f aca="false">SUM(P242/2)+E242</f>
        <v>18.2166666666667</v>
      </c>
      <c r="BC242" s="90" t="n">
        <f aca="false">SUM(P242/2)+F242</f>
        <v>18.2166666666667</v>
      </c>
    </row>
    <row r="243" customFormat="false" ht="13.15" hidden="false" customHeight="false" outlineLevel="0" collapsed="false">
      <c r="A243" s="0" t="str">
        <f aca="false">[2]Sheet1!A243</f>
        <v>DGS DB1</v>
      </c>
      <c r="B243" s="0" t="str">
        <f aca="false">[2]Sheet1!B243</f>
        <v>DGS;DC SYS01</v>
      </c>
      <c r="C243" s="44" t="str">
        <f aca="false">[2]Sheet1!C243</f>
        <v>DGS</v>
      </c>
      <c r="D243" s="44" t="s">
        <v>537</v>
      </c>
      <c r="E243" s="0" t="str">
        <f aca="false">[2]Sheet1!D243</f>
        <v>Not correct form</v>
      </c>
      <c r="F243" s="0" t="n">
        <f aca="false">[2]Sheet1!E243</f>
        <v>0</v>
      </c>
      <c r="G243" s="45" t="n">
        <f aca="false">[2]Sheet1!F243</f>
        <v>0</v>
      </c>
      <c r="H243" s="0" t="n">
        <f aca="false">[2]Sheet1!G243</f>
        <v>0</v>
      </c>
      <c r="I243" s="0" t="n">
        <f aca="false">[2]Sheet1!H243</f>
        <v>0</v>
      </c>
      <c r="J243" s="0" t="n">
        <f aca="false">[2]Sheet1!I243</f>
        <v>0</v>
      </c>
      <c r="K243" s="0" t="n">
        <f aca="false">[2]Sheet1!J243</f>
        <v>0</v>
      </c>
      <c r="L243" s="0" t="n">
        <f aca="false">[2]Sheet1!K243</f>
        <v>0</v>
      </c>
      <c r="M243" s="0" t="n">
        <f aca="false">[2]Sheet1!L243</f>
        <v>0</v>
      </c>
      <c r="N243" s="0" t="n">
        <f aca="false">[2]Sheet1!M243</f>
        <v>0</v>
      </c>
      <c r="O243" s="0" t="n">
        <f aca="false">[2]Sheet1!N243</f>
        <v>0</v>
      </c>
      <c r="P243" s="226" t="n">
        <f aca="false">SUM(AY243+BA243)</f>
        <v>0</v>
      </c>
      <c r="Q243" s="201"/>
      <c r="R243" s="71"/>
      <c r="S243" s="227"/>
      <c r="T243" s="71"/>
      <c r="U243" s="201"/>
      <c r="V243" s="71"/>
      <c r="W243" s="227"/>
      <c r="X243" s="71"/>
      <c r="Y243" s="201"/>
      <c r="Z243" s="71"/>
      <c r="AA243" s="227"/>
      <c r="AB243" s="71"/>
      <c r="AC243" s="201"/>
      <c r="AD243" s="71"/>
      <c r="AE243" s="227"/>
      <c r="AF243" s="71"/>
      <c r="AG243" s="201"/>
      <c r="AH243" s="71"/>
      <c r="AI243" s="227"/>
      <c r="AJ243" s="71"/>
      <c r="AK243" s="201"/>
      <c r="AL243" s="71"/>
      <c r="AM243" s="227"/>
      <c r="AN243" s="71"/>
      <c r="AO243" s="201"/>
      <c r="AP243" s="71"/>
      <c r="AQ243" s="227"/>
      <c r="AR243" s="71"/>
      <c r="AS243" s="227"/>
      <c r="AT243" s="228"/>
      <c r="AU243" s="227"/>
      <c r="AV243" s="228"/>
      <c r="AW243" s="227"/>
      <c r="AX243" s="229" t="n">
        <f aca="false">SUM(R243+T243+V243+X243+Z243+AB243+AD243+AF243+AH243+AJ243+AL243+AN243+AP243+AR243)</f>
        <v>0</v>
      </c>
      <c r="AY243" s="230" t="n">
        <f aca="false">SUM(AX243*1000)/48</f>
        <v>0</v>
      </c>
      <c r="AZ243" s="231" t="n">
        <f aca="false">IFERROR(VLOOKUP(A243,'Site check'!$A$14:$O$47,15,0),0)</f>
        <v>0</v>
      </c>
      <c r="BA243" s="232" t="n">
        <f aca="false">SUM(AZ243*1000)/48</f>
        <v>0</v>
      </c>
      <c r="BB243" s="90" t="e">
        <f aca="false">SUM(P243/2)+E243</f>
        <v>#VALUE!</v>
      </c>
      <c r="BC243" s="90" t="n">
        <f aca="false">SUM(P243/2)+F243</f>
        <v>0</v>
      </c>
    </row>
    <row r="244" customFormat="false" ht="13.15" hidden="false" customHeight="false" outlineLevel="0" collapsed="false">
      <c r="A244" s="0" t="str">
        <f aca="false">[2]Sheet1!A244</f>
        <v>DGS N2K</v>
      </c>
      <c r="B244" s="0" t="str">
        <f aca="false">[2]Sheet1!B244</f>
        <v>DGS;DC SYS01</v>
      </c>
      <c r="C244" s="44" t="str">
        <f aca="false">[2]Sheet1!C244</f>
        <v>DGS</v>
      </c>
      <c r="D244" s="44" t="s">
        <v>537</v>
      </c>
      <c r="E244" s="0" t="str">
        <f aca="false">[2]Sheet1!D244</f>
        <v>Not correct form</v>
      </c>
      <c r="F244" s="0" t="n">
        <f aca="false">[2]Sheet1!E244</f>
        <v>0</v>
      </c>
      <c r="G244" s="45" t="n">
        <f aca="false">[2]Sheet1!F244</f>
        <v>0</v>
      </c>
      <c r="H244" s="0" t="n">
        <f aca="false">[2]Sheet1!G244</f>
        <v>0</v>
      </c>
      <c r="I244" s="0" t="n">
        <f aca="false">[2]Sheet1!H244</f>
        <v>0</v>
      </c>
      <c r="J244" s="0" t="n">
        <f aca="false">[2]Sheet1!I244</f>
        <v>0</v>
      </c>
      <c r="K244" s="0" t="n">
        <f aca="false">[2]Sheet1!J244</f>
        <v>0</v>
      </c>
      <c r="L244" s="0" t="n">
        <f aca="false">[2]Sheet1!K244</f>
        <v>0</v>
      </c>
      <c r="M244" s="0" t="n">
        <f aca="false">[2]Sheet1!L244</f>
        <v>0</v>
      </c>
      <c r="N244" s="0" t="n">
        <f aca="false">[2]Sheet1!M244</f>
        <v>0</v>
      </c>
      <c r="O244" s="0" t="n">
        <f aca="false">[2]Sheet1!N244</f>
        <v>0</v>
      </c>
      <c r="P244" s="226" t="n">
        <f aca="false">SUM(AY244+BA244)</f>
        <v>0</v>
      </c>
      <c r="Q244" s="201"/>
      <c r="R244" s="71"/>
      <c r="S244" s="227"/>
      <c r="T244" s="71"/>
      <c r="U244" s="201"/>
      <c r="V244" s="71"/>
      <c r="W244" s="227"/>
      <c r="X244" s="71"/>
      <c r="Y244" s="201"/>
      <c r="Z244" s="71"/>
      <c r="AA244" s="227"/>
      <c r="AB244" s="71"/>
      <c r="AC244" s="201"/>
      <c r="AD244" s="71"/>
      <c r="AE244" s="227"/>
      <c r="AF244" s="71"/>
      <c r="AG244" s="201"/>
      <c r="AH244" s="71"/>
      <c r="AI244" s="227"/>
      <c r="AJ244" s="71"/>
      <c r="AK244" s="201"/>
      <c r="AL244" s="71"/>
      <c r="AM244" s="227"/>
      <c r="AN244" s="71"/>
      <c r="AO244" s="201"/>
      <c r="AP244" s="71"/>
      <c r="AQ244" s="227"/>
      <c r="AR244" s="71"/>
      <c r="AS244" s="227"/>
      <c r="AT244" s="228"/>
      <c r="AU244" s="227"/>
      <c r="AV244" s="228"/>
      <c r="AW244" s="227"/>
      <c r="AX244" s="229" t="n">
        <f aca="false">SUM(R244+T244+V244+X244+Z244+AB244+AD244+AF244+AH244+AJ244+AL244+AN244+AP244+AR244)</f>
        <v>0</v>
      </c>
      <c r="AY244" s="230" t="n">
        <f aca="false">SUM(AX244*1000)/48</f>
        <v>0</v>
      </c>
      <c r="AZ244" s="231" t="n">
        <f aca="false">IFERROR(VLOOKUP(A244,'Site check'!$A$14:$O$47,15,0),0)</f>
        <v>0</v>
      </c>
      <c r="BA244" s="232" t="n">
        <f aca="false">SUM(AZ244*1000)/48</f>
        <v>0</v>
      </c>
      <c r="BB244" s="90" t="e">
        <f aca="false">SUM(P244/2)+E244</f>
        <v>#VALUE!</v>
      </c>
      <c r="BC244" s="90" t="n">
        <f aca="false">SUM(P244/2)+F244</f>
        <v>0</v>
      </c>
    </row>
    <row r="245" customFormat="false" ht="13.15" hidden="false" customHeight="false" outlineLevel="0" collapsed="false">
      <c r="A245" s="0" t="str">
        <f aca="false">[2]Sheet1!A245</f>
        <v>KNLTS1_POWEC_PPS25_EXT CAB1</v>
      </c>
      <c r="B245" s="0" t="str">
        <f aca="false">[2]Sheet1!B245</f>
        <v>KNLTS1;DC SYS01</v>
      </c>
      <c r="C245" s="44" t="str">
        <f aca="false">[2]Sheet1!C245</f>
        <v>KNLTS1</v>
      </c>
      <c r="D245" s="44" t="s">
        <v>635</v>
      </c>
      <c r="E245" s="0" t="n">
        <f aca="false">[2]Sheet1!D245</f>
        <v>0</v>
      </c>
      <c r="F245" s="0" t="n">
        <f aca="false">[2]Sheet1!E245</f>
        <v>0</v>
      </c>
      <c r="G245" s="45" t="n">
        <f aca="false">[2]Sheet1!F245</f>
        <v>0</v>
      </c>
      <c r="H245" s="0" t="n">
        <f aca="false">[2]Sheet1!G245</f>
        <v>300</v>
      </c>
      <c r="I245" s="0" t="n">
        <f aca="false">[2]Sheet1!H245</f>
        <v>300</v>
      </c>
      <c r="J245" s="0" t="n">
        <f aca="false">[2]Sheet1!I245</f>
        <v>9</v>
      </c>
      <c r="K245" s="0" t="n">
        <f aca="false">[2]Sheet1!J245</f>
        <v>2</v>
      </c>
      <c r="L245" s="0" t="n">
        <f aca="false">[2]Sheet1!K245</f>
        <v>0</v>
      </c>
      <c r="M245" s="0" t="n">
        <f aca="false">[2]Sheet1!L245</f>
        <v>0</v>
      </c>
      <c r="N245" s="0" t="n">
        <f aca="false">[2]Sheet1!M245</f>
        <v>0</v>
      </c>
      <c r="O245" s="0" t="n">
        <f aca="false">[2]Sheet1!N245</f>
        <v>0</v>
      </c>
      <c r="P245" s="226" t="n">
        <f aca="false">SUM(AY245+BA245)</f>
        <v>20.8333333333333</v>
      </c>
      <c r="Q245" s="204" t="s">
        <v>1501</v>
      </c>
      <c r="R245" s="221" t="n">
        <v>1</v>
      </c>
      <c r="S245" s="212"/>
      <c r="T245" s="71"/>
      <c r="U245" s="201"/>
      <c r="V245" s="71"/>
      <c r="W245" s="227"/>
      <c r="X245" s="71"/>
      <c r="Y245" s="201"/>
      <c r="Z245" s="71"/>
      <c r="AA245" s="227"/>
      <c r="AB245" s="71"/>
      <c r="AC245" s="201"/>
      <c r="AD245" s="71"/>
      <c r="AE245" s="227"/>
      <c r="AF245" s="71"/>
      <c r="AG245" s="201"/>
      <c r="AH245" s="71"/>
      <c r="AI245" s="227"/>
      <c r="AJ245" s="71"/>
      <c r="AK245" s="201"/>
      <c r="AL245" s="71"/>
      <c r="AM245" s="227"/>
      <c r="AN245" s="71"/>
      <c r="AO245" s="201"/>
      <c r="AP245" s="71"/>
      <c r="AQ245" s="227"/>
      <c r="AR245" s="71"/>
      <c r="AS245" s="227"/>
      <c r="AT245" s="228"/>
      <c r="AU245" s="227"/>
      <c r="AV245" s="228"/>
      <c r="AW245" s="227"/>
      <c r="AX245" s="229" t="n">
        <f aca="false">SUM(R245+T245+V245+X245+Z245+AB245+AD245+AF245+AH245+AJ245+AL245+AN245+AP245+AR245)</f>
        <v>1</v>
      </c>
      <c r="AY245" s="230" t="n">
        <f aca="false">SUM(AX245*1000)/48</f>
        <v>20.8333333333333</v>
      </c>
      <c r="AZ245" s="231" t="n">
        <f aca="false">IFERROR(VLOOKUP(A245,'Site check'!$A$14:$O$47,15,0),0)</f>
        <v>0</v>
      </c>
      <c r="BA245" s="232" t="n">
        <f aca="false">SUM(AZ245*1000)/48</f>
        <v>0</v>
      </c>
      <c r="BB245" s="90" t="n">
        <f aca="false">SUM(P245/2)+E245</f>
        <v>10.4166666666667</v>
      </c>
      <c r="BC245" s="90" t="n">
        <f aca="false">SUM(P245/2)+F245</f>
        <v>10.4166666666667</v>
      </c>
    </row>
    <row r="246" customFormat="false" ht="13.15" hidden="false" customHeight="false" outlineLevel="0" collapsed="false">
      <c r="A246" s="0" t="str">
        <f aca="false">[2]Sheet1!A246</f>
        <v>KNLTS1_POWEC_PPS25_EXT CAB2</v>
      </c>
      <c r="B246" s="0" t="str">
        <f aca="false">[2]Sheet1!B246</f>
        <v>KNLTS1;DC SYS01</v>
      </c>
      <c r="C246" s="44" t="str">
        <f aca="false">[2]Sheet1!C246</f>
        <v>KNLTS1</v>
      </c>
      <c r="D246" s="44" t="s">
        <v>635</v>
      </c>
      <c r="E246" s="0" t="n">
        <f aca="false">[2]Sheet1!D246</f>
        <v>0</v>
      </c>
      <c r="F246" s="0" t="n">
        <f aca="false">[2]Sheet1!E246</f>
        <v>0</v>
      </c>
      <c r="G246" s="45" t="n">
        <f aca="false">[2]Sheet1!F246</f>
        <v>0</v>
      </c>
      <c r="H246" s="0" t="n">
        <f aca="false">[2]Sheet1!G246</f>
        <v>300</v>
      </c>
      <c r="I246" s="0" t="n">
        <f aca="false">[2]Sheet1!H246</f>
        <v>300</v>
      </c>
      <c r="J246" s="0" t="n">
        <f aca="false">[2]Sheet1!I246</f>
        <v>0</v>
      </c>
      <c r="K246" s="0" t="n">
        <f aca="false">[2]Sheet1!J246</f>
        <v>0</v>
      </c>
      <c r="L246" s="0" t="n">
        <f aca="false">[2]Sheet1!K246</f>
        <v>12</v>
      </c>
      <c r="M246" s="0" t="n">
        <f aca="false">[2]Sheet1!L246</f>
        <v>0</v>
      </c>
      <c r="N246" s="0" t="n">
        <f aca="false">[2]Sheet1!M246</f>
        <v>0</v>
      </c>
      <c r="O246" s="0" t="n">
        <f aca="false">[2]Sheet1!N246</f>
        <v>0</v>
      </c>
      <c r="P246" s="226" t="n">
        <f aca="false">SUM(AY246+BA246)</f>
        <v>0</v>
      </c>
      <c r="Q246" s="201"/>
      <c r="R246" s="71"/>
      <c r="S246" s="227"/>
      <c r="T246" s="71"/>
      <c r="U246" s="201"/>
      <c r="V246" s="71"/>
      <c r="W246" s="227"/>
      <c r="X246" s="71"/>
      <c r="Y246" s="201"/>
      <c r="Z246" s="71"/>
      <c r="AA246" s="227"/>
      <c r="AB246" s="71"/>
      <c r="AC246" s="201"/>
      <c r="AD246" s="71"/>
      <c r="AE246" s="227"/>
      <c r="AF246" s="71"/>
      <c r="AG246" s="201"/>
      <c r="AH246" s="71"/>
      <c r="AI246" s="227"/>
      <c r="AJ246" s="71"/>
      <c r="AK246" s="201"/>
      <c r="AL246" s="71"/>
      <c r="AM246" s="227"/>
      <c r="AN246" s="71"/>
      <c r="AO246" s="201"/>
      <c r="AP246" s="71"/>
      <c r="AQ246" s="227"/>
      <c r="AR246" s="71"/>
      <c r="AS246" s="227"/>
      <c r="AT246" s="228"/>
      <c r="AU246" s="227"/>
      <c r="AV246" s="228"/>
      <c r="AW246" s="227"/>
      <c r="AX246" s="229" t="n">
        <f aca="false">SUM(R246+T246+V246+X246+Z246+AB246+AD246+AF246+AH246+AJ246+AL246+AN246+AP246+AR246)</f>
        <v>0</v>
      </c>
      <c r="AY246" s="230" t="n">
        <f aca="false">SUM(AX246*1000)/48</f>
        <v>0</v>
      </c>
      <c r="AZ246" s="231" t="n">
        <f aca="false">IFERROR(VLOOKUP(A246,'Site check'!$A$14:$O$47,15,0),0)</f>
        <v>0</v>
      </c>
      <c r="BA246" s="232" t="n">
        <f aca="false">SUM(AZ246*1000)/48</f>
        <v>0</v>
      </c>
      <c r="BB246" s="90" t="n">
        <f aca="false">SUM(P246/2)+E246</f>
        <v>0</v>
      </c>
      <c r="BC246" s="90" t="n">
        <f aca="false">SUM(P246/2)+F246</f>
        <v>0</v>
      </c>
    </row>
    <row r="247" customFormat="false" ht="13.15" hidden="false" customHeight="false" outlineLevel="0" collapsed="false">
      <c r="A247" s="0" t="str">
        <f aca="false">[2]Sheet1!A247</f>
        <v>KNLTS1_POWEC_PPS25_MAIN CAB</v>
      </c>
      <c r="B247" s="0" t="str">
        <f aca="false">[2]Sheet1!B247</f>
        <v>KNLTS1;DC SYS01</v>
      </c>
      <c r="C247" s="44" t="str">
        <f aca="false">[2]Sheet1!C247</f>
        <v>KNLTS1</v>
      </c>
      <c r="D247" s="44" t="s">
        <v>635</v>
      </c>
      <c r="E247" s="0" t="n">
        <f aca="false">[2]Sheet1!D247</f>
        <v>0</v>
      </c>
      <c r="F247" s="0" t="n">
        <f aca="false">[2]Sheet1!E247</f>
        <v>0</v>
      </c>
      <c r="G247" s="45" t="n">
        <f aca="false">[2]Sheet1!F247</f>
        <v>0</v>
      </c>
      <c r="H247" s="0" t="n">
        <f aca="false">[2]Sheet1!G247</f>
        <v>300</v>
      </c>
      <c r="I247" s="0" t="n">
        <f aca="false">[2]Sheet1!H247</f>
        <v>300</v>
      </c>
      <c r="J247" s="0" t="n">
        <f aca="false">[2]Sheet1!I247</f>
        <v>0</v>
      </c>
      <c r="K247" s="0" t="n">
        <f aca="false">[2]Sheet1!J247</f>
        <v>2</v>
      </c>
      <c r="L247" s="0" t="n">
        <f aca="false">[2]Sheet1!K247</f>
        <v>0</v>
      </c>
      <c r="M247" s="0" t="n">
        <f aca="false">[2]Sheet1!L247</f>
        <v>0</v>
      </c>
      <c r="N247" s="0" t="n">
        <f aca="false">[2]Sheet1!M247</f>
        <v>0</v>
      </c>
      <c r="O247" s="0" t="n">
        <f aca="false">[2]Sheet1!N247</f>
        <v>0</v>
      </c>
      <c r="P247" s="226" t="n">
        <f aca="false">SUM(AY247+BA247)</f>
        <v>0</v>
      </c>
      <c r="Q247" s="201"/>
      <c r="R247" s="71"/>
      <c r="S247" s="227"/>
      <c r="T247" s="71"/>
      <c r="U247" s="201"/>
      <c r="V247" s="71"/>
      <c r="W247" s="227"/>
      <c r="X247" s="71"/>
      <c r="Y247" s="201"/>
      <c r="Z247" s="71"/>
      <c r="AA247" s="227"/>
      <c r="AB247" s="71"/>
      <c r="AC247" s="201"/>
      <c r="AD247" s="71"/>
      <c r="AE247" s="227"/>
      <c r="AF247" s="71"/>
      <c r="AG247" s="201"/>
      <c r="AH247" s="71"/>
      <c r="AI247" s="227"/>
      <c r="AJ247" s="71"/>
      <c r="AK247" s="201"/>
      <c r="AL247" s="71"/>
      <c r="AM247" s="227"/>
      <c r="AN247" s="71"/>
      <c r="AO247" s="201"/>
      <c r="AP247" s="71"/>
      <c r="AQ247" s="227"/>
      <c r="AR247" s="71"/>
      <c r="AS247" s="227"/>
      <c r="AT247" s="228"/>
      <c r="AU247" s="227"/>
      <c r="AV247" s="228"/>
      <c r="AW247" s="227"/>
      <c r="AX247" s="229" t="n">
        <f aca="false">SUM(R247+T247+V247+X247+Z247+AB247+AD247+AF247+AH247+AJ247+AL247+AN247+AP247+AR247)</f>
        <v>0</v>
      </c>
      <c r="AY247" s="230" t="n">
        <f aca="false">SUM(AX247*1000)/48</f>
        <v>0</v>
      </c>
      <c r="AZ247" s="231" t="n">
        <f aca="false">IFERROR(VLOOKUP(A247,'Site check'!$A$14:$O$47,15,0),0)</f>
        <v>0</v>
      </c>
      <c r="BA247" s="232" t="n">
        <f aca="false">SUM(AZ247*1000)/48</f>
        <v>0</v>
      </c>
      <c r="BB247" s="90" t="n">
        <f aca="false">SUM(P247/2)+E247</f>
        <v>0</v>
      </c>
      <c r="BC247" s="90" t="n">
        <f aca="false">SUM(P247/2)+F247</f>
        <v>0</v>
      </c>
    </row>
    <row r="248" customFormat="false" ht="13.15" hidden="false" customHeight="false" outlineLevel="0" collapsed="false">
      <c r="A248" s="0" t="str">
        <f aca="false">[2]Sheet1!A248</f>
        <v>LLDTE1_EOS KL00 - ignore</v>
      </c>
      <c r="B248" s="0" t="str">
        <f aca="false">[2]Sheet1!B248</f>
        <v>LLDTE1;DC SYS01</v>
      </c>
      <c r="C248" s="44" t="str">
        <f aca="false">[2]Sheet1!C248</f>
        <v>LLDTE1</v>
      </c>
      <c r="D248" s="44" t="s">
        <v>651</v>
      </c>
      <c r="E248" s="0" t="n">
        <f aca="false">[2]Sheet1!D248</f>
        <v>0</v>
      </c>
      <c r="F248" s="0" t="n">
        <f aca="false">[2]Sheet1!E248</f>
        <v>0</v>
      </c>
      <c r="G248" s="45" t="n">
        <f aca="false">[2]Sheet1!F248</f>
        <v>0</v>
      </c>
      <c r="H248" s="0" t="n">
        <f aca="false">[2]Sheet1!G248</f>
        <v>300</v>
      </c>
      <c r="I248" s="0" t="n">
        <f aca="false">[2]Sheet1!H248</f>
        <v>300</v>
      </c>
      <c r="J248" s="0" t="n">
        <f aca="false">[2]Sheet1!I248</f>
        <v>0</v>
      </c>
      <c r="K248" s="0" t="n">
        <f aca="false">[2]Sheet1!J248</f>
        <v>0</v>
      </c>
      <c r="L248" s="0" t="n">
        <f aca="false">[2]Sheet1!K248</f>
        <v>0</v>
      </c>
      <c r="M248" s="0" t="n">
        <f aca="false">[2]Sheet1!L248</f>
        <v>0</v>
      </c>
      <c r="N248" s="0" t="n">
        <f aca="false">[2]Sheet1!M248</f>
        <v>0</v>
      </c>
      <c r="O248" s="0" t="n">
        <f aca="false">[2]Sheet1!N248</f>
        <v>9</v>
      </c>
      <c r="P248" s="226" t="n">
        <f aca="false">SUM(AY248+BA248)</f>
        <v>177.083333333333</v>
      </c>
      <c r="Q248" s="170" t="s">
        <v>1268</v>
      </c>
      <c r="R248" s="234" t="n">
        <v>5</v>
      </c>
      <c r="S248" s="170" t="s">
        <v>1269</v>
      </c>
      <c r="T248" s="234" t="n">
        <v>3.5</v>
      </c>
      <c r="U248" s="201"/>
      <c r="V248" s="71"/>
      <c r="W248" s="227"/>
      <c r="X248" s="71"/>
      <c r="Y248" s="201"/>
      <c r="Z248" s="71"/>
      <c r="AA248" s="227"/>
      <c r="AB248" s="71"/>
      <c r="AC248" s="201"/>
      <c r="AD248" s="71"/>
      <c r="AE248" s="227"/>
      <c r="AF248" s="71"/>
      <c r="AG248" s="201"/>
      <c r="AH248" s="71"/>
      <c r="AI248" s="227"/>
      <c r="AJ248" s="71"/>
      <c r="AK248" s="201"/>
      <c r="AL248" s="71"/>
      <c r="AM248" s="227"/>
      <c r="AN248" s="71"/>
      <c r="AO248" s="201"/>
      <c r="AP248" s="71"/>
      <c r="AQ248" s="227"/>
      <c r="AR248" s="71"/>
      <c r="AS248" s="227"/>
      <c r="AT248" s="228"/>
      <c r="AU248" s="227"/>
      <c r="AV248" s="228"/>
      <c r="AW248" s="227"/>
      <c r="AX248" s="229" t="n">
        <f aca="false">SUM(R248+T248+V248+X248+Z248+AB248+AD248+AF248+AH248+AJ248+AL248+AN248+AP248+AR248)</f>
        <v>8.5</v>
      </c>
      <c r="AY248" s="230" t="n">
        <f aca="false">SUM(AX248*1000)/48</f>
        <v>177.083333333333</v>
      </c>
      <c r="AZ248" s="231" t="n">
        <f aca="false">IFERROR(VLOOKUP(A248,'Site check'!$A$14:$O$47,15,0),0)</f>
        <v>0</v>
      </c>
      <c r="BA248" s="232" t="n">
        <f aca="false">SUM(AZ248*1000)/48</f>
        <v>0</v>
      </c>
      <c r="BB248" s="90" t="n">
        <f aca="false">SUM(P248/2)+E248</f>
        <v>88.5416666666667</v>
      </c>
      <c r="BC248" s="90" t="n">
        <f aca="false">SUM(P248/2)+F248</f>
        <v>88.5416666666667</v>
      </c>
    </row>
    <row r="249" customFormat="false" ht="13.15" hidden="false" customHeight="false" outlineLevel="0" collapsed="false">
      <c r="A249" s="0" t="str">
        <f aca="false">[2]Sheet1!A249</f>
        <v>LPLTB1_SEC_EATON_DC06</v>
      </c>
      <c r="B249" s="0" t="str">
        <f aca="false">[2]Sheet1!B249</f>
        <v>LPLTB1;DC SYS01</v>
      </c>
      <c r="C249" s="44" t="str">
        <f aca="false">[2]Sheet1!C249</f>
        <v>LPLTB1</v>
      </c>
      <c r="D249" s="44" t="s">
        <v>656</v>
      </c>
      <c r="E249" s="0" t="n">
        <f aca="false">[2]Sheet1!D249</f>
        <v>0</v>
      </c>
      <c r="F249" s="0" t="n">
        <f aca="false">[2]Sheet1!E249</f>
        <v>0</v>
      </c>
      <c r="G249" s="45" t="n">
        <f aca="false">[2]Sheet1!F249</f>
        <v>0</v>
      </c>
      <c r="H249" s="0" t="n">
        <f aca="false">[2]Sheet1!G249</f>
        <v>300</v>
      </c>
      <c r="I249" s="0" t="n">
        <f aca="false">[2]Sheet1!H249</f>
        <v>300</v>
      </c>
      <c r="J249" s="0" t="n">
        <f aca="false">[2]Sheet1!I249</f>
        <v>0</v>
      </c>
      <c r="K249" s="0" t="n">
        <f aca="false">[2]Sheet1!J249</f>
        <v>0</v>
      </c>
      <c r="L249" s="0" t="n">
        <f aca="false">[2]Sheet1!K249</f>
        <v>0</v>
      </c>
      <c r="M249" s="0" t="n">
        <f aca="false">[2]Sheet1!L249</f>
        <v>0</v>
      </c>
      <c r="N249" s="0" t="n">
        <f aca="false">[2]Sheet1!M249</f>
        <v>0</v>
      </c>
      <c r="O249" s="0" t="n">
        <f aca="false">[2]Sheet1!N249</f>
        <v>61</v>
      </c>
      <c r="P249" s="226" t="n">
        <f aca="false">SUM(AY249+BA249)</f>
        <v>0</v>
      </c>
      <c r="Q249" s="201"/>
      <c r="R249" s="71"/>
      <c r="S249" s="227"/>
      <c r="T249" s="71"/>
      <c r="U249" s="201"/>
      <c r="V249" s="71"/>
      <c r="W249" s="227"/>
      <c r="X249" s="71"/>
      <c r="Y249" s="201"/>
      <c r="Z249" s="71"/>
      <c r="AA249" s="227"/>
      <c r="AB249" s="71"/>
      <c r="AC249" s="201"/>
      <c r="AD249" s="71"/>
      <c r="AE249" s="227"/>
      <c r="AF249" s="71"/>
      <c r="AG249" s="201"/>
      <c r="AH249" s="71"/>
      <c r="AI249" s="227"/>
      <c r="AJ249" s="71"/>
      <c r="AK249" s="201"/>
      <c r="AL249" s="71"/>
      <c r="AM249" s="227"/>
      <c r="AN249" s="71"/>
      <c r="AO249" s="201"/>
      <c r="AP249" s="71"/>
      <c r="AQ249" s="227"/>
      <c r="AR249" s="71"/>
      <c r="AS249" s="227"/>
      <c r="AT249" s="228"/>
      <c r="AU249" s="227"/>
      <c r="AV249" s="228"/>
      <c r="AW249" s="227"/>
      <c r="AX249" s="229" t="n">
        <f aca="false">SUM(R249+T249+V249+X249+Z249+AB249+AD249+AF249+AH249+AJ249+AL249+AN249+AP249+AR249)</f>
        <v>0</v>
      </c>
      <c r="AY249" s="230" t="n">
        <f aca="false">SUM(AX249*1000)/48</f>
        <v>0</v>
      </c>
      <c r="AZ249" s="231" t="n">
        <f aca="false">IFERROR(VLOOKUP(A249,'Site check'!$A$14:$O$47,15,0),0)</f>
        <v>0</v>
      </c>
      <c r="BA249" s="232" t="n">
        <f aca="false">SUM(AZ249*1000)/48</f>
        <v>0</v>
      </c>
      <c r="BB249" s="90" t="n">
        <f aca="false">SUM(P249/2)+E249</f>
        <v>0</v>
      </c>
      <c r="BC249" s="90" t="n">
        <f aca="false">SUM(P249/2)+F249</f>
        <v>0</v>
      </c>
    </row>
    <row r="250" customFormat="false" ht="13.15" hidden="false" customHeight="false" outlineLevel="0" collapsed="false">
      <c r="A250" s="0" t="str">
        <f aca="false">[2]Sheet1!A250</f>
        <v>MCRN11_SEC_CBDB_PQ18</v>
      </c>
      <c r="B250" s="0" t="str">
        <f aca="false">[2]Sheet1!B250</f>
        <v>MCRN11;DC SYS01a</v>
      </c>
      <c r="C250" s="44" t="str">
        <f aca="false">[2]Sheet1!C250</f>
        <v>MCRN11</v>
      </c>
      <c r="D250" s="44" t="s">
        <v>669</v>
      </c>
      <c r="E250" s="0" t="n">
        <f aca="false">[2]Sheet1!D250</f>
        <v>250</v>
      </c>
      <c r="F250" s="0" t="n">
        <f aca="false">[2]Sheet1!E250</f>
        <v>250</v>
      </c>
      <c r="G250" s="45" t="str">
        <f aca="false">[2]Sheet1!F250</f>
        <v>26/03/2018</v>
      </c>
      <c r="H250" s="0" t="n">
        <f aca="false">[2]Sheet1!G250</f>
        <v>300</v>
      </c>
      <c r="I250" s="0" t="n">
        <f aca="false">[2]Sheet1!H250</f>
        <v>300</v>
      </c>
      <c r="J250" s="0" t="n">
        <f aca="false">[2]Sheet1!I250</f>
        <v>2</v>
      </c>
      <c r="K250" s="0" t="n">
        <f aca="false">[2]Sheet1!J250</f>
        <v>0</v>
      </c>
      <c r="L250" s="0" t="n">
        <f aca="false">[2]Sheet1!K250</f>
        <v>1</v>
      </c>
      <c r="M250" s="0" t="n">
        <f aca="false">[2]Sheet1!L250</f>
        <v>0</v>
      </c>
      <c r="N250" s="0" t="n">
        <f aca="false">[2]Sheet1!M250</f>
        <v>0</v>
      </c>
      <c r="O250" s="0" t="n">
        <f aca="false">[2]Sheet1!N250</f>
        <v>11</v>
      </c>
      <c r="P250" s="226" t="n">
        <f aca="false">SUM(AY250+BA250)</f>
        <v>0</v>
      </c>
      <c r="Q250" s="201"/>
      <c r="R250" s="71"/>
      <c r="S250" s="227"/>
      <c r="T250" s="71"/>
      <c r="U250" s="201"/>
      <c r="V250" s="71"/>
      <c r="W250" s="227"/>
      <c r="X250" s="71"/>
      <c r="Y250" s="201"/>
      <c r="Z250" s="71"/>
      <c r="AA250" s="227"/>
      <c r="AB250" s="71"/>
      <c r="AC250" s="201"/>
      <c r="AD250" s="71"/>
      <c r="AE250" s="227"/>
      <c r="AF250" s="71"/>
      <c r="AG250" s="201"/>
      <c r="AH250" s="71"/>
      <c r="AI250" s="227"/>
      <c r="AJ250" s="71"/>
      <c r="AK250" s="201"/>
      <c r="AL250" s="71"/>
      <c r="AM250" s="227"/>
      <c r="AN250" s="71"/>
      <c r="AO250" s="201"/>
      <c r="AP250" s="71"/>
      <c r="AQ250" s="227"/>
      <c r="AR250" s="71"/>
      <c r="AS250" s="227"/>
      <c r="AT250" s="228"/>
      <c r="AU250" s="227"/>
      <c r="AV250" s="228"/>
      <c r="AW250" s="227"/>
      <c r="AX250" s="229" t="n">
        <f aca="false">SUM(R250+T250+V250+X250+Z250+AB250+AD250+AF250+AH250+AJ250+AL250+AN250+AP250+AR250)</f>
        <v>0</v>
      </c>
      <c r="AY250" s="230" t="n">
        <f aca="false">SUM(AX250*1000)/48</f>
        <v>0</v>
      </c>
      <c r="AZ250" s="231" t="n">
        <f aca="false">IFERROR(VLOOKUP(A250,'Site check'!$A$14:$O$47,15,0),0)</f>
        <v>0</v>
      </c>
      <c r="BA250" s="232" t="n">
        <f aca="false">SUM(AZ250*1000)/48</f>
        <v>0</v>
      </c>
      <c r="BB250" s="90" t="n">
        <f aca="false">SUM(P250/2)+E250</f>
        <v>250</v>
      </c>
      <c r="BC250" s="90" t="n">
        <f aca="false">SUM(P250/2)+F250</f>
        <v>250</v>
      </c>
    </row>
    <row r="251" customFormat="false" ht="13.15" hidden="false" customHeight="false" outlineLevel="0" collapsed="false">
      <c r="A251" s="0" t="str">
        <f aca="false">[2]Sheet1!A251</f>
        <v>MCRN11_SEC_DD770_BC01</v>
      </c>
      <c r="B251" s="0" t="str">
        <f aca="false">[2]Sheet1!B251</f>
        <v>MCRN11;DC SYS01a</v>
      </c>
      <c r="C251" s="44" t="str">
        <f aca="false">[2]Sheet1!C251</f>
        <v>MCRN11</v>
      </c>
      <c r="D251" s="44" t="s">
        <v>669</v>
      </c>
      <c r="E251" s="0" t="n">
        <f aca="false">[2]Sheet1!D251</f>
        <v>150</v>
      </c>
      <c r="F251" s="0" t="n">
        <f aca="false">[2]Sheet1!E251</f>
        <v>150</v>
      </c>
      <c r="G251" s="45" t="n">
        <f aca="false">[2]Sheet1!F251</f>
        <v>41950</v>
      </c>
      <c r="H251" s="0" t="n">
        <f aca="false">[2]Sheet1!G251</f>
        <v>300</v>
      </c>
      <c r="I251" s="0" t="n">
        <f aca="false">[2]Sheet1!H251</f>
        <v>300</v>
      </c>
      <c r="J251" s="0" t="n">
        <f aca="false">[2]Sheet1!I251</f>
        <v>2</v>
      </c>
      <c r="K251" s="0" t="n">
        <f aca="false">[2]Sheet1!J251</f>
        <v>0</v>
      </c>
      <c r="L251" s="0" t="n">
        <f aca="false">[2]Sheet1!K251</f>
        <v>0</v>
      </c>
      <c r="M251" s="0" t="n">
        <f aca="false">[2]Sheet1!L251</f>
        <v>3</v>
      </c>
      <c r="N251" s="0" t="n">
        <f aca="false">[2]Sheet1!M251</f>
        <v>11</v>
      </c>
      <c r="O251" s="0" t="n">
        <f aca="false">[2]Sheet1!N251</f>
        <v>0</v>
      </c>
      <c r="P251" s="226" t="n">
        <f aca="false">SUM(AY251+BA251)</f>
        <v>0</v>
      </c>
      <c r="Q251" s="201"/>
      <c r="R251" s="71"/>
      <c r="S251" s="227"/>
      <c r="T251" s="71"/>
      <c r="U251" s="201"/>
      <c r="V251" s="71"/>
      <c r="W251" s="227"/>
      <c r="X251" s="71"/>
      <c r="Y251" s="201"/>
      <c r="Z251" s="71"/>
      <c r="AA251" s="227"/>
      <c r="AB251" s="71"/>
      <c r="AC251" s="201"/>
      <c r="AD251" s="71"/>
      <c r="AE251" s="227"/>
      <c r="AF251" s="71"/>
      <c r="AG251" s="201"/>
      <c r="AH251" s="71"/>
      <c r="AI251" s="227"/>
      <c r="AJ251" s="71"/>
      <c r="AK251" s="201"/>
      <c r="AL251" s="71"/>
      <c r="AM251" s="227"/>
      <c r="AN251" s="71"/>
      <c r="AO251" s="201"/>
      <c r="AP251" s="71"/>
      <c r="AQ251" s="227"/>
      <c r="AR251" s="71"/>
      <c r="AS251" s="227"/>
      <c r="AT251" s="228"/>
      <c r="AU251" s="227"/>
      <c r="AV251" s="228"/>
      <c r="AW251" s="227"/>
      <c r="AX251" s="229" t="n">
        <f aca="false">SUM(R251+T251+V251+X251+Z251+AB251+AD251+AF251+AH251+AJ251+AL251+AN251+AP251+AR251)</f>
        <v>0</v>
      </c>
      <c r="AY251" s="230" t="n">
        <f aca="false">SUM(AX251*1000)/48</f>
        <v>0</v>
      </c>
      <c r="AZ251" s="231" t="n">
        <f aca="false">IFERROR(VLOOKUP(A251,'Site check'!$A$14:$O$47,15,0),0)</f>
        <v>0</v>
      </c>
      <c r="BA251" s="232" t="n">
        <f aca="false">SUM(AZ251*1000)/48</f>
        <v>0</v>
      </c>
      <c r="BB251" s="90" t="n">
        <f aca="false">SUM(P251/2)+E251</f>
        <v>150</v>
      </c>
      <c r="BC251" s="90" t="n">
        <f aca="false">SUM(P251/2)+F251</f>
        <v>150</v>
      </c>
    </row>
    <row r="252" customFormat="false" ht="13.15" hidden="false" customHeight="false" outlineLevel="0" collapsed="false">
      <c r="A252" s="0" t="str">
        <f aca="false">[2]Sheet1!A252</f>
        <v>MCRN11_SEC_DD770_HJ01</v>
      </c>
      <c r="B252" s="0" t="str">
        <f aca="false">[2]Sheet1!B252</f>
        <v>MCRN11;DC SYS01a</v>
      </c>
      <c r="C252" s="44" t="str">
        <f aca="false">[2]Sheet1!C252</f>
        <v>MCRN11</v>
      </c>
      <c r="D252" s="44" t="s">
        <v>669</v>
      </c>
      <c r="E252" s="0" t="n">
        <f aca="false">[2]Sheet1!D252</f>
        <v>155</v>
      </c>
      <c r="F252" s="0" t="n">
        <f aca="false">[2]Sheet1!E252</f>
        <v>155</v>
      </c>
      <c r="G252" s="45" t="n">
        <f aca="false">[2]Sheet1!F252</f>
        <v>42948</v>
      </c>
      <c r="H252" s="0" t="n">
        <f aca="false">[2]Sheet1!G252</f>
        <v>300</v>
      </c>
      <c r="I252" s="0" t="n">
        <f aca="false">[2]Sheet1!H252</f>
        <v>300</v>
      </c>
      <c r="J252" s="0" t="n">
        <f aca="false">[2]Sheet1!I252</f>
        <v>2</v>
      </c>
      <c r="K252" s="0" t="n">
        <f aca="false">[2]Sheet1!J252</f>
        <v>0</v>
      </c>
      <c r="L252" s="0" t="n">
        <f aca="false">[2]Sheet1!K252</f>
        <v>0</v>
      </c>
      <c r="M252" s="0" t="n">
        <f aca="false">[2]Sheet1!L252</f>
        <v>15</v>
      </c>
      <c r="N252" s="0" t="n">
        <f aca="false">[2]Sheet1!M252</f>
        <v>6</v>
      </c>
      <c r="O252" s="0" t="n">
        <f aca="false">[2]Sheet1!N252</f>
        <v>0</v>
      </c>
      <c r="P252" s="226" t="n">
        <f aca="false">SUM(AY252+BA252)</f>
        <v>0</v>
      </c>
      <c r="Q252" s="201"/>
      <c r="R252" s="71"/>
      <c r="S252" s="227"/>
      <c r="T252" s="71"/>
      <c r="U252" s="201"/>
      <c r="V252" s="71"/>
      <c r="W252" s="227"/>
      <c r="X252" s="71"/>
      <c r="Y252" s="201"/>
      <c r="Z252" s="71"/>
      <c r="AA252" s="227"/>
      <c r="AB252" s="71"/>
      <c r="AC252" s="201"/>
      <c r="AD252" s="71"/>
      <c r="AE252" s="227"/>
      <c r="AF252" s="71"/>
      <c r="AG252" s="201"/>
      <c r="AH252" s="71"/>
      <c r="AI252" s="227"/>
      <c r="AJ252" s="71"/>
      <c r="AK252" s="201"/>
      <c r="AL252" s="71"/>
      <c r="AM252" s="227"/>
      <c r="AN252" s="71"/>
      <c r="AO252" s="201"/>
      <c r="AP252" s="71"/>
      <c r="AQ252" s="227"/>
      <c r="AR252" s="71"/>
      <c r="AS252" s="227"/>
      <c r="AT252" s="228"/>
      <c r="AU252" s="227"/>
      <c r="AV252" s="228"/>
      <c r="AW252" s="227"/>
      <c r="AX252" s="229" t="n">
        <f aca="false">SUM(R252+T252+V252+X252+Z252+AB252+AD252+AF252+AH252+AJ252+AL252+AN252+AP252+AR252)</f>
        <v>0</v>
      </c>
      <c r="AY252" s="230" t="n">
        <f aca="false">SUM(AX252*1000)/48</f>
        <v>0</v>
      </c>
      <c r="AZ252" s="231" t="n">
        <f aca="false">IFERROR(VLOOKUP(A252,'Site check'!$A$14:$O$47,15,0),0)</f>
        <v>0</v>
      </c>
      <c r="BA252" s="232" t="n">
        <f aca="false">SUM(AZ252*1000)/48</f>
        <v>0</v>
      </c>
      <c r="BB252" s="90" t="n">
        <f aca="false">SUM(P252/2)+E252</f>
        <v>155</v>
      </c>
      <c r="BC252" s="90" t="n">
        <f aca="false">SUM(P252/2)+F252</f>
        <v>155</v>
      </c>
    </row>
    <row r="253" customFormat="false" ht="13.15" hidden="false" customHeight="false" outlineLevel="0" collapsed="false">
      <c r="A253" s="0" t="str">
        <f aca="false">[2]Sheet1!A253</f>
        <v>MCRN11_SEC_DD770_HJ19</v>
      </c>
      <c r="B253" s="0" t="str">
        <f aca="false">[2]Sheet1!B253</f>
        <v>MCRN11;DC SYS01a</v>
      </c>
      <c r="C253" s="44" t="str">
        <f aca="false">[2]Sheet1!C253</f>
        <v>MCRN11</v>
      </c>
      <c r="D253" s="44" t="s">
        <v>669</v>
      </c>
      <c r="E253" s="0" t="n">
        <f aca="false">[2]Sheet1!D253</f>
        <v>165</v>
      </c>
      <c r="F253" s="0" t="n">
        <f aca="false">[2]Sheet1!E253</f>
        <v>145</v>
      </c>
      <c r="G253" s="45" t="n">
        <f aca="false">[2]Sheet1!F253</f>
        <v>42948</v>
      </c>
      <c r="H253" s="0" t="n">
        <f aca="false">[2]Sheet1!G253</f>
        <v>300</v>
      </c>
      <c r="I253" s="0" t="n">
        <f aca="false">[2]Sheet1!H253</f>
        <v>300</v>
      </c>
      <c r="J253" s="0" t="n">
        <f aca="false">[2]Sheet1!I253</f>
        <v>2</v>
      </c>
      <c r="K253" s="0" t="n">
        <f aca="false">[2]Sheet1!J253</f>
        <v>5</v>
      </c>
      <c r="L253" s="0" t="n">
        <f aca="false">[2]Sheet1!K253</f>
        <v>0</v>
      </c>
      <c r="M253" s="0" t="n">
        <f aca="false">[2]Sheet1!L253</f>
        <v>7</v>
      </c>
      <c r="N253" s="0" t="n">
        <f aca="false">[2]Sheet1!M253</f>
        <v>10</v>
      </c>
      <c r="O253" s="0" t="n">
        <f aca="false">[2]Sheet1!N253</f>
        <v>0</v>
      </c>
      <c r="P253" s="226" t="n">
        <f aca="false">SUM(AY253+BA253)</f>
        <v>83.3333333333333</v>
      </c>
      <c r="Q253" s="177" t="s">
        <v>1288</v>
      </c>
      <c r="R253" s="235" t="n">
        <v>2</v>
      </c>
      <c r="S253" s="177" t="s">
        <v>1289</v>
      </c>
      <c r="T253" s="235" t="n">
        <v>2</v>
      </c>
      <c r="U253" s="201"/>
      <c r="V253" s="71"/>
      <c r="W253" s="227"/>
      <c r="X253" s="71"/>
      <c r="Y253" s="201"/>
      <c r="Z253" s="71"/>
      <c r="AA253" s="227"/>
      <c r="AB253" s="71"/>
      <c r="AC253" s="201"/>
      <c r="AD253" s="71"/>
      <c r="AE253" s="227"/>
      <c r="AF253" s="71"/>
      <c r="AG253" s="201"/>
      <c r="AH253" s="71"/>
      <c r="AI253" s="227"/>
      <c r="AJ253" s="71"/>
      <c r="AK253" s="201"/>
      <c r="AL253" s="71"/>
      <c r="AM253" s="227"/>
      <c r="AN253" s="71"/>
      <c r="AO253" s="201"/>
      <c r="AP253" s="71"/>
      <c r="AQ253" s="227"/>
      <c r="AR253" s="71"/>
      <c r="AS253" s="227"/>
      <c r="AT253" s="228"/>
      <c r="AU253" s="227"/>
      <c r="AV253" s="228"/>
      <c r="AW253" s="227"/>
      <c r="AX253" s="229" t="n">
        <f aca="false">SUM(R253+T253+V253+X253+Z253+AB253+AD253+AF253+AH253+AJ253+AL253+AN253+AP253+AR253)</f>
        <v>4</v>
      </c>
      <c r="AY253" s="230" t="n">
        <f aca="false">SUM(AX253*1000)/48</f>
        <v>83.3333333333333</v>
      </c>
      <c r="AZ253" s="231" t="n">
        <f aca="false">IFERROR(VLOOKUP(A253,'Site check'!$A$14:$O$47,15,0),0)</f>
        <v>0</v>
      </c>
      <c r="BA253" s="232" t="n">
        <f aca="false">SUM(AZ253*1000)/48</f>
        <v>0</v>
      </c>
      <c r="BB253" s="90" t="n">
        <f aca="false">SUM(P253/2)+E253</f>
        <v>206.666666666667</v>
      </c>
      <c r="BC253" s="90" t="n">
        <f aca="false">SUM(P253/2)+F253</f>
        <v>186.666666666667</v>
      </c>
    </row>
    <row r="254" customFormat="false" ht="13.15" hidden="false" customHeight="false" outlineLevel="0" collapsed="false">
      <c r="A254" s="0" t="str">
        <f aca="false">[2]Sheet1!A254</f>
        <v>MCRN11_SEC_DD770_PQ01</v>
      </c>
      <c r="B254" s="0" t="str">
        <f aca="false">[2]Sheet1!B254</f>
        <v>MCRN11;DC SYS01a</v>
      </c>
      <c r="C254" s="44" t="str">
        <f aca="false">[2]Sheet1!C254</f>
        <v>MCRN11</v>
      </c>
      <c r="D254" s="44" t="s">
        <v>669</v>
      </c>
      <c r="E254" s="0" t="n">
        <f aca="false">[2]Sheet1!D254</f>
        <v>95</v>
      </c>
      <c r="F254" s="0" t="n">
        <f aca="false">[2]Sheet1!E254</f>
        <v>95</v>
      </c>
      <c r="G254" s="45" t="str">
        <f aca="false">[2]Sheet1!F254</f>
        <v>23.02.2017</v>
      </c>
      <c r="H254" s="0" t="n">
        <f aca="false">[2]Sheet1!G254</f>
        <v>300</v>
      </c>
      <c r="I254" s="0" t="n">
        <f aca="false">[2]Sheet1!H254</f>
        <v>300</v>
      </c>
      <c r="J254" s="0" t="n">
        <f aca="false">[2]Sheet1!I254</f>
        <v>0</v>
      </c>
      <c r="K254" s="0" t="n">
        <f aca="false">[2]Sheet1!J254</f>
        <v>0</v>
      </c>
      <c r="L254" s="0" t="n">
        <f aca="false">[2]Sheet1!K254</f>
        <v>0</v>
      </c>
      <c r="M254" s="0" t="n">
        <f aca="false">[2]Sheet1!L254</f>
        <v>12</v>
      </c>
      <c r="N254" s="0" t="n">
        <f aca="false">[2]Sheet1!M254</f>
        <v>9</v>
      </c>
      <c r="O254" s="0" t="n">
        <f aca="false">[2]Sheet1!N254</f>
        <v>0</v>
      </c>
      <c r="P254" s="226" t="n">
        <f aca="false">SUM(AY254+BA254)</f>
        <v>0</v>
      </c>
      <c r="Q254" s="201"/>
      <c r="R254" s="71"/>
      <c r="S254" s="227"/>
      <c r="T254" s="71"/>
      <c r="U254" s="201"/>
      <c r="V254" s="71"/>
      <c r="W254" s="227"/>
      <c r="X254" s="71"/>
      <c r="Y254" s="201"/>
      <c r="Z254" s="71"/>
      <c r="AA254" s="227"/>
      <c r="AB254" s="71"/>
      <c r="AC254" s="201"/>
      <c r="AD254" s="71"/>
      <c r="AE254" s="227"/>
      <c r="AF254" s="71"/>
      <c r="AG254" s="201"/>
      <c r="AH254" s="71"/>
      <c r="AI254" s="227"/>
      <c r="AJ254" s="71"/>
      <c r="AK254" s="201"/>
      <c r="AL254" s="71"/>
      <c r="AM254" s="227"/>
      <c r="AN254" s="71"/>
      <c r="AO254" s="201"/>
      <c r="AP254" s="71"/>
      <c r="AQ254" s="227"/>
      <c r="AR254" s="71"/>
      <c r="AS254" s="227"/>
      <c r="AT254" s="228"/>
      <c r="AU254" s="227"/>
      <c r="AV254" s="228"/>
      <c r="AW254" s="227"/>
      <c r="AX254" s="229" t="n">
        <f aca="false">SUM(R254+T254+V254+X254+Z254+AB254+AD254+AF254+AH254+AJ254+AL254+AN254+AP254+AR254)</f>
        <v>0</v>
      </c>
      <c r="AY254" s="230" t="n">
        <f aca="false">SUM(AX254*1000)/48</f>
        <v>0</v>
      </c>
      <c r="AZ254" s="231" t="n">
        <f aca="false">IFERROR(VLOOKUP(A254,'Site check'!$A$14:$O$47,15,0),0)</f>
        <v>0</v>
      </c>
      <c r="BA254" s="232" t="n">
        <f aca="false">SUM(AZ254*1000)/48</f>
        <v>0</v>
      </c>
      <c r="BB254" s="90" t="n">
        <f aca="false">SUM(P254/2)+E254</f>
        <v>95</v>
      </c>
      <c r="BC254" s="90" t="n">
        <f aca="false">SUM(P254/2)+F254</f>
        <v>95</v>
      </c>
    </row>
    <row r="255" customFormat="false" ht="13.15" hidden="false" customHeight="false" outlineLevel="0" collapsed="false">
      <c r="A255" s="0" t="str">
        <f aca="false">[2]Sheet1!A255</f>
        <v>MCRN12_PDU1A_B</v>
      </c>
      <c r="B255" s="0" t="str">
        <f aca="false">[2]Sheet1!B255</f>
        <v>MCRN12;DC SYS01 A</v>
      </c>
      <c r="C255" s="44" t="str">
        <f aca="false">[2]Sheet1!C255</f>
        <v>MCRN12</v>
      </c>
      <c r="D255" s="44" t="s">
        <v>671</v>
      </c>
      <c r="E255" s="0" t="n">
        <f aca="false">[2]Sheet1!D255</f>
        <v>223.5</v>
      </c>
      <c r="F255" s="0" t="n">
        <f aca="false">[2]Sheet1!E255</f>
        <v>247.52</v>
      </c>
      <c r="G255" s="45" t="n">
        <f aca="false">[2]Sheet1!F255</f>
        <v>45631</v>
      </c>
      <c r="H255" s="0" t="n">
        <f aca="false">[2]Sheet1!G255</f>
        <v>360</v>
      </c>
      <c r="I255" s="0" t="n">
        <f aca="false">[2]Sheet1!H255</f>
        <v>360</v>
      </c>
      <c r="J255" s="0" t="n">
        <f aca="false">[2]Sheet1!I255</f>
        <v>0</v>
      </c>
      <c r="K255" s="0" t="n">
        <f aca="false">[2]Sheet1!J255</f>
        <v>0</v>
      </c>
      <c r="L255" s="0" t="n">
        <f aca="false">[2]Sheet1!K255</f>
        <v>0</v>
      </c>
      <c r="M255" s="0" t="n">
        <f aca="false">[2]Sheet1!L255</f>
        <v>0</v>
      </c>
      <c r="N255" s="0" t="n">
        <f aca="false">[2]Sheet1!M255</f>
        <v>0</v>
      </c>
      <c r="O255" s="0" t="n">
        <f aca="false">[2]Sheet1!N255</f>
        <v>0</v>
      </c>
      <c r="P255" s="226" t="n">
        <f aca="false">SUM(AY255+BA255)</f>
        <v>243.75</v>
      </c>
      <c r="Q255" s="181" t="s">
        <v>1502</v>
      </c>
      <c r="R255" s="237" t="n">
        <v>4.6</v>
      </c>
      <c r="S255" s="170" t="s">
        <v>1291</v>
      </c>
      <c r="T255" s="234" t="n">
        <v>1.4</v>
      </c>
      <c r="U255" s="170"/>
      <c r="V255" s="234"/>
      <c r="W255" s="181" t="s">
        <v>1503</v>
      </c>
      <c r="X255" s="237" t="n">
        <v>0.9</v>
      </c>
      <c r="Y255" s="201" t="s">
        <v>1304</v>
      </c>
      <c r="Z255" s="71" t="n">
        <v>1.6</v>
      </c>
      <c r="AA255" s="201" t="s">
        <v>1305</v>
      </c>
      <c r="AB255" s="71" t="n">
        <v>1.6</v>
      </c>
      <c r="AC255" s="201" t="s">
        <v>1306</v>
      </c>
      <c r="AD255" s="71" t="n">
        <v>1.6</v>
      </c>
      <c r="AE255" s="173"/>
      <c r="AF255" s="174"/>
      <c r="AG255" s="181"/>
      <c r="AH255" s="175"/>
      <c r="AI255" s="181"/>
      <c r="AJ255" s="175"/>
      <c r="AK255" s="181"/>
      <c r="AL255" s="175"/>
      <c r="AM255" s="181"/>
      <c r="AN255" s="175"/>
      <c r="AO255" s="181"/>
      <c r="AP255" s="175"/>
      <c r="AQ255" s="181"/>
      <c r="AR255" s="171"/>
      <c r="AS255" s="170"/>
      <c r="AT255" s="171"/>
      <c r="AU255" s="181"/>
      <c r="AV255" s="175"/>
      <c r="AW255" s="227"/>
      <c r="AX255" s="229" t="n">
        <f aca="false">SUM(R255+T255+V255+X255+Z255+AB255+AD255+AF255+AH255+AJ255+AL255+AN255+AP255+AR255)</f>
        <v>11.7</v>
      </c>
      <c r="AY255" s="230" t="n">
        <f aca="false">SUM(AX255*1000)/48</f>
        <v>243.75</v>
      </c>
      <c r="AZ255" s="231" t="n">
        <f aca="false">IFERROR(VLOOKUP(A255,'Site check'!$A$14:$O$47,15,0),0)</f>
        <v>0</v>
      </c>
      <c r="BA255" s="232" t="n">
        <f aca="false">SUM(AZ255*1000)/48</f>
        <v>0</v>
      </c>
      <c r="BB255" s="90" t="n">
        <f aca="false">SUM(P255/2)+E255</f>
        <v>345.375</v>
      </c>
      <c r="BC255" s="90" t="n">
        <f aca="false">SUM(P255/2)+F255</f>
        <v>369.395</v>
      </c>
    </row>
    <row r="256" customFormat="false" ht="13.15" hidden="false" customHeight="false" outlineLevel="0" collapsed="false">
      <c r="A256" s="0" t="str">
        <f aca="false">[2]Sheet1!A256</f>
        <v>MCRN12_SEC_CBDB_ Q01_A Feed-Capped</v>
      </c>
      <c r="B256" s="0" t="str">
        <f aca="false">[2]Sheet1!B256</f>
        <v>MCRN12;DC SYS01 A</v>
      </c>
      <c r="C256" s="44" t="str">
        <f aca="false">[2]Sheet1!C256</f>
        <v>MCRN12</v>
      </c>
      <c r="D256" s="44" t="s">
        <v>671</v>
      </c>
      <c r="E256" s="0" t="n">
        <f aca="false">[2]Sheet1!D256</f>
        <v>55</v>
      </c>
      <c r="F256" s="0" t="n">
        <f aca="false">[2]Sheet1!E256</f>
        <v>55</v>
      </c>
      <c r="G256" s="45" t="n">
        <f aca="false">[2]Sheet1!F256</f>
        <v>44330</v>
      </c>
      <c r="H256" s="0" t="n">
        <f aca="false">[2]Sheet1!G256</f>
        <v>300</v>
      </c>
      <c r="I256" s="0" t="n">
        <f aca="false">[2]Sheet1!H256</f>
        <v>300</v>
      </c>
      <c r="J256" s="0" t="n">
        <f aca="false">[2]Sheet1!I256</f>
        <v>0</v>
      </c>
      <c r="K256" s="0" t="n">
        <f aca="false">[2]Sheet1!J256</f>
        <v>0</v>
      </c>
      <c r="L256" s="0" t="n">
        <f aca="false">[2]Sheet1!K256</f>
        <v>0</v>
      </c>
      <c r="M256" s="0" t="n">
        <f aca="false">[2]Sheet1!L256</f>
        <v>0</v>
      </c>
      <c r="N256" s="0" t="n">
        <f aca="false">[2]Sheet1!M256</f>
        <v>0</v>
      </c>
      <c r="O256" s="0" t="n">
        <f aca="false">[2]Sheet1!N256</f>
        <v>13</v>
      </c>
      <c r="P256" s="226" t="n">
        <f aca="false">SUM(AY256+BA256)</f>
        <v>0</v>
      </c>
      <c r="Q256" s="201"/>
      <c r="R256" s="71"/>
      <c r="S256" s="227"/>
      <c r="T256" s="71"/>
      <c r="U256" s="201"/>
      <c r="V256" s="71"/>
      <c r="W256" s="227"/>
      <c r="X256" s="71"/>
      <c r="Y256" s="201"/>
      <c r="Z256" s="71"/>
      <c r="AA256" s="227"/>
      <c r="AB256" s="71"/>
      <c r="AC256" s="201"/>
      <c r="AD256" s="71"/>
      <c r="AE256" s="227"/>
      <c r="AF256" s="71"/>
      <c r="AG256" s="201"/>
      <c r="AH256" s="71"/>
      <c r="AI256" s="227"/>
      <c r="AJ256" s="71"/>
      <c r="AK256" s="201"/>
      <c r="AL256" s="71"/>
      <c r="AM256" s="227"/>
      <c r="AN256" s="71"/>
      <c r="AO256" s="201"/>
      <c r="AP256" s="71"/>
      <c r="AQ256" s="227"/>
      <c r="AR256" s="71"/>
      <c r="AS256" s="227"/>
      <c r="AT256" s="228"/>
      <c r="AU256" s="227"/>
      <c r="AV256" s="228"/>
      <c r="AW256" s="227"/>
      <c r="AX256" s="229" t="n">
        <f aca="false">SUM(R256+T256+V256+X256+Z256+AB256+AD256+AF256+AH256+AJ256+AL256+AN256+AP256+AR256)</f>
        <v>0</v>
      </c>
      <c r="AY256" s="230" t="n">
        <f aca="false">SUM(AX256*1000)/48</f>
        <v>0</v>
      </c>
      <c r="AZ256" s="231" t="n">
        <f aca="false">IFERROR(VLOOKUP(A256,'Site check'!$A$14:$O$47,15,0),0)</f>
        <v>0</v>
      </c>
      <c r="BA256" s="232" t="n">
        <f aca="false">SUM(AZ256*1000)/48</f>
        <v>0</v>
      </c>
      <c r="BB256" s="90" t="n">
        <f aca="false">SUM(P256/2)+E256</f>
        <v>55</v>
      </c>
      <c r="BC256" s="90" t="n">
        <f aca="false">SUM(P256/2)+F256</f>
        <v>55</v>
      </c>
    </row>
    <row r="257" customFormat="false" ht="13.15" hidden="false" customHeight="false" outlineLevel="0" collapsed="false">
      <c r="A257" s="0" t="str">
        <f aca="false">[2]Sheet1!A257</f>
        <v>MCRN12_SEC_CBDB_ R01_B Feed-Capped</v>
      </c>
      <c r="B257" s="0" t="str">
        <f aca="false">[2]Sheet1!B257</f>
        <v>MCRN12;DC SYS01 A</v>
      </c>
      <c r="C257" s="44" t="str">
        <f aca="false">[2]Sheet1!C257</f>
        <v>MCRN12</v>
      </c>
      <c r="D257" s="44" t="s">
        <v>671</v>
      </c>
      <c r="E257" s="0" t="n">
        <f aca="false">[2]Sheet1!D257</f>
        <v>55</v>
      </c>
      <c r="F257" s="0" t="n">
        <f aca="false">[2]Sheet1!E257</f>
        <v>55</v>
      </c>
      <c r="G257" s="45" t="n">
        <f aca="false">[2]Sheet1!F257</f>
        <v>44331</v>
      </c>
      <c r="H257" s="0" t="n">
        <f aca="false">[2]Sheet1!G257</f>
        <v>300</v>
      </c>
      <c r="I257" s="0" t="n">
        <f aca="false">[2]Sheet1!H257</f>
        <v>300</v>
      </c>
      <c r="J257" s="0" t="n">
        <f aca="false">[2]Sheet1!I257</f>
        <v>0</v>
      </c>
      <c r="K257" s="0" t="n">
        <f aca="false">[2]Sheet1!J257</f>
        <v>0</v>
      </c>
      <c r="L257" s="0" t="n">
        <f aca="false">[2]Sheet1!K257</f>
        <v>0</v>
      </c>
      <c r="M257" s="0" t="n">
        <f aca="false">[2]Sheet1!L257</f>
        <v>0</v>
      </c>
      <c r="N257" s="0" t="n">
        <f aca="false">[2]Sheet1!M257</f>
        <v>0</v>
      </c>
      <c r="O257" s="0" t="n">
        <f aca="false">[2]Sheet1!N257</f>
        <v>13</v>
      </c>
      <c r="P257" s="226" t="n">
        <f aca="false">SUM(AY257+BA257)</f>
        <v>0</v>
      </c>
      <c r="Q257" s="201"/>
      <c r="R257" s="71"/>
      <c r="S257" s="227"/>
      <c r="T257" s="71"/>
      <c r="U257" s="201"/>
      <c r="V257" s="71"/>
      <c r="W257" s="227"/>
      <c r="X257" s="71"/>
      <c r="Y257" s="201"/>
      <c r="Z257" s="71"/>
      <c r="AA257" s="227"/>
      <c r="AB257" s="71"/>
      <c r="AC257" s="201"/>
      <c r="AD257" s="71"/>
      <c r="AE257" s="227"/>
      <c r="AF257" s="71"/>
      <c r="AG257" s="201"/>
      <c r="AH257" s="71"/>
      <c r="AI257" s="227"/>
      <c r="AJ257" s="71"/>
      <c r="AK257" s="201"/>
      <c r="AL257" s="71"/>
      <c r="AM257" s="227"/>
      <c r="AN257" s="71"/>
      <c r="AO257" s="201"/>
      <c r="AP257" s="71"/>
      <c r="AQ257" s="227"/>
      <c r="AR257" s="71"/>
      <c r="AS257" s="227"/>
      <c r="AT257" s="228"/>
      <c r="AU257" s="227"/>
      <c r="AV257" s="228"/>
      <c r="AW257" s="227"/>
      <c r="AX257" s="229" t="n">
        <f aca="false">SUM(R257+T257+V257+X257+Z257+AB257+AD257+AF257+AH257+AJ257+AL257+AN257+AP257+AR257)</f>
        <v>0</v>
      </c>
      <c r="AY257" s="230" t="n">
        <f aca="false">SUM(AX257*1000)/48</f>
        <v>0</v>
      </c>
      <c r="AZ257" s="231" t="n">
        <f aca="false">IFERROR(VLOOKUP(A257,'Site check'!$A$14:$O$47,15,0),0)</f>
        <v>0</v>
      </c>
      <c r="BA257" s="232" t="n">
        <f aca="false">SUM(AZ257*1000)/48</f>
        <v>0</v>
      </c>
      <c r="BB257" s="90" t="n">
        <f aca="false">SUM(P257/2)+E257</f>
        <v>55</v>
      </c>
      <c r="BC257" s="90" t="n">
        <f aca="false">SUM(P257/2)+F257</f>
        <v>55</v>
      </c>
    </row>
    <row r="258" customFormat="false" ht="13.15" hidden="false" customHeight="false" outlineLevel="0" collapsed="false">
      <c r="A258" s="0" t="str">
        <f aca="false">[2]Sheet1!A258</f>
        <v>MCRN12_SEC_CBDB_ALAM01</v>
      </c>
      <c r="B258" s="0" t="str">
        <f aca="false">[2]Sheet1!B258</f>
        <v>MCRN12;DC SYS01 A</v>
      </c>
      <c r="C258" s="44" t="str">
        <f aca="false">[2]Sheet1!C258</f>
        <v>MCRN12</v>
      </c>
      <c r="D258" s="44" t="s">
        <v>671</v>
      </c>
      <c r="E258" s="0" t="n">
        <f aca="false">[2]Sheet1!D258</f>
        <v>245</v>
      </c>
      <c r="F258" s="0" t="n">
        <f aca="false">[2]Sheet1!E258</f>
        <v>245</v>
      </c>
      <c r="G258" s="45" t="n">
        <f aca="false">[2]Sheet1!F258</f>
        <v>44330</v>
      </c>
      <c r="H258" s="0" t="n">
        <f aca="false">[2]Sheet1!G258</f>
        <v>300</v>
      </c>
      <c r="I258" s="0" t="n">
        <f aca="false">[2]Sheet1!H258</f>
        <v>300</v>
      </c>
      <c r="J258" s="0" t="n">
        <f aca="false">[2]Sheet1!I258</f>
        <v>0</v>
      </c>
      <c r="K258" s="0" t="n">
        <f aca="false">[2]Sheet1!J258</f>
        <v>0</v>
      </c>
      <c r="L258" s="0" t="n">
        <f aca="false">[2]Sheet1!K258</f>
        <v>0</v>
      </c>
      <c r="M258" s="0" t="n">
        <f aca="false">[2]Sheet1!L258</f>
        <v>0</v>
      </c>
      <c r="N258" s="0" t="n">
        <f aca="false">[2]Sheet1!M258</f>
        <v>0</v>
      </c>
      <c r="O258" s="0" t="n">
        <f aca="false">[2]Sheet1!N258</f>
        <v>1</v>
      </c>
      <c r="P258" s="226" t="n">
        <f aca="false">SUM(AY258+BA258)</f>
        <v>0</v>
      </c>
      <c r="Q258" s="201"/>
      <c r="R258" s="71"/>
      <c r="S258" s="227"/>
      <c r="T258" s="71"/>
      <c r="U258" s="201"/>
      <c r="V258" s="71"/>
      <c r="W258" s="227"/>
      <c r="X258" s="71"/>
      <c r="Y258" s="201"/>
      <c r="Z258" s="71"/>
      <c r="AA258" s="227"/>
      <c r="AB258" s="71"/>
      <c r="AC258" s="201"/>
      <c r="AD258" s="71"/>
      <c r="AE258" s="227"/>
      <c r="AF258" s="71"/>
      <c r="AG258" s="201"/>
      <c r="AH258" s="71"/>
      <c r="AI258" s="227"/>
      <c r="AJ258" s="71"/>
      <c r="AK258" s="201"/>
      <c r="AL258" s="71"/>
      <c r="AM258" s="227"/>
      <c r="AN258" s="71"/>
      <c r="AO258" s="201"/>
      <c r="AP258" s="71"/>
      <c r="AQ258" s="227"/>
      <c r="AR258" s="71"/>
      <c r="AS258" s="227"/>
      <c r="AT258" s="228"/>
      <c r="AU258" s="227"/>
      <c r="AV258" s="228"/>
      <c r="AW258" s="227"/>
      <c r="AX258" s="229" t="n">
        <f aca="false">SUM(R258+T258+V258+X258+Z258+AB258+AD258+AF258+AH258+AJ258+AL258+AN258+AP258+AR258)</f>
        <v>0</v>
      </c>
      <c r="AY258" s="230" t="n">
        <f aca="false">SUM(AX258*1000)/48</f>
        <v>0</v>
      </c>
      <c r="AZ258" s="231" t="n">
        <f aca="false">IFERROR(VLOOKUP(A258,'Site check'!$A$14:$O$47,15,0),0)</f>
        <v>0</v>
      </c>
      <c r="BA258" s="232" t="n">
        <f aca="false">SUM(AZ258*1000)/48</f>
        <v>0</v>
      </c>
      <c r="BB258" s="90" t="n">
        <f aca="false">SUM(P258/2)+E258</f>
        <v>245</v>
      </c>
      <c r="BC258" s="90" t="n">
        <f aca="false">SUM(P258/2)+F258</f>
        <v>245</v>
      </c>
    </row>
    <row r="259" customFormat="false" ht="13.15" hidden="false" customHeight="false" outlineLevel="0" collapsed="false">
      <c r="A259" s="0" t="str">
        <f aca="false">[2]Sheet1!A259</f>
        <v>MCRN12_SEC_DD770_ACAD01</v>
      </c>
      <c r="B259" s="0" t="str">
        <f aca="false">[2]Sheet1!B259</f>
        <v>MCRN12;DC SYS01 A</v>
      </c>
      <c r="C259" s="44" t="str">
        <f aca="false">[2]Sheet1!C259</f>
        <v>MCRN12</v>
      </c>
      <c r="D259" s="44" t="s">
        <v>671</v>
      </c>
      <c r="E259" s="0" t="n">
        <f aca="false">[2]Sheet1!D259</f>
        <v>135</v>
      </c>
      <c r="F259" s="0" t="n">
        <f aca="false">[2]Sheet1!E259</f>
        <v>145</v>
      </c>
      <c r="G259" s="45" t="n">
        <f aca="false">[2]Sheet1!F259</f>
        <v>44330</v>
      </c>
      <c r="H259" s="0" t="n">
        <f aca="false">[2]Sheet1!G259</f>
        <v>300</v>
      </c>
      <c r="I259" s="0" t="n">
        <f aca="false">[2]Sheet1!H259</f>
        <v>300</v>
      </c>
      <c r="J259" s="0" t="n">
        <f aca="false">[2]Sheet1!I259</f>
        <v>4</v>
      </c>
      <c r="K259" s="0" t="n">
        <f aca="false">[2]Sheet1!J259</f>
        <v>0</v>
      </c>
      <c r="L259" s="0" t="n">
        <f aca="false">[2]Sheet1!K259</f>
        <v>0</v>
      </c>
      <c r="M259" s="0" t="n">
        <f aca="false">[2]Sheet1!L259</f>
        <v>3</v>
      </c>
      <c r="N259" s="0" t="n">
        <f aca="false">[2]Sheet1!M259</f>
        <v>12</v>
      </c>
      <c r="O259" s="0" t="n">
        <f aca="false">[2]Sheet1!N259</f>
        <v>0</v>
      </c>
      <c r="P259" s="226" t="n">
        <f aca="false">SUM(AY259+BA259)</f>
        <v>0</v>
      </c>
      <c r="Q259" s="201"/>
      <c r="R259" s="71"/>
      <c r="S259" s="227"/>
      <c r="T259" s="71"/>
      <c r="U259" s="201"/>
      <c r="V259" s="71"/>
      <c r="W259" s="227"/>
      <c r="X259" s="71"/>
      <c r="Y259" s="201"/>
      <c r="Z259" s="71"/>
      <c r="AA259" s="227"/>
      <c r="AB259" s="71"/>
      <c r="AC259" s="201"/>
      <c r="AD259" s="71"/>
      <c r="AE259" s="227"/>
      <c r="AF259" s="71"/>
      <c r="AG259" s="201"/>
      <c r="AH259" s="71"/>
      <c r="AI259" s="227"/>
      <c r="AJ259" s="71"/>
      <c r="AK259" s="201"/>
      <c r="AL259" s="71"/>
      <c r="AM259" s="227"/>
      <c r="AN259" s="71"/>
      <c r="AO259" s="201"/>
      <c r="AP259" s="71"/>
      <c r="AQ259" s="227"/>
      <c r="AR259" s="71"/>
      <c r="AS259" s="227"/>
      <c r="AT259" s="228"/>
      <c r="AU259" s="227"/>
      <c r="AV259" s="228"/>
      <c r="AW259" s="227"/>
      <c r="AX259" s="229" t="n">
        <f aca="false">SUM(R259+T259+V259+X259+Z259+AB259+AD259+AF259+AH259+AJ259+AL259+AN259+AP259+AR259)</f>
        <v>0</v>
      </c>
      <c r="AY259" s="230" t="n">
        <f aca="false">SUM(AX259*1000)/48</f>
        <v>0</v>
      </c>
      <c r="AZ259" s="231" t="n">
        <f aca="false">IFERROR(VLOOKUP(A259,'Site check'!$A$14:$O$47,15,0),0)</f>
        <v>0</v>
      </c>
      <c r="BA259" s="232" t="n">
        <f aca="false">SUM(AZ259*1000)/48</f>
        <v>0</v>
      </c>
      <c r="BB259" s="90" t="n">
        <f aca="false">SUM(P259/2)+E259</f>
        <v>135</v>
      </c>
      <c r="BC259" s="90" t="n">
        <f aca="false">SUM(P259/2)+F259</f>
        <v>145</v>
      </c>
    </row>
    <row r="260" customFormat="false" ht="13.15" hidden="false" customHeight="false" outlineLevel="0" collapsed="false">
      <c r="A260" s="0" t="str">
        <f aca="false">[2]Sheet1!A260</f>
        <v>MCRN12_SEC_DD770_AEAF01</v>
      </c>
      <c r="B260" s="0" t="str">
        <f aca="false">[2]Sheet1!B260</f>
        <v>MCRN12;DC SYS01 A</v>
      </c>
      <c r="C260" s="44" t="str">
        <f aca="false">[2]Sheet1!C260</f>
        <v>MCRN12</v>
      </c>
      <c r="D260" s="44" t="s">
        <v>671</v>
      </c>
      <c r="E260" s="0" t="n">
        <f aca="false">[2]Sheet1!D260</f>
        <v>140</v>
      </c>
      <c r="F260" s="0" t="n">
        <f aca="false">[2]Sheet1!E260</f>
        <v>140</v>
      </c>
      <c r="G260" s="45" t="n">
        <f aca="false">[2]Sheet1!F260</f>
        <v>44330</v>
      </c>
      <c r="H260" s="0" t="n">
        <f aca="false">[2]Sheet1!G260</f>
        <v>300</v>
      </c>
      <c r="I260" s="0" t="n">
        <f aca="false">[2]Sheet1!H260</f>
        <v>300</v>
      </c>
      <c r="J260" s="0" t="n">
        <f aca="false">[2]Sheet1!I260</f>
        <v>1</v>
      </c>
      <c r="K260" s="0" t="n">
        <f aca="false">[2]Sheet1!J260</f>
        <v>0</v>
      </c>
      <c r="L260" s="0" t="n">
        <f aca="false">[2]Sheet1!K260</f>
        <v>0</v>
      </c>
      <c r="M260" s="0" t="n">
        <f aca="false">[2]Sheet1!L260</f>
        <v>13</v>
      </c>
      <c r="N260" s="0" t="n">
        <f aca="false">[2]Sheet1!M260</f>
        <v>12</v>
      </c>
      <c r="O260" s="0" t="n">
        <f aca="false">[2]Sheet1!N260</f>
        <v>0</v>
      </c>
      <c r="P260" s="226" t="n">
        <f aca="false">SUM(AY260+BA260)</f>
        <v>0</v>
      </c>
      <c r="Q260" s="201"/>
      <c r="R260" s="71"/>
      <c r="S260" s="227"/>
      <c r="T260" s="71"/>
      <c r="U260" s="201"/>
      <c r="V260" s="71"/>
      <c r="W260" s="227"/>
      <c r="X260" s="71"/>
      <c r="Y260" s="201"/>
      <c r="Z260" s="71"/>
      <c r="AA260" s="227"/>
      <c r="AB260" s="71"/>
      <c r="AC260" s="201"/>
      <c r="AD260" s="71"/>
      <c r="AE260" s="227"/>
      <c r="AF260" s="71"/>
      <c r="AG260" s="201"/>
      <c r="AH260" s="71"/>
      <c r="AI260" s="227"/>
      <c r="AJ260" s="71"/>
      <c r="AK260" s="201"/>
      <c r="AL260" s="71"/>
      <c r="AM260" s="227"/>
      <c r="AN260" s="71"/>
      <c r="AO260" s="201"/>
      <c r="AP260" s="71"/>
      <c r="AQ260" s="227"/>
      <c r="AR260" s="71"/>
      <c r="AS260" s="227"/>
      <c r="AT260" s="228"/>
      <c r="AU260" s="227"/>
      <c r="AV260" s="228"/>
      <c r="AW260" s="227"/>
      <c r="AX260" s="229" t="n">
        <f aca="false">SUM(R260+T260+V260+X260+Z260+AB260+AD260+AF260+AH260+AJ260+AL260+AN260+AP260+AR260)</f>
        <v>0</v>
      </c>
      <c r="AY260" s="230" t="n">
        <f aca="false">SUM(AX260*1000)/48</f>
        <v>0</v>
      </c>
      <c r="AZ260" s="231" t="n">
        <f aca="false">IFERROR(VLOOKUP(A260,'Site check'!$A$14:$O$47,15,0),0)</f>
        <v>0</v>
      </c>
      <c r="BA260" s="232" t="n">
        <f aca="false">SUM(AZ260*1000)/48</f>
        <v>0</v>
      </c>
      <c r="BB260" s="90" t="n">
        <f aca="false">SUM(P260/2)+E260</f>
        <v>140</v>
      </c>
      <c r="BC260" s="90" t="n">
        <f aca="false">SUM(P260/2)+F260</f>
        <v>140</v>
      </c>
    </row>
    <row r="261" customFormat="false" ht="13.15" hidden="false" customHeight="false" outlineLevel="0" collapsed="false">
      <c r="A261" s="0" t="str">
        <f aca="false">[2]Sheet1!A261</f>
        <v>MCRN12_SEC_DD770_CD01</v>
      </c>
      <c r="B261" s="0" t="str">
        <f aca="false">[2]Sheet1!B261</f>
        <v>MCRN12;DC SYS01 A</v>
      </c>
      <c r="C261" s="44" t="str">
        <f aca="false">[2]Sheet1!C261</f>
        <v>MCRN12</v>
      </c>
      <c r="D261" s="44" t="s">
        <v>671</v>
      </c>
      <c r="E261" s="0" t="n">
        <f aca="false">[2]Sheet1!D261</f>
        <v>142</v>
      </c>
      <c r="F261" s="0" t="n">
        <f aca="false">[2]Sheet1!E261</f>
        <v>121</v>
      </c>
      <c r="G261" s="45" t="n">
        <f aca="false">[2]Sheet1!F261</f>
        <v>44937</v>
      </c>
      <c r="H261" s="0" t="n">
        <f aca="false">[2]Sheet1!G261</f>
        <v>300</v>
      </c>
      <c r="I261" s="0" t="n">
        <f aca="false">[2]Sheet1!H261</f>
        <v>300</v>
      </c>
      <c r="J261" s="0" t="n">
        <f aca="false">[2]Sheet1!I261</f>
        <v>6</v>
      </c>
      <c r="K261" s="0" t="n">
        <f aca="false">[2]Sheet1!J261</f>
        <v>6</v>
      </c>
      <c r="L261" s="0" t="n">
        <f aca="false">[2]Sheet1!K261</f>
        <v>1</v>
      </c>
      <c r="M261" s="0" t="n">
        <f aca="false">[2]Sheet1!L261</f>
        <v>1</v>
      </c>
      <c r="N261" s="0" t="n">
        <f aca="false">[2]Sheet1!M261</f>
        <v>7</v>
      </c>
      <c r="O261" s="0" t="n">
        <f aca="false">[2]Sheet1!N261</f>
        <v>0</v>
      </c>
      <c r="P261" s="226" t="n">
        <f aca="false">SUM(AY261+BA261)</f>
        <v>0</v>
      </c>
      <c r="Q261" s="201"/>
      <c r="R261" s="71"/>
      <c r="S261" s="227"/>
      <c r="T261" s="71"/>
      <c r="U261" s="201"/>
      <c r="V261" s="71"/>
      <c r="W261" s="227"/>
      <c r="X261" s="71"/>
      <c r="Y261" s="201"/>
      <c r="Z261" s="71"/>
      <c r="AA261" s="227"/>
      <c r="AB261" s="71"/>
      <c r="AC261" s="201"/>
      <c r="AD261" s="71"/>
      <c r="AE261" s="227"/>
      <c r="AF261" s="71"/>
      <c r="AG261" s="201"/>
      <c r="AH261" s="71"/>
      <c r="AI261" s="227"/>
      <c r="AJ261" s="71"/>
      <c r="AK261" s="201"/>
      <c r="AL261" s="71"/>
      <c r="AM261" s="227"/>
      <c r="AN261" s="71"/>
      <c r="AO261" s="201"/>
      <c r="AP261" s="71"/>
      <c r="AQ261" s="227"/>
      <c r="AR261" s="71"/>
      <c r="AS261" s="227"/>
      <c r="AT261" s="228"/>
      <c r="AU261" s="227"/>
      <c r="AV261" s="228"/>
      <c r="AW261" s="227"/>
      <c r="AX261" s="229" t="n">
        <f aca="false">SUM(R261+T261+V261+X261+Z261+AB261+AD261+AF261+AH261+AJ261+AL261+AN261+AP261+AR261)</f>
        <v>0</v>
      </c>
      <c r="AY261" s="230" t="n">
        <f aca="false">SUM(AX261*1000)/48</f>
        <v>0</v>
      </c>
      <c r="AZ261" s="231" t="n">
        <f aca="false">IFERROR(VLOOKUP(A261,'Site check'!$A$14:$O$47,15,0),0)</f>
        <v>0</v>
      </c>
      <c r="BA261" s="232" t="n">
        <f aca="false">SUM(AZ261*1000)/48</f>
        <v>0</v>
      </c>
      <c r="BB261" s="90" t="n">
        <f aca="false">SUM(P261/2)+E261</f>
        <v>142</v>
      </c>
      <c r="BC261" s="90" t="n">
        <f aca="false">SUM(P261/2)+F261</f>
        <v>121</v>
      </c>
    </row>
    <row r="262" customFormat="false" ht="13.15" hidden="false" customHeight="false" outlineLevel="0" collapsed="false">
      <c r="A262" s="0" t="str">
        <f aca="false">[2]Sheet1!A262</f>
        <v>MCRN12_SEC_DD770_EF01</v>
      </c>
      <c r="B262" s="0" t="str">
        <f aca="false">[2]Sheet1!B262</f>
        <v>MCRN12;DC SYS01 A</v>
      </c>
      <c r="C262" s="44" t="str">
        <f aca="false">[2]Sheet1!C262</f>
        <v>MCRN12</v>
      </c>
      <c r="D262" s="44" t="s">
        <v>671</v>
      </c>
      <c r="E262" s="0" t="n">
        <f aca="false">[2]Sheet1!D262</f>
        <v>95</v>
      </c>
      <c r="F262" s="0" t="n">
        <f aca="false">[2]Sheet1!E262</f>
        <v>85</v>
      </c>
      <c r="G262" s="45" t="n">
        <f aca="false">[2]Sheet1!F262</f>
        <v>44330</v>
      </c>
      <c r="H262" s="0" t="n">
        <f aca="false">[2]Sheet1!G262</f>
        <v>300</v>
      </c>
      <c r="I262" s="0" t="n">
        <f aca="false">[2]Sheet1!H262</f>
        <v>300</v>
      </c>
      <c r="J262" s="0" t="n">
        <f aca="false">[2]Sheet1!I262</f>
        <v>6</v>
      </c>
      <c r="K262" s="0" t="n">
        <f aca="false">[2]Sheet1!J262</f>
        <v>1</v>
      </c>
      <c r="L262" s="0" t="n">
        <f aca="false">[2]Sheet1!K262</f>
        <v>6</v>
      </c>
      <c r="M262" s="0" t="n">
        <f aca="false">[2]Sheet1!L262</f>
        <v>13</v>
      </c>
      <c r="N262" s="0" t="n">
        <f aca="false">[2]Sheet1!M262</f>
        <v>10</v>
      </c>
      <c r="O262" s="0" t="n">
        <f aca="false">[2]Sheet1!N262</f>
        <v>0</v>
      </c>
      <c r="P262" s="226" t="n">
        <f aca="false">SUM(AY262+BA262)</f>
        <v>0</v>
      </c>
      <c r="Q262" s="201"/>
      <c r="R262" s="71"/>
      <c r="S262" s="227"/>
      <c r="T262" s="71"/>
      <c r="U262" s="201"/>
      <c r="V262" s="71"/>
      <c r="W262" s="227"/>
      <c r="X262" s="71"/>
      <c r="Y262" s="201"/>
      <c r="Z262" s="71"/>
      <c r="AA262" s="227"/>
      <c r="AB262" s="71"/>
      <c r="AC262" s="201"/>
      <c r="AD262" s="71"/>
      <c r="AE262" s="227"/>
      <c r="AF262" s="71"/>
      <c r="AG262" s="201"/>
      <c r="AH262" s="71"/>
      <c r="AI262" s="227"/>
      <c r="AJ262" s="71"/>
      <c r="AK262" s="201"/>
      <c r="AL262" s="71"/>
      <c r="AM262" s="227"/>
      <c r="AN262" s="71"/>
      <c r="AO262" s="201"/>
      <c r="AP262" s="71"/>
      <c r="AQ262" s="227"/>
      <c r="AR262" s="71"/>
      <c r="AS262" s="227"/>
      <c r="AT262" s="228"/>
      <c r="AU262" s="227"/>
      <c r="AV262" s="228"/>
      <c r="AW262" s="227"/>
      <c r="AX262" s="229" t="n">
        <f aca="false">SUM(R262+T262+V262+X262+Z262+AB262+AD262+AF262+AH262+AJ262+AL262+AN262+AP262+AR262)</f>
        <v>0</v>
      </c>
      <c r="AY262" s="230" t="n">
        <f aca="false">SUM(AX262*1000)/48</f>
        <v>0</v>
      </c>
      <c r="AZ262" s="231" t="n">
        <f aca="false">IFERROR(VLOOKUP(A262,'Site check'!$A$14:$O$47,15,0),0)</f>
        <v>0</v>
      </c>
      <c r="BA262" s="232" t="n">
        <f aca="false">SUM(AZ262*1000)/48</f>
        <v>0</v>
      </c>
      <c r="BB262" s="90" t="n">
        <f aca="false">SUM(P262/2)+E262</f>
        <v>95</v>
      </c>
      <c r="BC262" s="90" t="n">
        <f aca="false">SUM(P262/2)+F262</f>
        <v>85</v>
      </c>
    </row>
    <row r="263" customFormat="false" ht="13.15" hidden="false" customHeight="false" outlineLevel="0" collapsed="false">
      <c r="A263" s="0" t="str">
        <f aca="false">[2]Sheet1!A263</f>
        <v>MCRN12_SEC_DD770_GH01</v>
      </c>
      <c r="B263" s="0" t="str">
        <f aca="false">[2]Sheet1!B263</f>
        <v>MCRN12;DC SYS01 A</v>
      </c>
      <c r="C263" s="44" t="str">
        <f aca="false">[2]Sheet1!C263</f>
        <v>MCRN12</v>
      </c>
      <c r="D263" s="44" t="s">
        <v>671</v>
      </c>
      <c r="E263" s="0" t="n">
        <f aca="false">[2]Sheet1!D263</f>
        <v>105</v>
      </c>
      <c r="F263" s="0" t="n">
        <f aca="false">[2]Sheet1!E263</f>
        <v>95</v>
      </c>
      <c r="G263" s="45" t="n">
        <f aca="false">[2]Sheet1!F263</f>
        <v>44330</v>
      </c>
      <c r="H263" s="0" t="n">
        <f aca="false">[2]Sheet1!G263</f>
        <v>300</v>
      </c>
      <c r="I263" s="0" t="n">
        <f aca="false">[2]Sheet1!H263</f>
        <v>300</v>
      </c>
      <c r="J263" s="0" t="n">
        <f aca="false">[2]Sheet1!I263</f>
        <v>5</v>
      </c>
      <c r="K263" s="0" t="n">
        <f aca="false">[2]Sheet1!J263</f>
        <v>0</v>
      </c>
      <c r="L263" s="0" t="n">
        <f aca="false">[2]Sheet1!K263</f>
        <v>0</v>
      </c>
      <c r="M263" s="0" t="n">
        <f aca="false">[2]Sheet1!L263</f>
        <v>16</v>
      </c>
      <c r="N263" s="0" t="n">
        <f aca="false">[2]Sheet1!M263</f>
        <v>5</v>
      </c>
      <c r="O263" s="0" t="n">
        <f aca="false">[2]Sheet1!N263</f>
        <v>0</v>
      </c>
      <c r="P263" s="226" t="n">
        <f aca="false">SUM(AY263+BA263)</f>
        <v>0</v>
      </c>
      <c r="Q263" s="201"/>
      <c r="R263" s="71"/>
      <c r="S263" s="227"/>
      <c r="T263" s="71"/>
      <c r="U263" s="201"/>
      <c r="V263" s="71"/>
      <c r="W263" s="227"/>
      <c r="X263" s="71"/>
      <c r="Y263" s="201"/>
      <c r="Z263" s="71"/>
      <c r="AA263" s="227"/>
      <c r="AB263" s="71"/>
      <c r="AC263" s="201"/>
      <c r="AD263" s="71"/>
      <c r="AE263" s="227"/>
      <c r="AF263" s="71"/>
      <c r="AG263" s="201"/>
      <c r="AH263" s="71"/>
      <c r="AI263" s="227"/>
      <c r="AJ263" s="71"/>
      <c r="AK263" s="201"/>
      <c r="AL263" s="71"/>
      <c r="AM263" s="227"/>
      <c r="AN263" s="71"/>
      <c r="AO263" s="201"/>
      <c r="AP263" s="71"/>
      <c r="AQ263" s="227"/>
      <c r="AR263" s="71"/>
      <c r="AS263" s="227"/>
      <c r="AT263" s="228"/>
      <c r="AU263" s="227"/>
      <c r="AV263" s="228"/>
      <c r="AW263" s="227"/>
      <c r="AX263" s="229" t="n">
        <f aca="false">SUM(R263+T263+V263+X263+Z263+AB263+AD263+AF263+AH263+AJ263+AL263+AN263+AP263+AR263)</f>
        <v>0</v>
      </c>
      <c r="AY263" s="230" t="n">
        <f aca="false">SUM(AX263*1000)/48</f>
        <v>0</v>
      </c>
      <c r="AZ263" s="231" t="n">
        <f aca="false">IFERROR(VLOOKUP(A263,'Site check'!$A$14:$O$47,15,0),0)</f>
        <v>0</v>
      </c>
      <c r="BA263" s="232" t="n">
        <f aca="false">SUM(AZ263*1000)/48</f>
        <v>0</v>
      </c>
      <c r="BB263" s="90" t="n">
        <f aca="false">SUM(P263/2)+E263</f>
        <v>105</v>
      </c>
      <c r="BC263" s="90" t="n">
        <f aca="false">SUM(P263/2)+F263</f>
        <v>95</v>
      </c>
    </row>
    <row r="264" customFormat="false" ht="13.15" hidden="false" customHeight="false" outlineLevel="0" collapsed="false">
      <c r="A264" s="0" t="str">
        <f aca="false">[2]Sheet1!A264</f>
        <v>MCRN12_SEC_DD770_JK01</v>
      </c>
      <c r="B264" s="0" t="str">
        <f aca="false">[2]Sheet1!B264</f>
        <v>MCRN12;DC SYS01 A</v>
      </c>
      <c r="C264" s="44" t="str">
        <f aca="false">[2]Sheet1!C264</f>
        <v>MCRN12</v>
      </c>
      <c r="D264" s="44" t="s">
        <v>671</v>
      </c>
      <c r="E264" s="0" t="n">
        <f aca="false">[2]Sheet1!D264</f>
        <v>90</v>
      </c>
      <c r="F264" s="0" t="n">
        <f aca="false">[2]Sheet1!E264</f>
        <v>90</v>
      </c>
      <c r="G264" s="45" t="n">
        <f aca="false">[2]Sheet1!F264</f>
        <v>44330</v>
      </c>
      <c r="H264" s="0" t="n">
        <f aca="false">[2]Sheet1!G264</f>
        <v>300</v>
      </c>
      <c r="I264" s="0" t="n">
        <f aca="false">[2]Sheet1!H264</f>
        <v>300</v>
      </c>
      <c r="J264" s="0" t="n">
        <f aca="false">[2]Sheet1!I264</f>
        <v>2</v>
      </c>
      <c r="K264" s="0" t="n">
        <f aca="false">[2]Sheet1!J264</f>
        <v>0</v>
      </c>
      <c r="L264" s="0" t="n">
        <f aca="false">[2]Sheet1!K264</f>
        <v>2</v>
      </c>
      <c r="M264" s="0" t="n">
        <f aca="false">[2]Sheet1!L264</f>
        <v>17</v>
      </c>
      <c r="N264" s="0" t="n">
        <f aca="false">[2]Sheet1!M264</f>
        <v>11</v>
      </c>
      <c r="O264" s="0" t="n">
        <f aca="false">[2]Sheet1!N264</f>
        <v>0</v>
      </c>
      <c r="P264" s="226" t="n">
        <f aca="false">SUM(AY264+BA264)</f>
        <v>72.9166666666667</v>
      </c>
      <c r="Q264" s="204" t="s">
        <v>1292</v>
      </c>
      <c r="R264" s="221" t="n">
        <v>3.5</v>
      </c>
      <c r="S264" s="227"/>
      <c r="T264" s="71"/>
      <c r="U264" s="201"/>
      <c r="V264" s="71"/>
      <c r="W264" s="227"/>
      <c r="X264" s="71"/>
      <c r="Y264" s="201"/>
      <c r="Z264" s="71"/>
      <c r="AA264" s="227"/>
      <c r="AB264" s="71"/>
      <c r="AC264" s="201"/>
      <c r="AD264" s="71"/>
      <c r="AE264" s="227"/>
      <c r="AF264" s="71"/>
      <c r="AG264" s="201"/>
      <c r="AH264" s="71"/>
      <c r="AI264" s="227"/>
      <c r="AJ264" s="71"/>
      <c r="AK264" s="201"/>
      <c r="AL264" s="71"/>
      <c r="AM264" s="227"/>
      <c r="AN264" s="71"/>
      <c r="AO264" s="201"/>
      <c r="AP264" s="71"/>
      <c r="AQ264" s="227"/>
      <c r="AR264" s="71"/>
      <c r="AS264" s="227"/>
      <c r="AT264" s="228"/>
      <c r="AU264" s="227"/>
      <c r="AV264" s="228"/>
      <c r="AW264" s="227"/>
      <c r="AX264" s="229" t="n">
        <f aca="false">SUM(R264+T264+V264+X264+Z264+AB264+AD264+AF264+AH264+AJ264+AL264+AN264+AP264+AR264)</f>
        <v>3.5</v>
      </c>
      <c r="AY264" s="230" t="n">
        <f aca="false">SUM(AX264*1000)/48</f>
        <v>72.9166666666667</v>
      </c>
      <c r="AZ264" s="231" t="n">
        <f aca="false">IFERROR(VLOOKUP(A264,'Site check'!$A$14:$O$47,15,0),0)</f>
        <v>0</v>
      </c>
      <c r="BA264" s="232" t="n">
        <f aca="false">SUM(AZ264*1000)/48</f>
        <v>0</v>
      </c>
      <c r="BB264" s="90" t="n">
        <f aca="false">SUM(P264/2)+E264</f>
        <v>126.458333333333</v>
      </c>
      <c r="BC264" s="90" t="n">
        <f aca="false">SUM(P264/2)+F264</f>
        <v>126.458333333333</v>
      </c>
    </row>
    <row r="265" customFormat="false" ht="13.15" hidden="false" customHeight="false" outlineLevel="0" collapsed="false">
      <c r="A265" s="0" t="str">
        <f aca="false">[2]Sheet1!A265</f>
        <v>MCRN12_SEC_Eaton_ BG01_A Feed-Capped</v>
      </c>
      <c r="B265" s="0" t="str">
        <f aca="false">[2]Sheet1!B265</f>
        <v>MCRN12;DC SYS01 A</v>
      </c>
      <c r="C265" s="44" t="str">
        <f aca="false">[2]Sheet1!C265</f>
        <v>MCRN12</v>
      </c>
      <c r="D265" s="44" t="s">
        <v>671</v>
      </c>
      <c r="E265" s="0" t="n">
        <f aca="false">[2]Sheet1!D265</f>
        <v>250</v>
      </c>
      <c r="F265" s="0" t="str">
        <f aca="false">[2]Sheet1!E265</f>
        <v>NA</v>
      </c>
      <c r="G265" s="45" t="n">
        <f aca="false">[2]Sheet1!F265</f>
        <v>44330</v>
      </c>
      <c r="H265" s="0" t="n">
        <f aca="false">[2]Sheet1!G265</f>
        <v>300</v>
      </c>
      <c r="I265" s="0" t="n">
        <f aca="false">[2]Sheet1!H265</f>
        <v>300</v>
      </c>
      <c r="J265" s="0" t="n">
        <f aca="false">[2]Sheet1!I265</f>
        <v>1</v>
      </c>
      <c r="K265" s="0" t="n">
        <f aca="false">[2]Sheet1!J265</f>
        <v>7</v>
      </c>
      <c r="L265" s="0" t="n">
        <f aca="false">[2]Sheet1!K265</f>
        <v>0</v>
      </c>
      <c r="M265" s="0" t="n">
        <f aca="false">[2]Sheet1!L265</f>
        <v>0</v>
      </c>
      <c r="N265" s="0" t="n">
        <f aca="false">[2]Sheet1!M265</f>
        <v>0</v>
      </c>
      <c r="O265" s="0" t="n">
        <f aca="false">[2]Sheet1!N265</f>
        <v>15</v>
      </c>
      <c r="P265" s="226" t="n">
        <f aca="false">SUM(AY265+BA265)</f>
        <v>93.75</v>
      </c>
      <c r="Q265" s="204" t="s">
        <v>1504</v>
      </c>
      <c r="R265" s="241" t="n">
        <v>4.5</v>
      </c>
      <c r="S265" s="227"/>
      <c r="T265" s="71"/>
      <c r="U265" s="201"/>
      <c r="V265" s="71"/>
      <c r="W265" s="227"/>
      <c r="X265" s="71"/>
      <c r="Y265" s="201"/>
      <c r="Z265" s="71"/>
      <c r="AA265" s="227"/>
      <c r="AB265" s="71"/>
      <c r="AC265" s="201"/>
      <c r="AD265" s="71"/>
      <c r="AE265" s="227"/>
      <c r="AF265" s="71"/>
      <c r="AG265" s="201"/>
      <c r="AH265" s="71"/>
      <c r="AI265" s="227"/>
      <c r="AJ265" s="71"/>
      <c r="AK265" s="201"/>
      <c r="AL265" s="71"/>
      <c r="AM265" s="227"/>
      <c r="AN265" s="71"/>
      <c r="AO265" s="201"/>
      <c r="AP265" s="71"/>
      <c r="AQ265" s="227"/>
      <c r="AR265" s="71"/>
      <c r="AS265" s="227"/>
      <c r="AT265" s="228"/>
      <c r="AU265" s="227"/>
      <c r="AV265" s="228"/>
      <c r="AW265" s="227"/>
      <c r="AX265" s="229" t="n">
        <f aca="false">SUM(R265+T265+V265+X265+Z265+AB265+AD265+AF265+AH265+AJ265+AL265+AN265+AP265+AR265)</f>
        <v>4.5</v>
      </c>
      <c r="AY265" s="230" t="n">
        <f aca="false">SUM(AX265*1000)/48</f>
        <v>93.75</v>
      </c>
      <c r="AZ265" s="231" t="n">
        <f aca="false">IFERROR(VLOOKUP(A265,'Site check'!$A$14:$O$47,15,0),0)</f>
        <v>0</v>
      </c>
      <c r="BA265" s="232" t="n">
        <f aca="false">SUM(AZ265*1000)/48</f>
        <v>0</v>
      </c>
      <c r="BB265" s="90" t="n">
        <f aca="false">SUM(P265/2)+E265</f>
        <v>296.875</v>
      </c>
      <c r="BC265" s="90" t="e">
        <f aca="false">SUM(P265/2)+F265</f>
        <v>#VALUE!</v>
      </c>
    </row>
    <row r="266" customFormat="false" ht="13.15" hidden="false" customHeight="false" outlineLevel="0" collapsed="false">
      <c r="A266" s="0" t="str">
        <f aca="false">[2]Sheet1!A266</f>
        <v>MCRN12_SEC_Eaton_ BH01_B Feed-Capped</v>
      </c>
      <c r="B266" s="0" t="str">
        <f aca="false">[2]Sheet1!B266</f>
        <v>MCRN12;DC SYS01 A</v>
      </c>
      <c r="C266" s="44" t="str">
        <f aca="false">[2]Sheet1!C266</f>
        <v>MCRN12</v>
      </c>
      <c r="D266" s="44" t="s">
        <v>671</v>
      </c>
      <c r="E266" s="0" t="str">
        <f aca="false">[2]Sheet1!D266</f>
        <v>NA</v>
      </c>
      <c r="F266" s="0" t="n">
        <f aca="false">[2]Sheet1!E266</f>
        <v>255</v>
      </c>
      <c r="G266" s="45" t="n">
        <f aca="false">[2]Sheet1!F266</f>
        <v>43980</v>
      </c>
      <c r="H266" s="0" t="n">
        <f aca="false">[2]Sheet1!G266</f>
        <v>300</v>
      </c>
      <c r="I266" s="0" t="n">
        <f aca="false">[2]Sheet1!H266</f>
        <v>300</v>
      </c>
      <c r="J266" s="0" t="n">
        <f aca="false">[2]Sheet1!I266</f>
        <v>0</v>
      </c>
      <c r="K266" s="0" t="n">
        <f aca="false">[2]Sheet1!J266</f>
        <v>5</v>
      </c>
      <c r="L266" s="0" t="n">
        <f aca="false">[2]Sheet1!K266</f>
        <v>0</v>
      </c>
      <c r="M266" s="0" t="n">
        <f aca="false">[2]Sheet1!L266</f>
        <v>0</v>
      </c>
      <c r="N266" s="0" t="n">
        <f aca="false">[2]Sheet1!M266</f>
        <v>0</v>
      </c>
      <c r="O266" s="0" t="n">
        <f aca="false">[2]Sheet1!N266</f>
        <v>17</v>
      </c>
      <c r="P266" s="226" t="n">
        <f aca="false">SUM(AY266+BA266)</f>
        <v>93.75</v>
      </c>
      <c r="Q266" s="204" t="s">
        <v>1504</v>
      </c>
      <c r="R266" s="241" t="n">
        <v>4.5</v>
      </c>
      <c r="S266" s="227"/>
      <c r="T266" s="71"/>
      <c r="U266" s="201"/>
      <c r="V266" s="71"/>
      <c r="W266" s="227"/>
      <c r="X266" s="71"/>
      <c r="Y266" s="201"/>
      <c r="Z266" s="71"/>
      <c r="AA266" s="227"/>
      <c r="AB266" s="71"/>
      <c r="AC266" s="201"/>
      <c r="AD266" s="71"/>
      <c r="AE266" s="227"/>
      <c r="AF266" s="71"/>
      <c r="AG266" s="201"/>
      <c r="AH266" s="71"/>
      <c r="AI266" s="227"/>
      <c r="AJ266" s="71"/>
      <c r="AK266" s="201"/>
      <c r="AL266" s="71"/>
      <c r="AM266" s="227"/>
      <c r="AN266" s="71"/>
      <c r="AO266" s="201"/>
      <c r="AP266" s="71"/>
      <c r="AQ266" s="227"/>
      <c r="AR266" s="71"/>
      <c r="AS266" s="227"/>
      <c r="AT266" s="228"/>
      <c r="AU266" s="227"/>
      <c r="AV266" s="228"/>
      <c r="AW266" s="227"/>
      <c r="AX266" s="229" t="n">
        <f aca="false">SUM(R266+T266+V266+X266+Z266+AB266+AD266+AF266+AH266+AJ266+AL266+AN266+AP266+AR266)</f>
        <v>4.5</v>
      </c>
      <c r="AY266" s="230" t="n">
        <f aca="false">SUM(AX266*1000)/48</f>
        <v>93.75</v>
      </c>
      <c r="AZ266" s="231" t="n">
        <f aca="false">IFERROR(VLOOKUP(A266,'Site check'!$A$14:$O$47,15,0),0)</f>
        <v>0</v>
      </c>
      <c r="BA266" s="232" t="n">
        <f aca="false">SUM(AZ266*1000)/48</f>
        <v>0</v>
      </c>
      <c r="BB266" s="90" t="e">
        <f aca="false">SUM(P266/2)+E266</f>
        <v>#VALUE!</v>
      </c>
      <c r="BC266" s="90" t="n">
        <f aca="false">SUM(P266/2)+F266</f>
        <v>301.875</v>
      </c>
    </row>
    <row r="267" customFormat="false" ht="13.15" hidden="false" customHeight="false" outlineLevel="0" collapsed="false">
      <c r="A267" s="0" t="str">
        <f aca="false">[2]Sheet1!A267</f>
        <v>MCRN12_PDU2A_B</v>
      </c>
      <c r="B267" s="0" t="str">
        <f aca="false">[2]Sheet1!B267</f>
        <v>MCRN12;DC SYS01 A</v>
      </c>
      <c r="C267" s="44" t="str">
        <f aca="false">[2]Sheet1!C267</f>
        <v>MCRN12</v>
      </c>
      <c r="D267" s="44" t="s">
        <v>671</v>
      </c>
      <c r="E267" s="0" t="n">
        <f aca="false">[2]Sheet1!D267</f>
        <v>159.95</v>
      </c>
      <c r="F267" s="0" t="n">
        <f aca="false">[2]Sheet1!E267</f>
        <v>171.56</v>
      </c>
      <c r="G267" s="45" t="n">
        <f aca="false">[2]Sheet1!F267</f>
        <v>45631</v>
      </c>
      <c r="H267" s="0" t="n">
        <f aca="false">[2]Sheet1!G267</f>
        <v>360</v>
      </c>
      <c r="I267" s="0" t="n">
        <f aca="false">[2]Sheet1!H267</f>
        <v>360</v>
      </c>
      <c r="J267" s="0" t="n">
        <f aca="false">[2]Sheet1!I267</f>
        <v>0</v>
      </c>
      <c r="K267" s="0" t="n">
        <f aca="false">[2]Sheet1!J267</f>
        <v>0</v>
      </c>
      <c r="L267" s="0" t="n">
        <f aca="false">[2]Sheet1!K267</f>
        <v>0</v>
      </c>
      <c r="M267" s="0" t="n">
        <f aca="false">[2]Sheet1!L267</f>
        <v>0</v>
      </c>
      <c r="N267" s="0" t="n">
        <f aca="false">[2]Sheet1!M267</f>
        <v>0</v>
      </c>
      <c r="O267" s="0" t="n">
        <f aca="false">[2]Sheet1!N267</f>
        <v>0</v>
      </c>
      <c r="P267" s="226" t="n">
        <f aca="false">SUM(AY267+BA267)</f>
        <v>557.291666666667</v>
      </c>
      <c r="Q267" s="181" t="s">
        <v>1294</v>
      </c>
      <c r="R267" s="175" t="n">
        <v>1.2</v>
      </c>
      <c r="S267" s="181" t="s">
        <v>1295</v>
      </c>
      <c r="T267" s="175" t="n">
        <v>1.8</v>
      </c>
      <c r="U267" s="181" t="s">
        <v>1296</v>
      </c>
      <c r="V267" s="175" t="n">
        <v>1.85</v>
      </c>
      <c r="W267" s="181" t="s">
        <v>1297</v>
      </c>
      <c r="X267" s="175" t="n">
        <v>1.9</v>
      </c>
      <c r="Y267" s="181" t="s">
        <v>1298</v>
      </c>
      <c r="Z267" s="175" t="n">
        <v>0.9</v>
      </c>
      <c r="AA267" s="181" t="s">
        <v>1300</v>
      </c>
      <c r="AB267" s="175" t="n">
        <v>2.9</v>
      </c>
      <c r="AC267" s="181" t="s">
        <v>1505</v>
      </c>
      <c r="AD267" s="237" t="n">
        <v>3.1</v>
      </c>
      <c r="AE267" s="173" t="s">
        <v>1309</v>
      </c>
      <c r="AF267" s="174" t="n">
        <v>2.3</v>
      </c>
      <c r="AG267" s="170" t="s">
        <v>1307</v>
      </c>
      <c r="AH267" s="171" t="n">
        <v>3</v>
      </c>
      <c r="AI267" s="181" t="s">
        <v>1308</v>
      </c>
      <c r="AJ267" s="171" t="n">
        <v>2.1</v>
      </c>
      <c r="AK267" s="181" t="s">
        <v>1302</v>
      </c>
      <c r="AL267" s="243" t="n">
        <v>4.1</v>
      </c>
      <c r="AM267" s="179" t="s">
        <v>1506</v>
      </c>
      <c r="AN267" s="194" t="n">
        <v>1.6</v>
      </c>
      <c r="AO267" s="201"/>
      <c r="AP267" s="71"/>
      <c r="AQ267" s="227"/>
      <c r="AR267" s="71"/>
      <c r="AS267" s="227"/>
      <c r="AT267" s="228"/>
      <c r="AU267" s="227"/>
      <c r="AV267" s="228"/>
      <c r="AW267" s="227"/>
      <c r="AX267" s="229" t="n">
        <f aca="false">SUM(R267+T267+V267+X267+Z267+AB267+AD267+AF267+AH267+AJ267+AL267+AN267+AP267+AR267)</f>
        <v>26.75</v>
      </c>
      <c r="AY267" s="230" t="n">
        <f aca="false">SUM(AX267*1000)/48</f>
        <v>557.291666666667</v>
      </c>
      <c r="AZ267" s="231" t="n">
        <f aca="false">IFERROR(VLOOKUP(A267,'Site check'!$A$14:$O$47,15,0),0)</f>
        <v>0</v>
      </c>
      <c r="BA267" s="232" t="n">
        <f aca="false">SUM(AZ267*1000)/48</f>
        <v>0</v>
      </c>
      <c r="BB267" s="90" t="n">
        <f aca="false">SUM(P267/2)+E267</f>
        <v>438.595833333333</v>
      </c>
      <c r="BC267" s="90" t="n">
        <f aca="false">SUM(P267/2)+F267</f>
        <v>450.205833333333</v>
      </c>
    </row>
    <row r="268" customFormat="false" ht="13.15" hidden="false" customHeight="false" outlineLevel="0" collapsed="false">
      <c r="A268" s="0" t="str">
        <f aca="false">[2]Sheet1!A268</f>
        <v>MCRCD2_PDU1A_B</v>
      </c>
      <c r="B268" s="0" t="str">
        <f aca="false">[2]Sheet1!B268</f>
        <v>MCRCD2;DC SYS02 [Rect 3&amp;4]</v>
      </c>
      <c r="C268" s="44" t="str">
        <f aca="false">[2]Sheet1!C268</f>
        <v>MCRCD2</v>
      </c>
      <c r="D268" s="44" t="s">
        <v>666</v>
      </c>
      <c r="E268" s="0" t="n">
        <f aca="false">[2]Sheet1!D268</f>
        <v>180.32</v>
      </c>
      <c r="F268" s="0" t="n">
        <f aca="false">[2]Sheet1!E268</f>
        <v>177.96</v>
      </c>
      <c r="G268" s="45" t="n">
        <f aca="false">[2]Sheet1!F268</f>
        <v>45631</v>
      </c>
      <c r="H268" s="0" t="n">
        <f aca="false">[2]Sheet1!G268</f>
        <v>360</v>
      </c>
      <c r="I268" s="0" t="n">
        <f aca="false">[2]Sheet1!H268</f>
        <v>360</v>
      </c>
      <c r="J268" s="0" t="n">
        <f aca="false">[2]Sheet1!I268</f>
        <v>0</v>
      </c>
      <c r="K268" s="0" t="n">
        <f aca="false">[2]Sheet1!J268</f>
        <v>0</v>
      </c>
      <c r="L268" s="0" t="n">
        <f aca="false">[2]Sheet1!K268</f>
        <v>0</v>
      </c>
      <c r="M268" s="0" t="n">
        <f aca="false">[2]Sheet1!L268</f>
        <v>0</v>
      </c>
      <c r="N268" s="0" t="n">
        <f aca="false">[2]Sheet1!M268</f>
        <v>0</v>
      </c>
      <c r="O268" s="0" t="n">
        <f aca="false">[2]Sheet1!N268</f>
        <v>0</v>
      </c>
      <c r="P268" s="226" t="n">
        <f aca="false">SUM(AY268+BA268)</f>
        <v>385.416666666667</v>
      </c>
      <c r="Q268" s="170" t="s">
        <v>1280</v>
      </c>
      <c r="R268" s="171" t="n">
        <v>1.9</v>
      </c>
      <c r="S268" s="170"/>
      <c r="T268" s="171"/>
      <c r="U268" s="170" t="s">
        <v>1281</v>
      </c>
      <c r="V268" s="234" t="n">
        <v>2.2</v>
      </c>
      <c r="W268" s="170" t="s">
        <v>1282</v>
      </c>
      <c r="X268" s="234" t="n">
        <v>2</v>
      </c>
      <c r="Y268" s="170" t="s">
        <v>1283</v>
      </c>
      <c r="Z268" s="234" t="n">
        <v>2</v>
      </c>
      <c r="AA268" s="170" t="s">
        <v>1285</v>
      </c>
      <c r="AB268" s="171" t="n">
        <v>0.8</v>
      </c>
      <c r="AC268" s="170" t="s">
        <v>1284</v>
      </c>
      <c r="AD268" s="171" t="n">
        <v>2.3</v>
      </c>
      <c r="AE268" s="173" t="s">
        <v>1507</v>
      </c>
      <c r="AF268" s="175" t="n">
        <v>3.6</v>
      </c>
      <c r="AG268" s="173" t="s">
        <v>1508</v>
      </c>
      <c r="AH268" s="243" t="n">
        <v>3.7</v>
      </c>
      <c r="AI268" s="227"/>
      <c r="AJ268" s="71"/>
      <c r="AK268" s="201"/>
      <c r="AL268" s="71"/>
      <c r="AM268" s="227"/>
      <c r="AN268" s="71"/>
      <c r="AO268" s="201"/>
      <c r="AP268" s="71"/>
      <c r="AQ268" s="227"/>
      <c r="AR268" s="71"/>
      <c r="AS268" s="227"/>
      <c r="AT268" s="228"/>
      <c r="AU268" s="227"/>
      <c r="AV268" s="228"/>
      <c r="AW268" s="227"/>
      <c r="AX268" s="229" t="n">
        <f aca="false">SUM(R268+T268+V268+X268+Z268+AB268+AD268+AF268+AH268+AJ268+AL268+AN268+AP268+AR268)</f>
        <v>18.5</v>
      </c>
      <c r="AY268" s="230" t="n">
        <f aca="false">SUM(AX268*1000)/48</f>
        <v>385.416666666667</v>
      </c>
      <c r="AZ268" s="231" t="n">
        <f aca="false">IFERROR(VLOOKUP(A268,'Site check'!$A$14:$O$47,15,0),0)</f>
        <v>0</v>
      </c>
      <c r="BA268" s="232" t="n">
        <f aca="false">SUM(AZ268*1000)/48</f>
        <v>0</v>
      </c>
      <c r="BB268" s="90" t="n">
        <f aca="false">SUM(P268/2)+E268</f>
        <v>373.028333333333</v>
      </c>
      <c r="BC268" s="90" t="n">
        <f aca="false">SUM(P268/2)+F268</f>
        <v>370.668333333333</v>
      </c>
    </row>
    <row r="269" customFormat="false" ht="13.15" hidden="false" customHeight="false" outlineLevel="0" collapsed="false">
      <c r="A269" s="0" t="str">
        <f aca="false">[2]Sheet1!A269</f>
        <v>SWY_SEC_CBDB_1</v>
      </c>
      <c r="B269" s="0" t="str">
        <f aca="false">[2]Sheet1!B269</f>
        <v>SWY;DC SYS01</v>
      </c>
      <c r="C269" s="44" t="str">
        <f aca="false">[2]Sheet1!C269</f>
        <v>SWY</v>
      </c>
      <c r="D269" s="44" t="s">
        <v>785</v>
      </c>
      <c r="E269" s="0" t="n">
        <f aca="false">[2]Sheet1!D269</f>
        <v>25</v>
      </c>
      <c r="F269" s="0" t="n">
        <f aca="false">[2]Sheet1!E269</f>
        <v>25</v>
      </c>
      <c r="G269" s="45" t="n">
        <f aca="false">[2]Sheet1!F269</f>
        <v>45082</v>
      </c>
      <c r="H269" s="0" t="n">
        <f aca="false">[2]Sheet1!G269</f>
        <v>300</v>
      </c>
      <c r="I269" s="0" t="n">
        <f aca="false">[2]Sheet1!H269</f>
        <v>300</v>
      </c>
      <c r="J269" s="0" t="n">
        <f aca="false">[2]Sheet1!I269</f>
        <v>0</v>
      </c>
      <c r="K269" s="0" t="n">
        <f aca="false">[2]Sheet1!J269</f>
        <v>9</v>
      </c>
      <c r="L269" s="0" t="n">
        <f aca="false">[2]Sheet1!K269</f>
        <v>0</v>
      </c>
      <c r="M269" s="0" t="n">
        <f aca="false">[2]Sheet1!L269</f>
        <v>0</v>
      </c>
      <c r="N269" s="0" t="n">
        <f aca="false">[2]Sheet1!M269</f>
        <v>11</v>
      </c>
      <c r="O269" s="0" t="n">
        <f aca="false">[2]Sheet1!N269</f>
        <v>0</v>
      </c>
      <c r="P269" s="226" t="n">
        <f aca="false">SUM(AY269+BA269)</f>
        <v>0</v>
      </c>
      <c r="Q269" s="201"/>
      <c r="R269" s="71"/>
      <c r="S269" s="227"/>
      <c r="T269" s="71"/>
      <c r="U269" s="201"/>
      <c r="V269" s="71"/>
      <c r="W269" s="227"/>
      <c r="X269" s="71"/>
      <c r="Y269" s="201"/>
      <c r="Z269" s="71"/>
      <c r="AA269" s="227"/>
      <c r="AB269" s="71"/>
      <c r="AC269" s="201"/>
      <c r="AD269" s="71"/>
      <c r="AE269" s="227"/>
      <c r="AF269" s="71"/>
      <c r="AG269" s="201"/>
      <c r="AH269" s="71"/>
      <c r="AI269" s="227"/>
      <c r="AJ269" s="71"/>
      <c r="AK269" s="201"/>
      <c r="AL269" s="71"/>
      <c r="AM269" s="227"/>
      <c r="AN269" s="71"/>
      <c r="AO269" s="201"/>
      <c r="AP269" s="71"/>
      <c r="AQ269" s="227"/>
      <c r="AR269" s="71"/>
      <c r="AS269" s="227"/>
      <c r="AT269" s="228"/>
      <c r="AU269" s="227"/>
      <c r="AV269" s="228"/>
      <c r="AW269" s="227"/>
      <c r="AX269" s="229" t="n">
        <f aca="false">SUM(R269+T269+V269+X269+Z269+AB269+AD269+AF269+AH269+AJ269+AL269+AN269+AP269+AR269)</f>
        <v>0</v>
      </c>
      <c r="AY269" s="230" t="n">
        <f aca="false">SUM(AX269*1000)/48</f>
        <v>0</v>
      </c>
      <c r="AZ269" s="231" t="n">
        <f aca="false">IFERROR(VLOOKUP(A269,'Site check'!$A$14:$O$47,15,0),0)</f>
        <v>0</v>
      </c>
      <c r="BA269" s="232" t="n">
        <f aca="false">SUM(AZ269*1000)/48</f>
        <v>0</v>
      </c>
      <c r="BB269" s="90" t="n">
        <f aca="false">SUM(P269/2)+E269</f>
        <v>25</v>
      </c>
      <c r="BC269" s="90" t="n">
        <f aca="false">SUM(P269/2)+F269</f>
        <v>25</v>
      </c>
    </row>
    <row r="270" customFormat="false" ht="13.15" hidden="false" customHeight="false" outlineLevel="0" collapsed="false">
      <c r="A270" s="0" t="str">
        <f aca="false">[2]Sheet1!A270</f>
        <v>SWY_SEC_CBDB_2</v>
      </c>
      <c r="B270" s="0" t="str">
        <f aca="false">[2]Sheet1!B270</f>
        <v>SWY;DC SYS01</v>
      </c>
      <c r="C270" s="44" t="str">
        <f aca="false">[2]Sheet1!C270</f>
        <v>SWY</v>
      </c>
      <c r="D270" s="44" t="s">
        <v>785</v>
      </c>
      <c r="E270" s="0" t="n">
        <f aca="false">[2]Sheet1!D270</f>
        <v>25</v>
      </c>
      <c r="F270" s="0" t="n">
        <f aca="false">[2]Sheet1!E270</f>
        <v>25</v>
      </c>
      <c r="G270" s="45" t="n">
        <f aca="false">[2]Sheet1!F270</f>
        <v>45082</v>
      </c>
      <c r="H270" s="0" t="n">
        <f aca="false">[2]Sheet1!G270</f>
        <v>300</v>
      </c>
      <c r="I270" s="0" t="n">
        <f aca="false">[2]Sheet1!H270</f>
        <v>300</v>
      </c>
      <c r="J270" s="0" t="n">
        <f aca="false">[2]Sheet1!I270</f>
        <v>0</v>
      </c>
      <c r="K270" s="0" t="n">
        <f aca="false">[2]Sheet1!J270</f>
        <v>9</v>
      </c>
      <c r="L270" s="0" t="n">
        <f aca="false">[2]Sheet1!K270</f>
        <v>0</v>
      </c>
      <c r="M270" s="0" t="n">
        <f aca="false">[2]Sheet1!L270</f>
        <v>0</v>
      </c>
      <c r="N270" s="0" t="n">
        <f aca="false">[2]Sheet1!M270</f>
        <v>11</v>
      </c>
      <c r="O270" s="0" t="n">
        <f aca="false">[2]Sheet1!N270</f>
        <v>0</v>
      </c>
      <c r="P270" s="226" t="n">
        <f aca="false">SUM(AY270+BA270)</f>
        <v>0</v>
      </c>
      <c r="Q270" s="201"/>
      <c r="R270" s="71"/>
      <c r="S270" s="227"/>
      <c r="T270" s="71"/>
      <c r="U270" s="201"/>
      <c r="V270" s="71"/>
      <c r="W270" s="227"/>
      <c r="X270" s="71"/>
      <c r="Y270" s="201"/>
      <c r="Z270" s="71"/>
      <c r="AA270" s="227"/>
      <c r="AB270" s="71"/>
      <c r="AC270" s="201"/>
      <c r="AD270" s="71"/>
      <c r="AE270" s="227"/>
      <c r="AF270" s="71"/>
      <c r="AG270" s="201"/>
      <c r="AH270" s="71"/>
      <c r="AI270" s="227"/>
      <c r="AJ270" s="71"/>
      <c r="AK270" s="201"/>
      <c r="AL270" s="71"/>
      <c r="AM270" s="227"/>
      <c r="AN270" s="71"/>
      <c r="AO270" s="201"/>
      <c r="AP270" s="71"/>
      <c r="AQ270" s="227"/>
      <c r="AR270" s="71"/>
      <c r="AS270" s="227"/>
      <c r="AT270" s="228"/>
      <c r="AU270" s="227"/>
      <c r="AV270" s="228"/>
      <c r="AW270" s="227"/>
      <c r="AX270" s="229" t="n">
        <f aca="false">SUM(R270+T270+V270+X270+Z270+AB270+AD270+AF270+AH270+AJ270+AL270+AN270+AP270+AR270)</f>
        <v>0</v>
      </c>
      <c r="AY270" s="230" t="n">
        <f aca="false">SUM(AX270*1000)/48</f>
        <v>0</v>
      </c>
      <c r="AZ270" s="231" t="n">
        <f aca="false">IFERROR(VLOOKUP(A270,'Site check'!$A$14:$O$47,15,0),0)</f>
        <v>0</v>
      </c>
      <c r="BA270" s="232" t="n">
        <f aca="false">SUM(AZ270*1000)/48</f>
        <v>0</v>
      </c>
      <c r="BB270" s="90" t="n">
        <f aca="false">SUM(P270/2)+E270</f>
        <v>25</v>
      </c>
      <c r="BC270" s="90" t="n">
        <f aca="false">SUM(P270/2)+F270</f>
        <v>25</v>
      </c>
    </row>
    <row r="271" customFormat="false" ht="13.15" hidden="false" customHeight="false" outlineLevel="0" collapsed="false">
      <c r="A271" s="0" t="str">
        <f aca="false">[2]Sheet1!A271</f>
        <v>SWY_SEC_CBDB_4_Suite AH - Rack 5</v>
      </c>
      <c r="B271" s="0" t="str">
        <f aca="false">[2]Sheet1!B271</f>
        <v>SWY;DC SYS01</v>
      </c>
      <c r="C271" s="44" t="str">
        <f aca="false">[2]Sheet1!C271</f>
        <v>SWY</v>
      </c>
      <c r="D271" s="44" t="s">
        <v>785</v>
      </c>
      <c r="E271" s="0" t="n">
        <f aca="false">[2]Sheet1!D271</f>
        <v>60</v>
      </c>
      <c r="F271" s="0" t="n">
        <f aca="false">[2]Sheet1!E271</f>
        <v>60</v>
      </c>
      <c r="G271" s="45" t="n">
        <f aca="false">[2]Sheet1!F271</f>
        <v>45082</v>
      </c>
      <c r="H271" s="0" t="n">
        <f aca="false">[2]Sheet1!G271</f>
        <v>300</v>
      </c>
      <c r="I271" s="0" t="n">
        <f aca="false">[2]Sheet1!H271</f>
        <v>300</v>
      </c>
      <c r="J271" s="0" t="n">
        <f aca="false">[2]Sheet1!I271</f>
        <v>4</v>
      </c>
      <c r="K271" s="0" t="n">
        <f aca="false">[2]Sheet1!J271</f>
        <v>7</v>
      </c>
      <c r="L271" s="0" t="n">
        <f aca="false">[2]Sheet1!K271</f>
        <v>0</v>
      </c>
      <c r="M271" s="0" t="n">
        <f aca="false">[2]Sheet1!L271</f>
        <v>11</v>
      </c>
      <c r="N271" s="0" t="n">
        <f aca="false">[2]Sheet1!M271</f>
        <v>10</v>
      </c>
      <c r="O271" s="0" t="n">
        <f aca="false">[2]Sheet1!N271</f>
        <v>0</v>
      </c>
      <c r="P271" s="226" t="n">
        <f aca="false">SUM(AY271+BA271)</f>
        <v>0</v>
      </c>
      <c r="Q271" s="201"/>
      <c r="R271" s="71"/>
      <c r="S271" s="227"/>
      <c r="T271" s="71"/>
      <c r="U271" s="201"/>
      <c r="V271" s="71"/>
      <c r="W271" s="227"/>
      <c r="X271" s="71"/>
      <c r="Y271" s="201"/>
      <c r="Z271" s="71"/>
      <c r="AA271" s="227"/>
      <c r="AB271" s="71"/>
      <c r="AC271" s="201"/>
      <c r="AD271" s="71"/>
      <c r="AE271" s="227"/>
      <c r="AF271" s="71"/>
      <c r="AG271" s="201"/>
      <c r="AH271" s="71"/>
      <c r="AI271" s="227"/>
      <c r="AJ271" s="71"/>
      <c r="AK271" s="201"/>
      <c r="AL271" s="71"/>
      <c r="AM271" s="227"/>
      <c r="AN271" s="71"/>
      <c r="AO271" s="201"/>
      <c r="AP271" s="71"/>
      <c r="AQ271" s="227"/>
      <c r="AR271" s="71"/>
      <c r="AS271" s="227"/>
      <c r="AT271" s="228"/>
      <c r="AU271" s="227"/>
      <c r="AV271" s="228"/>
      <c r="AW271" s="227"/>
      <c r="AX271" s="229" t="n">
        <f aca="false">SUM(R271+T271+V271+X271+Z271+AB271+AD271+AF271+AH271+AJ271+AL271+AN271+AP271+AR271)</f>
        <v>0</v>
      </c>
      <c r="AY271" s="230" t="n">
        <f aca="false">SUM(AX271*1000)/48</f>
        <v>0</v>
      </c>
      <c r="AZ271" s="231" t="n">
        <f aca="false">IFERROR(VLOOKUP(A271,'Site check'!$A$14:$O$47,15,0),0)</f>
        <v>0</v>
      </c>
      <c r="BA271" s="232" t="n">
        <f aca="false">SUM(AZ271*1000)/48</f>
        <v>0</v>
      </c>
      <c r="BB271" s="90" t="n">
        <f aca="false">SUM(P271/2)+E271</f>
        <v>60</v>
      </c>
      <c r="BC271" s="90" t="n">
        <f aca="false">SUM(P271/2)+F271</f>
        <v>60</v>
      </c>
    </row>
    <row r="272" customFormat="false" ht="13.15" hidden="false" customHeight="false" outlineLevel="0" collapsed="false">
      <c r="A272" s="0" t="str">
        <f aca="false">[2]Sheet1!A272</f>
        <v>SWY_SEC_DD770_3_Suite AA - Rack 5</v>
      </c>
      <c r="B272" s="0" t="str">
        <f aca="false">[2]Sheet1!B272</f>
        <v>SWY;DC SYS01</v>
      </c>
      <c r="C272" s="44" t="str">
        <f aca="false">[2]Sheet1!C272</f>
        <v>SWY</v>
      </c>
      <c r="D272" s="44" t="s">
        <v>785</v>
      </c>
      <c r="E272" s="0" t="n">
        <f aca="false">[2]Sheet1!D272</f>
        <v>15</v>
      </c>
      <c r="F272" s="0" t="n">
        <f aca="false">[2]Sheet1!E272</f>
        <v>15</v>
      </c>
      <c r="G272" s="45" t="n">
        <f aca="false">[2]Sheet1!F272</f>
        <v>45082</v>
      </c>
      <c r="H272" s="0" t="n">
        <f aca="false">[2]Sheet1!G272</f>
        <v>300</v>
      </c>
      <c r="I272" s="0" t="n">
        <f aca="false">[2]Sheet1!H272</f>
        <v>300</v>
      </c>
      <c r="J272" s="0" t="n">
        <f aca="false">[2]Sheet1!I272</f>
        <v>6</v>
      </c>
      <c r="K272" s="0" t="n">
        <f aca="false">[2]Sheet1!J272</f>
        <v>10</v>
      </c>
      <c r="L272" s="0" t="n">
        <f aca="false">[2]Sheet1!K272</f>
        <v>0</v>
      </c>
      <c r="M272" s="0" t="n">
        <f aca="false">[2]Sheet1!L272</f>
        <v>22</v>
      </c>
      <c r="N272" s="0" t="n">
        <f aca="false">[2]Sheet1!M272</f>
        <v>7</v>
      </c>
      <c r="O272" s="0" t="n">
        <f aca="false">[2]Sheet1!N272</f>
        <v>0</v>
      </c>
      <c r="P272" s="226" t="n">
        <f aca="false">SUM(AY272+BA272)</f>
        <v>0</v>
      </c>
      <c r="Q272" s="201"/>
      <c r="R272" s="71"/>
      <c r="S272" s="227"/>
      <c r="T272" s="71"/>
      <c r="U272" s="201"/>
      <c r="V272" s="71"/>
      <c r="W272" s="227"/>
      <c r="X272" s="71"/>
      <c r="Y272" s="201"/>
      <c r="Z272" s="71"/>
      <c r="AA272" s="227"/>
      <c r="AB272" s="71"/>
      <c r="AC272" s="201"/>
      <c r="AD272" s="71"/>
      <c r="AE272" s="227"/>
      <c r="AF272" s="71"/>
      <c r="AG272" s="201"/>
      <c r="AH272" s="71"/>
      <c r="AI272" s="227"/>
      <c r="AJ272" s="71"/>
      <c r="AK272" s="201"/>
      <c r="AL272" s="71"/>
      <c r="AM272" s="227"/>
      <c r="AN272" s="71"/>
      <c r="AO272" s="201"/>
      <c r="AP272" s="71"/>
      <c r="AQ272" s="227"/>
      <c r="AR272" s="71"/>
      <c r="AS272" s="227"/>
      <c r="AT272" s="228"/>
      <c r="AU272" s="227"/>
      <c r="AV272" s="228"/>
      <c r="AW272" s="227"/>
      <c r="AX272" s="229" t="n">
        <f aca="false">SUM(R272+T272+V272+X272+Z272+AB272+AD272+AF272+AH272+AJ272+AL272+AN272+AP272+AR272)</f>
        <v>0</v>
      </c>
      <c r="AY272" s="230" t="n">
        <f aca="false">SUM(AX272*1000)/48</f>
        <v>0</v>
      </c>
      <c r="AZ272" s="231" t="n">
        <f aca="false">IFERROR(VLOOKUP(A272,'Site check'!$A$14:$O$47,15,0),0)</f>
        <v>0</v>
      </c>
      <c r="BA272" s="232" t="n">
        <f aca="false">SUM(AZ272*1000)/48</f>
        <v>0</v>
      </c>
      <c r="BB272" s="90" t="n">
        <f aca="false">SUM(P272/2)+E272</f>
        <v>15</v>
      </c>
      <c r="BC272" s="90" t="n">
        <f aca="false">SUM(P272/2)+F272</f>
        <v>15</v>
      </c>
    </row>
    <row r="273" customFormat="false" ht="13.15" hidden="false" customHeight="false" outlineLevel="0" collapsed="false">
      <c r="A273" s="0" t="str">
        <f aca="false">[2]Sheet1!A273</f>
        <v>SWY_SEC_DD770_5_Suite AB-AC - Rack 01</v>
      </c>
      <c r="B273" s="0" t="str">
        <f aca="false">[2]Sheet1!B273</f>
        <v>SWY;DC SYS01</v>
      </c>
      <c r="C273" s="44" t="str">
        <f aca="false">[2]Sheet1!C273</f>
        <v>SWY</v>
      </c>
      <c r="D273" s="44" t="s">
        <v>785</v>
      </c>
      <c r="E273" s="0" t="n">
        <f aca="false">[2]Sheet1!D273</f>
        <v>50</v>
      </c>
      <c r="F273" s="0" t="n">
        <f aca="false">[2]Sheet1!E273</f>
        <v>45</v>
      </c>
      <c r="G273" s="45" t="n">
        <f aca="false">[2]Sheet1!F273</f>
        <v>45082</v>
      </c>
      <c r="H273" s="0" t="n">
        <f aca="false">[2]Sheet1!G273</f>
        <v>300</v>
      </c>
      <c r="I273" s="0" t="n">
        <f aca="false">[2]Sheet1!H273</f>
        <v>300</v>
      </c>
      <c r="J273" s="0" t="n">
        <f aca="false">[2]Sheet1!I273</f>
        <v>0</v>
      </c>
      <c r="K273" s="0" t="n">
        <f aca="false">[2]Sheet1!J273</f>
        <v>1</v>
      </c>
      <c r="L273" s="0" t="n">
        <f aca="false">[2]Sheet1!K273</f>
        <v>0</v>
      </c>
      <c r="M273" s="0" t="n">
        <f aca="false">[2]Sheet1!L273</f>
        <v>14</v>
      </c>
      <c r="N273" s="0" t="n">
        <f aca="false">[2]Sheet1!M273</f>
        <v>0</v>
      </c>
      <c r="O273" s="0" t="n">
        <f aca="false">[2]Sheet1!N273</f>
        <v>0</v>
      </c>
      <c r="P273" s="226" t="n">
        <f aca="false">SUM(AY273+BA273)</f>
        <v>20.8333333333333</v>
      </c>
      <c r="Q273" s="204" t="s">
        <v>1406</v>
      </c>
      <c r="R273" s="221" t="n">
        <v>1</v>
      </c>
      <c r="S273" s="227"/>
      <c r="T273" s="71"/>
      <c r="U273" s="201"/>
      <c r="V273" s="71"/>
      <c r="W273" s="227"/>
      <c r="X273" s="71"/>
      <c r="Y273" s="201"/>
      <c r="Z273" s="71"/>
      <c r="AA273" s="227"/>
      <c r="AB273" s="71"/>
      <c r="AC273" s="201"/>
      <c r="AD273" s="71"/>
      <c r="AE273" s="227"/>
      <c r="AF273" s="71"/>
      <c r="AG273" s="201"/>
      <c r="AH273" s="71"/>
      <c r="AI273" s="227"/>
      <c r="AJ273" s="71"/>
      <c r="AK273" s="201"/>
      <c r="AL273" s="71"/>
      <c r="AM273" s="227"/>
      <c r="AN273" s="71"/>
      <c r="AO273" s="201"/>
      <c r="AP273" s="71"/>
      <c r="AQ273" s="227"/>
      <c r="AR273" s="71"/>
      <c r="AS273" s="227"/>
      <c r="AT273" s="228"/>
      <c r="AU273" s="227"/>
      <c r="AV273" s="228"/>
      <c r="AW273" s="227"/>
      <c r="AX273" s="229" t="n">
        <f aca="false">SUM(R273+T273+V273+X273+Z273+AB273+AD273+AF273+AH273+AJ273+AL273+AN273+AP273+AR273)</f>
        <v>1</v>
      </c>
      <c r="AY273" s="230" t="n">
        <f aca="false">SUM(AX273*1000)/48</f>
        <v>20.8333333333333</v>
      </c>
      <c r="AZ273" s="231" t="n">
        <f aca="false">IFERROR(VLOOKUP(A273,'Site check'!$A$14:$O$47,15,0),0)</f>
        <v>0</v>
      </c>
      <c r="BA273" s="232" t="n">
        <f aca="false">SUM(AZ273*1000)/48</f>
        <v>0</v>
      </c>
      <c r="BB273" s="90" t="n">
        <f aca="false">SUM(P273/2)+E273</f>
        <v>60.4166666666667</v>
      </c>
      <c r="BC273" s="90" t="n">
        <f aca="false">SUM(P273/2)+F273</f>
        <v>55.4166666666667</v>
      </c>
    </row>
    <row r="274" customFormat="false" ht="13.15" hidden="false" customHeight="false" outlineLevel="0" collapsed="false">
      <c r="A274" s="0" t="str">
        <f aca="false">[2]Sheet1!A274</f>
        <v>WTNTK1_SEC_CBDB_J33</v>
      </c>
      <c r="B274" s="0" t="str">
        <f aca="false">[2]Sheet1!B274</f>
        <v>WTNTK1;DC SYS01</v>
      </c>
      <c r="C274" s="44" t="str">
        <f aca="false">[2]Sheet1!C274</f>
        <v>WTNTK1</v>
      </c>
      <c r="D274" s="44" t="s">
        <v>826</v>
      </c>
      <c r="E274" s="0" t="n">
        <f aca="false">[2]Sheet1!D274</f>
        <v>110</v>
      </c>
      <c r="F274" s="0" t="n">
        <f aca="false">[2]Sheet1!E274</f>
        <v>105</v>
      </c>
      <c r="G274" s="45" t="n">
        <f aca="false">[2]Sheet1!F274</f>
        <v>44984</v>
      </c>
      <c r="H274" s="0" t="n">
        <f aca="false">[2]Sheet1!G274</f>
        <v>300</v>
      </c>
      <c r="I274" s="0" t="n">
        <f aca="false">[2]Sheet1!H274</f>
        <v>300</v>
      </c>
      <c r="J274" s="0" t="n">
        <f aca="false">[2]Sheet1!I274</f>
        <v>0</v>
      </c>
      <c r="K274" s="0" t="n">
        <f aca="false">[2]Sheet1!J274</f>
        <v>0</v>
      </c>
      <c r="L274" s="0" t="n">
        <f aca="false">[2]Sheet1!K274</f>
        <v>5</v>
      </c>
      <c r="M274" s="0" t="n">
        <f aca="false">[2]Sheet1!L274</f>
        <v>0</v>
      </c>
      <c r="N274" s="0" t="n">
        <f aca="false">[2]Sheet1!M274</f>
        <v>0</v>
      </c>
      <c r="O274" s="0" t="n">
        <f aca="false">[2]Sheet1!N274</f>
        <v>28</v>
      </c>
      <c r="P274" s="226" t="n">
        <f aca="false">SUM(AY274+BA274)</f>
        <v>212.5</v>
      </c>
      <c r="Q274" s="170" t="s">
        <v>1442</v>
      </c>
      <c r="R274" s="234" t="n">
        <v>5</v>
      </c>
      <c r="S274" s="202" t="s">
        <v>1443</v>
      </c>
      <c r="T274" s="235" t="n">
        <v>1</v>
      </c>
      <c r="U274" s="204" t="s">
        <v>1444</v>
      </c>
      <c r="V274" s="221" t="n">
        <v>4.2</v>
      </c>
      <c r="W274" s="227"/>
      <c r="X274" s="71"/>
      <c r="Y274" s="201"/>
      <c r="Z274" s="71"/>
      <c r="AA274" s="227"/>
      <c r="AB274" s="71"/>
      <c r="AC274" s="201"/>
      <c r="AD274" s="71"/>
      <c r="AE274" s="227"/>
      <c r="AF274" s="71"/>
      <c r="AG274" s="201"/>
      <c r="AH274" s="71"/>
      <c r="AI274" s="227"/>
      <c r="AJ274" s="71"/>
      <c r="AK274" s="201"/>
      <c r="AL274" s="71"/>
      <c r="AM274" s="227"/>
      <c r="AN274" s="71"/>
      <c r="AO274" s="201"/>
      <c r="AP274" s="71"/>
      <c r="AQ274" s="227"/>
      <c r="AR274" s="71"/>
      <c r="AS274" s="227"/>
      <c r="AT274" s="228"/>
      <c r="AU274" s="227"/>
      <c r="AV274" s="228"/>
      <c r="AW274" s="227"/>
      <c r="AX274" s="229" t="n">
        <f aca="false">SUM(R274+T274+V274+X274+Z274+AB274+AD274+AF274+AH274+AJ274+AL274+AN274+AP274+AR274)</f>
        <v>10.2</v>
      </c>
      <c r="AY274" s="230" t="n">
        <f aca="false">SUM(AX274*1000)/48</f>
        <v>212.5</v>
      </c>
      <c r="AZ274" s="231" t="n">
        <f aca="false">IFERROR(VLOOKUP(A274,'Site check'!$A$14:$O$47,15,0),0)</f>
        <v>0</v>
      </c>
      <c r="BA274" s="232" t="n">
        <f aca="false">SUM(AZ274*1000)/48</f>
        <v>0</v>
      </c>
      <c r="BB274" s="90" t="n">
        <f aca="false">SUM(P274/2)+E274</f>
        <v>216.25</v>
      </c>
      <c r="BC274" s="90" t="n">
        <f aca="false">SUM(P274/2)+F274</f>
        <v>211.25</v>
      </c>
    </row>
    <row r="275" customFormat="false" ht="13.15" hidden="false" customHeight="false" outlineLevel="0" collapsed="false">
      <c r="A275" s="0" t="str">
        <f aca="false">[2]Sheet1!A275</f>
        <v>BDFN02_PDU1A_B</v>
      </c>
      <c r="B275" s="0" t="str">
        <f aca="false">[2]Sheet1!B275</f>
        <v>BDFN02;DC SYS01</v>
      </c>
      <c r="C275" s="44" t="str">
        <f aca="false">[2]Sheet1!C275</f>
        <v>BDFN02</v>
      </c>
      <c r="D275" s="44" t="s">
        <v>391</v>
      </c>
      <c r="E275" s="0" t="n">
        <f aca="false">[2]Sheet1!D275</f>
        <v>154.75</v>
      </c>
      <c r="F275" s="0" t="n">
        <f aca="false">[2]Sheet1!E275</f>
        <v>171.9</v>
      </c>
      <c r="G275" s="45" t="n">
        <f aca="false">[2]Sheet1!F275</f>
        <v>45665</v>
      </c>
      <c r="H275" s="0" t="n">
        <f aca="false">[2]Sheet1!G275</f>
        <v>360</v>
      </c>
      <c r="I275" s="0" t="n">
        <f aca="false">[2]Sheet1!H275</f>
        <v>360</v>
      </c>
      <c r="J275" s="0" t="n">
        <f aca="false">[2]Sheet1!I275</f>
        <v>0</v>
      </c>
      <c r="K275" s="0" t="n">
        <f aca="false">[2]Sheet1!J275</f>
        <v>0</v>
      </c>
      <c r="L275" s="0" t="n">
        <f aca="false">[2]Sheet1!K275</f>
        <v>0</v>
      </c>
      <c r="M275" s="0" t="n">
        <f aca="false">[2]Sheet1!L275</f>
        <v>0</v>
      </c>
      <c r="N275" s="0" t="n">
        <f aca="false">[2]Sheet1!M275</f>
        <v>0</v>
      </c>
      <c r="O275" s="0" t="n">
        <f aca="false">[2]Sheet1!N275</f>
        <v>0</v>
      </c>
      <c r="P275" s="226" t="n">
        <f aca="false">SUM(AY275+BA275)</f>
        <v>397.916666666667</v>
      </c>
      <c r="Q275" s="170" t="s">
        <v>1509</v>
      </c>
      <c r="R275" s="234" t="n">
        <v>1.7</v>
      </c>
      <c r="S275" s="170" t="s">
        <v>978</v>
      </c>
      <c r="T275" s="234" t="n">
        <v>1.3</v>
      </c>
      <c r="U275" s="170" t="s">
        <v>1510</v>
      </c>
      <c r="V275" s="234" t="n">
        <v>2.7</v>
      </c>
      <c r="W275" s="170" t="s">
        <v>1511</v>
      </c>
      <c r="X275" s="234" t="n">
        <v>2.2</v>
      </c>
      <c r="Y275" s="170" t="s">
        <v>1512</v>
      </c>
      <c r="Z275" s="234" t="n">
        <v>3.5</v>
      </c>
      <c r="AA275" s="170" t="s">
        <v>1513</v>
      </c>
      <c r="AB275" s="234" t="n">
        <v>4.5</v>
      </c>
      <c r="AC275" s="201" t="s">
        <v>984</v>
      </c>
      <c r="AD275" s="234" t="n">
        <v>2.4</v>
      </c>
      <c r="AE275" s="227" t="s">
        <v>977</v>
      </c>
      <c r="AF275" s="71" t="n">
        <v>0.8</v>
      </c>
      <c r="AG275" s="201"/>
      <c r="AH275" s="71"/>
      <c r="AI275" s="227"/>
      <c r="AJ275" s="71"/>
      <c r="AK275" s="201"/>
      <c r="AL275" s="71"/>
      <c r="AM275" s="227"/>
      <c r="AN275" s="71"/>
      <c r="AO275" s="201"/>
      <c r="AP275" s="71"/>
      <c r="AQ275" s="227"/>
      <c r="AR275" s="71"/>
      <c r="AS275" s="227"/>
      <c r="AT275" s="228"/>
      <c r="AU275" s="227"/>
      <c r="AV275" s="228"/>
      <c r="AW275" s="227"/>
      <c r="AX275" s="229" t="n">
        <f aca="false">SUM(R275+T275+V275+X275+Z275+AB275+AD275+AF275+AH275+AJ275+AL275+AN275+AP275+AR275)</f>
        <v>19.1</v>
      </c>
      <c r="AY275" s="230" t="n">
        <f aca="false">SUM(AX275*1000)/48</f>
        <v>397.916666666667</v>
      </c>
      <c r="AZ275" s="231" t="n">
        <f aca="false">IFERROR(VLOOKUP(A275,'Site check'!$A$14:$O$47,15,0),0)</f>
        <v>0</v>
      </c>
      <c r="BA275" s="232" t="n">
        <f aca="false">SUM(AZ275*1000)/48</f>
        <v>0</v>
      </c>
      <c r="BB275" s="90" t="n">
        <f aca="false">SUM(P275/2)+E275</f>
        <v>353.708333333333</v>
      </c>
      <c r="BC275" s="90" t="n">
        <f aca="false">SUM(P275/2)+F275</f>
        <v>370.858333333333</v>
      </c>
    </row>
    <row r="276" customFormat="false" ht="23.45" hidden="false" customHeight="false" outlineLevel="0" collapsed="false">
      <c r="A276" s="0" t="str">
        <f aca="false">[2]Sheet1!A276</f>
        <v>BDFN02_SEC_DCDB_AJ01</v>
      </c>
      <c r="B276" s="0" t="str">
        <f aca="false">[2]Sheet1!B276</f>
        <v>BDFN02;DC SYS01</v>
      </c>
      <c r="C276" s="44" t="str">
        <f aca="false">[2]Sheet1!C276</f>
        <v>BDFN02</v>
      </c>
      <c r="D276" s="44" t="s">
        <v>391</v>
      </c>
      <c r="E276" s="0" t="n">
        <f aca="false">[2]Sheet1!D276</f>
        <v>100</v>
      </c>
      <c r="F276" s="0" t="n">
        <f aca="false">[2]Sheet1!E276</f>
        <v>100</v>
      </c>
      <c r="G276" s="45" t="n">
        <f aca="false">[2]Sheet1!F276</f>
        <v>44679</v>
      </c>
      <c r="H276" s="0" t="n">
        <f aca="false">[2]Sheet1!G276</f>
        <v>300</v>
      </c>
      <c r="I276" s="0" t="n">
        <f aca="false">[2]Sheet1!H276</f>
        <v>300</v>
      </c>
      <c r="J276" s="0" t="n">
        <f aca="false">[2]Sheet1!I276</f>
        <v>12</v>
      </c>
      <c r="K276" s="0" t="n">
        <f aca="false">[2]Sheet1!J276</f>
        <v>0</v>
      </c>
      <c r="L276" s="0" t="n">
        <f aca="false">[2]Sheet1!K276</f>
        <v>4</v>
      </c>
      <c r="M276" s="0" t="n">
        <f aca="false">[2]Sheet1!L276</f>
        <v>1</v>
      </c>
      <c r="N276" s="0" t="n">
        <f aca="false">[2]Sheet1!M276</f>
        <v>0</v>
      </c>
      <c r="O276" s="0" t="n">
        <f aca="false">[2]Sheet1!N276</f>
        <v>2</v>
      </c>
      <c r="P276" s="226" t="n">
        <f aca="false">SUM(AY276+BA276)</f>
        <v>95.8333333333333</v>
      </c>
      <c r="Q276" s="246" t="s">
        <v>1514</v>
      </c>
      <c r="R276" s="247" t="n">
        <v>1</v>
      </c>
      <c r="S276" s="246" t="s">
        <v>1514</v>
      </c>
      <c r="T276" s="247" t="n">
        <v>1</v>
      </c>
      <c r="U276" s="246" t="s">
        <v>982</v>
      </c>
      <c r="V276" s="247" t="n">
        <v>1</v>
      </c>
      <c r="W276" s="185" t="s">
        <v>985</v>
      </c>
      <c r="X276" s="180" t="n">
        <v>1.6</v>
      </c>
      <c r="Y276" s="201"/>
      <c r="Z276" s="71"/>
      <c r="AA276" s="227"/>
      <c r="AB276" s="71"/>
      <c r="AC276" s="201"/>
      <c r="AD276" s="71"/>
      <c r="AE276" s="227"/>
      <c r="AF276" s="71"/>
      <c r="AG276" s="201"/>
      <c r="AH276" s="71"/>
      <c r="AI276" s="227"/>
      <c r="AJ276" s="71"/>
      <c r="AK276" s="201"/>
      <c r="AL276" s="71"/>
      <c r="AM276" s="227"/>
      <c r="AN276" s="71"/>
      <c r="AO276" s="201"/>
      <c r="AP276" s="71"/>
      <c r="AQ276" s="227"/>
      <c r="AR276" s="71"/>
      <c r="AS276" s="227"/>
      <c r="AT276" s="228"/>
      <c r="AU276" s="227"/>
      <c r="AV276" s="228"/>
      <c r="AW276" s="227"/>
      <c r="AX276" s="229" t="n">
        <f aca="false">SUM(R276+T276+V276+X276+Z276+AB276+AD276+AF276+AH276+AJ276+AL276+AN276+AP276+AR276)</f>
        <v>4.6</v>
      </c>
      <c r="AY276" s="230" t="n">
        <f aca="false">SUM(AX276*1000)/48</f>
        <v>95.8333333333333</v>
      </c>
      <c r="AZ276" s="231" t="n">
        <f aca="false">IFERROR(VLOOKUP(A276,'Site check'!$A$14:$O$47,15,0),0)</f>
        <v>0</v>
      </c>
      <c r="BA276" s="232" t="n">
        <f aca="false">SUM(AZ276*1000)/48</f>
        <v>0</v>
      </c>
      <c r="BB276" s="90" t="n">
        <f aca="false">SUM(P276/2)+E276</f>
        <v>147.916666666667</v>
      </c>
      <c r="BC276" s="90" t="n">
        <f aca="false">SUM(P276/2)+F276</f>
        <v>147.916666666667</v>
      </c>
    </row>
    <row r="277" customFormat="false" ht="13.15" hidden="false" customHeight="false" outlineLevel="0" collapsed="false">
      <c r="A277" s="0" t="str">
        <f aca="false">[2]Sheet1!A277</f>
        <v>BDFN02_SEC_DCDB_BD01</v>
      </c>
      <c r="B277" s="0" t="str">
        <f aca="false">[2]Sheet1!B277</f>
        <v>BDFN02;DC SYS01</v>
      </c>
      <c r="C277" s="44" t="str">
        <f aca="false">[2]Sheet1!C277</f>
        <v>BDFN02</v>
      </c>
      <c r="D277" s="44" t="s">
        <v>391</v>
      </c>
      <c r="E277" s="0" t="n">
        <f aca="false">[2]Sheet1!D277</f>
        <v>325</v>
      </c>
      <c r="F277" s="0" t="n">
        <f aca="false">[2]Sheet1!E277</f>
        <v>300</v>
      </c>
      <c r="G277" s="45" t="n">
        <f aca="false">[2]Sheet1!F277</f>
        <v>44679</v>
      </c>
      <c r="H277" s="0" t="n">
        <f aca="false">[2]Sheet1!G277</f>
        <v>300</v>
      </c>
      <c r="I277" s="0" t="n">
        <f aca="false">[2]Sheet1!H277</f>
        <v>300</v>
      </c>
      <c r="J277" s="0" t="n">
        <f aca="false">[2]Sheet1!I277</f>
        <v>0</v>
      </c>
      <c r="K277" s="0" t="n">
        <f aca="false">[2]Sheet1!J277</f>
        <v>4</v>
      </c>
      <c r="L277" s="0" t="n">
        <f aca="false">[2]Sheet1!K277</f>
        <v>0</v>
      </c>
      <c r="M277" s="0" t="n">
        <f aca="false">[2]Sheet1!L277</f>
        <v>0</v>
      </c>
      <c r="N277" s="0" t="n">
        <f aca="false">[2]Sheet1!M277</f>
        <v>0</v>
      </c>
      <c r="O277" s="0" t="n">
        <f aca="false">[2]Sheet1!N277</f>
        <v>17</v>
      </c>
      <c r="P277" s="226" t="n">
        <f aca="false">SUM(AY277+BA277)</f>
        <v>83.3333333333333</v>
      </c>
      <c r="Q277" s="170" t="s">
        <v>976</v>
      </c>
      <c r="R277" s="234" t="n">
        <v>4</v>
      </c>
      <c r="S277" s="227"/>
      <c r="T277" s="71"/>
      <c r="U277" s="201"/>
      <c r="V277" s="71"/>
      <c r="W277" s="227"/>
      <c r="X277" s="71"/>
      <c r="Y277" s="201"/>
      <c r="Z277" s="71"/>
      <c r="AA277" s="227"/>
      <c r="AB277" s="71"/>
      <c r="AC277" s="201"/>
      <c r="AD277" s="71"/>
      <c r="AE277" s="227"/>
      <c r="AF277" s="71"/>
      <c r="AG277" s="201"/>
      <c r="AH277" s="71"/>
      <c r="AI277" s="227"/>
      <c r="AJ277" s="71"/>
      <c r="AK277" s="201"/>
      <c r="AL277" s="71"/>
      <c r="AM277" s="227"/>
      <c r="AN277" s="71"/>
      <c r="AO277" s="201"/>
      <c r="AP277" s="71"/>
      <c r="AQ277" s="227"/>
      <c r="AR277" s="71"/>
      <c r="AS277" s="227"/>
      <c r="AT277" s="228"/>
      <c r="AU277" s="227"/>
      <c r="AV277" s="228"/>
      <c r="AW277" s="227"/>
      <c r="AX277" s="229" t="n">
        <f aca="false">SUM(R277+T277+V277+X277+Z277+AB277+AD277+AF277+AH277+AJ277+AL277+AN277+AP277+AR277)</f>
        <v>4</v>
      </c>
      <c r="AY277" s="230" t="n">
        <f aca="false">SUM(AX277*1000)/48</f>
        <v>83.3333333333333</v>
      </c>
      <c r="AZ277" s="231" t="n">
        <f aca="false">IFERROR(VLOOKUP(A277,'Site check'!$A$14:$O$47,15,0),0)</f>
        <v>0</v>
      </c>
      <c r="BA277" s="232" t="n">
        <f aca="false">SUM(AZ277*1000)/48</f>
        <v>0</v>
      </c>
      <c r="BB277" s="90" t="n">
        <f aca="false">SUM(P277/2)+E277</f>
        <v>366.666666666667</v>
      </c>
      <c r="BC277" s="90" t="n">
        <f aca="false">SUM(P277/2)+F277</f>
        <v>341.666666666667</v>
      </c>
    </row>
    <row r="278" customFormat="false" ht="13.15" hidden="false" customHeight="false" outlineLevel="0" collapsed="false">
      <c r="A278" s="0" t="str">
        <f aca="false">[2]Sheet1!A278</f>
        <v>BDFN02_SEC_DD770_AB01</v>
      </c>
      <c r="B278" s="0" t="str">
        <f aca="false">[2]Sheet1!B278</f>
        <v>BDFN02;DC SYS01</v>
      </c>
      <c r="C278" s="44" t="str">
        <f aca="false">[2]Sheet1!C278</f>
        <v>BDFN02</v>
      </c>
      <c r="D278" s="44" t="s">
        <v>391</v>
      </c>
      <c r="E278" s="0" t="n">
        <f aca="false">[2]Sheet1!D278</f>
        <v>100</v>
      </c>
      <c r="F278" s="0" t="n">
        <f aca="false">[2]Sheet1!E278</f>
        <v>140</v>
      </c>
      <c r="G278" s="45" t="n">
        <f aca="false">[2]Sheet1!F278</f>
        <v>44685</v>
      </c>
      <c r="H278" s="0" t="n">
        <f aca="false">[2]Sheet1!G278</f>
        <v>300</v>
      </c>
      <c r="I278" s="0" t="n">
        <f aca="false">[2]Sheet1!H278</f>
        <v>300</v>
      </c>
      <c r="J278" s="0" t="n">
        <f aca="false">[2]Sheet1!I278</f>
        <v>4</v>
      </c>
      <c r="K278" s="0" t="n">
        <f aca="false">[2]Sheet1!J278</f>
        <v>2</v>
      </c>
      <c r="L278" s="0" t="n">
        <f aca="false">[2]Sheet1!K278</f>
        <v>0</v>
      </c>
      <c r="M278" s="0" t="n">
        <f aca="false">[2]Sheet1!L278</f>
        <v>11</v>
      </c>
      <c r="N278" s="0" t="n">
        <f aca="false">[2]Sheet1!M278</f>
        <v>11</v>
      </c>
      <c r="O278" s="0" t="n">
        <f aca="false">[2]Sheet1!N278</f>
        <v>0</v>
      </c>
      <c r="P278" s="226" t="n">
        <f aca="false">SUM(AY278+BA278)</f>
        <v>0</v>
      </c>
      <c r="Q278" s="201"/>
      <c r="R278" s="71"/>
      <c r="S278" s="227"/>
      <c r="T278" s="71"/>
      <c r="U278" s="201"/>
      <c r="V278" s="71"/>
      <c r="W278" s="227"/>
      <c r="X278" s="71"/>
      <c r="Y278" s="201"/>
      <c r="Z278" s="71"/>
      <c r="AA278" s="227"/>
      <c r="AB278" s="71"/>
      <c r="AC278" s="201"/>
      <c r="AD278" s="71"/>
      <c r="AE278" s="227"/>
      <c r="AF278" s="71"/>
      <c r="AG278" s="201"/>
      <c r="AH278" s="71"/>
      <c r="AI278" s="227"/>
      <c r="AJ278" s="71"/>
      <c r="AK278" s="201"/>
      <c r="AL278" s="71"/>
      <c r="AM278" s="227"/>
      <c r="AN278" s="71"/>
      <c r="AO278" s="201"/>
      <c r="AP278" s="71"/>
      <c r="AQ278" s="227"/>
      <c r="AR278" s="71"/>
      <c r="AS278" s="227"/>
      <c r="AT278" s="228"/>
      <c r="AU278" s="227"/>
      <c r="AV278" s="228"/>
      <c r="AW278" s="227"/>
      <c r="AX278" s="229" t="n">
        <f aca="false">SUM(R278+T278+V278+X278+Z278+AB278+AD278+AF278+AH278+AJ278+AL278+AN278+AP278+AR278)</f>
        <v>0</v>
      </c>
      <c r="AY278" s="230" t="n">
        <f aca="false">SUM(AX278*1000)/48</f>
        <v>0</v>
      </c>
      <c r="AZ278" s="231" t="n">
        <f aca="false">IFERROR(VLOOKUP(A278,'Site check'!$A$14:$O$47,15,0),0)</f>
        <v>0</v>
      </c>
      <c r="BA278" s="232" t="n">
        <f aca="false">SUM(AZ278*1000)/48</f>
        <v>0</v>
      </c>
      <c r="BB278" s="90" t="n">
        <f aca="false">SUM(P278/2)+E278</f>
        <v>100</v>
      </c>
      <c r="BC278" s="90" t="n">
        <f aca="false">SUM(P278/2)+F278</f>
        <v>140</v>
      </c>
    </row>
    <row r="279" customFormat="false" ht="13.15" hidden="false" customHeight="false" outlineLevel="0" collapsed="false">
      <c r="A279" s="0" t="str">
        <f aca="false">[2]Sheet1!A279</f>
        <v>BDFN02_SEC_DD770_AV01</v>
      </c>
      <c r="B279" s="0" t="str">
        <f aca="false">[2]Sheet1!B279</f>
        <v>BDFN02;DC SYS01</v>
      </c>
      <c r="C279" s="44" t="str">
        <f aca="false">[2]Sheet1!C279</f>
        <v>BDFN02</v>
      </c>
      <c r="D279" s="44" t="s">
        <v>391</v>
      </c>
      <c r="E279" s="0" t="n">
        <f aca="false">[2]Sheet1!D279</f>
        <v>120</v>
      </c>
      <c r="F279" s="0" t="n">
        <f aca="false">[2]Sheet1!E279</f>
        <v>170</v>
      </c>
      <c r="G279" s="45" t="n">
        <f aca="false">[2]Sheet1!F279</f>
        <v>44679</v>
      </c>
      <c r="H279" s="0" t="n">
        <f aca="false">[2]Sheet1!G279</f>
        <v>300</v>
      </c>
      <c r="I279" s="0" t="n">
        <f aca="false">[2]Sheet1!H279</f>
        <v>300</v>
      </c>
      <c r="J279" s="0" t="n">
        <f aca="false">[2]Sheet1!I279</f>
        <v>1</v>
      </c>
      <c r="K279" s="0" t="n">
        <f aca="false">[2]Sheet1!J279</f>
        <v>4</v>
      </c>
      <c r="L279" s="0" t="n">
        <f aca="false">[2]Sheet1!K279</f>
        <v>0</v>
      </c>
      <c r="M279" s="0" t="n">
        <f aca="false">[2]Sheet1!L279</f>
        <v>3</v>
      </c>
      <c r="N279" s="0" t="n">
        <f aca="false">[2]Sheet1!M279</f>
        <v>7</v>
      </c>
      <c r="O279" s="0" t="n">
        <f aca="false">[2]Sheet1!N279</f>
        <v>0</v>
      </c>
      <c r="P279" s="226" t="n">
        <f aca="false">SUM(AY279+BA279)</f>
        <v>0</v>
      </c>
      <c r="Q279" s="201"/>
      <c r="R279" s="71"/>
      <c r="S279" s="227"/>
      <c r="T279" s="71"/>
      <c r="U279" s="201"/>
      <c r="V279" s="71"/>
      <c r="W279" s="227"/>
      <c r="X279" s="71"/>
      <c r="Y279" s="201"/>
      <c r="Z279" s="71"/>
      <c r="AA279" s="227"/>
      <c r="AB279" s="71"/>
      <c r="AC279" s="201"/>
      <c r="AD279" s="71"/>
      <c r="AE279" s="227"/>
      <c r="AF279" s="71"/>
      <c r="AG279" s="201"/>
      <c r="AH279" s="71"/>
      <c r="AI279" s="227"/>
      <c r="AJ279" s="71"/>
      <c r="AK279" s="201"/>
      <c r="AL279" s="71"/>
      <c r="AM279" s="227"/>
      <c r="AN279" s="71"/>
      <c r="AO279" s="201"/>
      <c r="AP279" s="71"/>
      <c r="AQ279" s="227"/>
      <c r="AR279" s="71"/>
      <c r="AS279" s="227"/>
      <c r="AT279" s="228"/>
      <c r="AU279" s="227"/>
      <c r="AV279" s="228"/>
      <c r="AW279" s="227"/>
      <c r="AX279" s="229" t="n">
        <f aca="false">SUM(R279+T279+V279+X279+Z279+AB279+AD279+AF279+AH279+AJ279+AL279+AN279+AP279+AR279)</f>
        <v>0</v>
      </c>
      <c r="AY279" s="230" t="n">
        <f aca="false">SUM(AX279*1000)/48</f>
        <v>0</v>
      </c>
      <c r="AZ279" s="231" t="n">
        <f aca="false">IFERROR(VLOOKUP(A279,'Site check'!$A$14:$O$47,15,0),0)</f>
        <v>0</v>
      </c>
      <c r="BA279" s="232" t="n">
        <f aca="false">SUM(AZ279*1000)/48</f>
        <v>0</v>
      </c>
      <c r="BB279" s="90" t="n">
        <f aca="false">SUM(P279/2)+E279</f>
        <v>120</v>
      </c>
      <c r="BC279" s="90" t="n">
        <f aca="false">SUM(P279/2)+F279</f>
        <v>170</v>
      </c>
    </row>
    <row r="280" customFormat="false" ht="13.15" hidden="false" customHeight="false" outlineLevel="0" collapsed="false">
      <c r="A280" s="0" t="str">
        <f aca="false">[2]Sheet1!A280</f>
        <v>MKSTN1_DCDB_QR7.</v>
      </c>
      <c r="B280" s="0" t="str">
        <f aca="false">[2]Sheet1!B280</f>
        <v>MKSTN1;DC SYS01</v>
      </c>
      <c r="C280" s="44" t="str">
        <f aca="false">[2]Sheet1!C280</f>
        <v>MKSTN1</v>
      </c>
      <c r="D280" s="44" t="s">
        <v>681</v>
      </c>
      <c r="E280" s="0" t="n">
        <f aca="false">[2]Sheet1!D280</f>
        <v>65</v>
      </c>
      <c r="F280" s="0" t="n">
        <f aca="false">[2]Sheet1!E280</f>
        <v>65</v>
      </c>
      <c r="G280" s="45" t="n">
        <f aca="false">[2]Sheet1!F280</f>
        <v>44998</v>
      </c>
      <c r="H280" s="0" t="n">
        <f aca="false">[2]Sheet1!G280</f>
        <v>300</v>
      </c>
      <c r="I280" s="0" t="n">
        <f aca="false">[2]Sheet1!H280</f>
        <v>300</v>
      </c>
      <c r="J280" s="0" t="n">
        <f aca="false">[2]Sheet1!I280</f>
        <v>5</v>
      </c>
      <c r="K280" s="0" t="n">
        <f aca="false">[2]Sheet1!J280</f>
        <v>5</v>
      </c>
      <c r="L280" s="0" t="n">
        <f aca="false">[2]Sheet1!K280</f>
        <v>0</v>
      </c>
      <c r="M280" s="0" t="n">
        <f aca="false">[2]Sheet1!L280</f>
        <v>22</v>
      </c>
      <c r="N280" s="0" t="n">
        <f aca="false">[2]Sheet1!M280</f>
        <v>9</v>
      </c>
      <c r="O280" s="0" t="n">
        <f aca="false">[2]Sheet1!N280</f>
        <v>0</v>
      </c>
      <c r="P280" s="226" t="n">
        <f aca="false">SUM(AY280+BA280)</f>
        <v>20.8333333333333</v>
      </c>
      <c r="Q280" s="204" t="s">
        <v>1314</v>
      </c>
      <c r="R280" s="221" t="n">
        <v>1</v>
      </c>
      <c r="S280" s="227"/>
      <c r="T280" s="71"/>
      <c r="U280" s="201"/>
      <c r="V280" s="71"/>
      <c r="W280" s="227"/>
      <c r="X280" s="71"/>
      <c r="Y280" s="201"/>
      <c r="Z280" s="71"/>
      <c r="AA280" s="227"/>
      <c r="AB280" s="71"/>
      <c r="AC280" s="201"/>
      <c r="AD280" s="71"/>
      <c r="AE280" s="227"/>
      <c r="AF280" s="71"/>
      <c r="AG280" s="201"/>
      <c r="AH280" s="71"/>
      <c r="AI280" s="227"/>
      <c r="AJ280" s="71"/>
      <c r="AK280" s="201"/>
      <c r="AL280" s="71"/>
      <c r="AM280" s="227"/>
      <c r="AN280" s="71"/>
      <c r="AO280" s="201"/>
      <c r="AP280" s="71"/>
      <c r="AQ280" s="227"/>
      <c r="AR280" s="71"/>
      <c r="AS280" s="227"/>
      <c r="AT280" s="228"/>
      <c r="AU280" s="227"/>
      <c r="AV280" s="228"/>
      <c r="AW280" s="227"/>
      <c r="AX280" s="229" t="n">
        <f aca="false">SUM(R280+T280+V280+X280+Z280+AB280+AD280+AF280+AH280+AJ280+AL280+AN280+AP280+AR280)</f>
        <v>1</v>
      </c>
      <c r="AY280" s="230" t="n">
        <f aca="false">SUM(AX280*1000)/48</f>
        <v>20.8333333333333</v>
      </c>
      <c r="AZ280" s="231" t="n">
        <f aca="false">IFERROR(VLOOKUP(A280,'Site check'!$A$14:$O$47,15,0),0)</f>
        <v>0</v>
      </c>
      <c r="BA280" s="232" t="n">
        <f aca="false">SUM(AZ280*1000)/48</f>
        <v>0</v>
      </c>
      <c r="BB280" s="90" t="n">
        <f aca="false">SUM(P280/2)+E280</f>
        <v>75.4166666666667</v>
      </c>
      <c r="BC280" s="90" t="n">
        <f aca="false">SUM(P280/2)+F280</f>
        <v>75.4166666666667</v>
      </c>
    </row>
    <row r="281" customFormat="false" ht="13.15" hidden="false" customHeight="false" outlineLevel="0" collapsed="false">
      <c r="A281" s="0" t="str">
        <f aca="false">[2]Sheet1!A281</f>
        <v>MKSTN1_SEC_DD770_GH10</v>
      </c>
      <c r="B281" s="0" t="str">
        <f aca="false">[2]Sheet1!B281</f>
        <v>MKSTN1;DC SYS01</v>
      </c>
      <c r="C281" s="44" t="str">
        <f aca="false">[2]Sheet1!C281</f>
        <v>MKSTN1</v>
      </c>
      <c r="D281" s="44" t="s">
        <v>681</v>
      </c>
      <c r="E281" s="0" t="n">
        <f aca="false">[2]Sheet1!D281</f>
        <v>125</v>
      </c>
      <c r="F281" s="0" t="n">
        <f aca="false">[2]Sheet1!E281</f>
        <v>125</v>
      </c>
      <c r="G281" s="45" t="n">
        <f aca="false">[2]Sheet1!F281</f>
        <v>44998</v>
      </c>
      <c r="H281" s="0" t="n">
        <f aca="false">[2]Sheet1!G281</f>
        <v>300</v>
      </c>
      <c r="I281" s="0" t="n">
        <f aca="false">[2]Sheet1!H281</f>
        <v>300</v>
      </c>
      <c r="J281" s="0" t="n">
        <f aca="false">[2]Sheet1!I281</f>
        <v>5</v>
      </c>
      <c r="K281" s="0" t="n">
        <f aca="false">[2]Sheet1!J281</f>
        <v>3</v>
      </c>
      <c r="L281" s="0" t="n">
        <f aca="false">[2]Sheet1!K281</f>
        <v>0</v>
      </c>
      <c r="M281" s="0" t="n">
        <f aca="false">[2]Sheet1!L281</f>
        <v>0</v>
      </c>
      <c r="N281" s="0" t="n">
        <f aca="false">[2]Sheet1!M281</f>
        <v>11</v>
      </c>
      <c r="O281" s="0" t="n">
        <f aca="false">[2]Sheet1!N281</f>
        <v>0</v>
      </c>
      <c r="P281" s="226" t="n">
        <f aca="false">SUM(AY281+BA281)</f>
        <v>0</v>
      </c>
      <c r="Q281" s="201"/>
      <c r="R281" s="71"/>
      <c r="S281" s="227"/>
      <c r="T281" s="71"/>
      <c r="U281" s="201"/>
      <c r="V281" s="71"/>
      <c r="W281" s="227"/>
      <c r="X281" s="71"/>
      <c r="Y281" s="201"/>
      <c r="Z281" s="71"/>
      <c r="AA281" s="227"/>
      <c r="AB281" s="71"/>
      <c r="AC281" s="201"/>
      <c r="AD281" s="71"/>
      <c r="AE281" s="227"/>
      <c r="AF281" s="71"/>
      <c r="AG281" s="201"/>
      <c r="AH281" s="71"/>
      <c r="AI281" s="227"/>
      <c r="AJ281" s="71"/>
      <c r="AK281" s="201"/>
      <c r="AL281" s="71"/>
      <c r="AM281" s="227"/>
      <c r="AN281" s="71"/>
      <c r="AO281" s="201"/>
      <c r="AP281" s="71"/>
      <c r="AQ281" s="227"/>
      <c r="AR281" s="71"/>
      <c r="AS281" s="227"/>
      <c r="AT281" s="228"/>
      <c r="AU281" s="227"/>
      <c r="AV281" s="228"/>
      <c r="AW281" s="227"/>
      <c r="AX281" s="229" t="n">
        <f aca="false">SUM(R281+T281+V281+X281+Z281+AB281+AD281+AF281+AH281+AJ281+AL281+AN281+AP281+AR281)</f>
        <v>0</v>
      </c>
      <c r="AY281" s="230" t="n">
        <f aca="false">SUM(AX281*1000)/48</f>
        <v>0</v>
      </c>
      <c r="AZ281" s="231" t="n">
        <f aca="false">IFERROR(VLOOKUP(A281,'Site check'!$A$14:$O$47,15,0),0)</f>
        <v>0</v>
      </c>
      <c r="BA281" s="232" t="n">
        <f aca="false">SUM(AZ281*1000)/48</f>
        <v>0</v>
      </c>
      <c r="BB281" s="90" t="n">
        <f aca="false">SUM(P281/2)+E281</f>
        <v>125</v>
      </c>
      <c r="BC281" s="90" t="n">
        <f aca="false">SUM(P281/2)+F281</f>
        <v>125</v>
      </c>
    </row>
    <row r="282" customFormat="false" ht="13.15" hidden="false" customHeight="false" outlineLevel="0" collapsed="false">
      <c r="A282" s="0" t="str">
        <f aca="false">[2]Sheet1!A282</f>
        <v>STEDN1_Duvine Power Rack.</v>
      </c>
      <c r="B282" s="0" t="str">
        <f aca="false">[2]Sheet1!B282</f>
        <v>STEDN1;DC SYS01</v>
      </c>
      <c r="C282" s="44" t="str">
        <f aca="false">[2]Sheet1!C282</f>
        <v>STEDN1</v>
      </c>
      <c r="D282" s="44" t="s">
        <v>779</v>
      </c>
      <c r="E282" s="0" t="n">
        <f aca="false">[2]Sheet1!D282</f>
        <v>120</v>
      </c>
      <c r="F282" s="0" t="n">
        <f aca="false">[2]Sheet1!E282</f>
        <v>0</v>
      </c>
      <c r="G282" s="45" t="n">
        <f aca="false">[2]Sheet1!F282</f>
        <v>44239</v>
      </c>
      <c r="H282" s="0" t="n">
        <f aca="false">[2]Sheet1!G282</f>
        <v>300</v>
      </c>
      <c r="I282" s="0" t="n">
        <f aca="false">[2]Sheet1!H282</f>
        <v>300</v>
      </c>
      <c r="J282" s="0" t="n">
        <f aca="false">[2]Sheet1!I282</f>
        <v>0</v>
      </c>
      <c r="K282" s="0" t="n">
        <f aca="false">[2]Sheet1!J282</f>
        <v>0</v>
      </c>
      <c r="L282" s="0" t="n">
        <f aca="false">[2]Sheet1!K282</f>
        <v>0</v>
      </c>
      <c r="M282" s="0" t="n">
        <f aca="false">[2]Sheet1!L282</f>
        <v>2</v>
      </c>
      <c r="N282" s="0" t="n">
        <f aca="false">[2]Sheet1!M282</f>
        <v>0</v>
      </c>
      <c r="O282" s="0" t="n">
        <f aca="false">[2]Sheet1!N282</f>
        <v>0</v>
      </c>
      <c r="P282" s="226" t="n">
        <f aca="false">SUM(AY282+BA282)</f>
        <v>0</v>
      </c>
      <c r="Q282" s="201"/>
      <c r="R282" s="71"/>
      <c r="S282" s="227"/>
      <c r="T282" s="71"/>
      <c r="U282" s="201"/>
      <c r="V282" s="71"/>
      <c r="W282" s="227"/>
      <c r="X282" s="71"/>
      <c r="Y282" s="201"/>
      <c r="Z282" s="71"/>
      <c r="AA282" s="227"/>
      <c r="AB282" s="71"/>
      <c r="AC282" s="201"/>
      <c r="AD282" s="71"/>
      <c r="AE282" s="227"/>
      <c r="AF282" s="71"/>
      <c r="AG282" s="201"/>
      <c r="AH282" s="71"/>
      <c r="AI282" s="227"/>
      <c r="AJ282" s="71"/>
      <c r="AK282" s="201"/>
      <c r="AL282" s="71"/>
      <c r="AM282" s="227"/>
      <c r="AN282" s="71"/>
      <c r="AO282" s="201"/>
      <c r="AP282" s="71"/>
      <c r="AQ282" s="227"/>
      <c r="AR282" s="71"/>
      <c r="AS282" s="227"/>
      <c r="AT282" s="228"/>
      <c r="AU282" s="227"/>
      <c r="AV282" s="228"/>
      <c r="AW282" s="227"/>
      <c r="AX282" s="229" t="n">
        <f aca="false">SUM(R282+T282+V282+X282+Z282+AB282+AD282+AF282+AH282+AJ282+AL282+AN282+AP282+AR282)</f>
        <v>0</v>
      </c>
      <c r="AY282" s="230" t="n">
        <f aca="false">SUM(AX282*1000)/48</f>
        <v>0</v>
      </c>
      <c r="AZ282" s="231" t="n">
        <f aca="false">IFERROR(VLOOKUP(A282,'Site check'!$A$14:$O$47,15,0),0)</f>
        <v>0</v>
      </c>
      <c r="BA282" s="232" t="n">
        <f aca="false">SUM(AZ282*1000)/48</f>
        <v>0</v>
      </c>
      <c r="BB282" s="90" t="n">
        <f aca="false">SUM(P282/2)+E282</f>
        <v>120</v>
      </c>
      <c r="BC282" s="90" t="n">
        <f aca="false">SUM(P282/2)+F282</f>
        <v>0</v>
      </c>
    </row>
    <row r="283" customFormat="false" ht="13.15" hidden="false" customHeight="false" outlineLevel="0" collapsed="false">
      <c r="A283" s="0" t="str">
        <f aca="false">[2]Sheet1!A283</f>
        <v>BFEC01_SEC_DB00_DCDIST_8A</v>
      </c>
      <c r="B283" s="0" t="str">
        <f aca="false">[2]Sheet1!B283</f>
        <v>BFEC01;DC SYS01</v>
      </c>
      <c r="C283" s="44" t="str">
        <f aca="false">[2]Sheet1!C283</f>
        <v>BFEC01</v>
      </c>
      <c r="D283" s="44" t="s">
        <v>402</v>
      </c>
      <c r="E283" s="0" t="n">
        <f aca="false">[2]Sheet1!D283</f>
        <v>50</v>
      </c>
      <c r="F283" s="0" t="n">
        <f aca="false">[2]Sheet1!E283</f>
        <v>0</v>
      </c>
      <c r="G283" s="45" t="n">
        <f aca="false">[2]Sheet1!F283</f>
        <v>42422</v>
      </c>
      <c r="H283" s="0" t="n">
        <f aca="false">[2]Sheet1!G283</f>
        <v>300</v>
      </c>
      <c r="I283" s="0" t="n">
        <f aca="false">[2]Sheet1!H283</f>
        <v>0</v>
      </c>
      <c r="J283" s="0" t="n">
        <f aca="false">[2]Sheet1!I283</f>
        <v>0</v>
      </c>
      <c r="K283" s="0" t="n">
        <f aca="false">[2]Sheet1!J283</f>
        <v>0</v>
      </c>
      <c r="L283" s="0" t="n">
        <f aca="false">[2]Sheet1!K283</f>
        <v>38</v>
      </c>
      <c r="M283" s="0" t="n">
        <f aca="false">[2]Sheet1!L283</f>
        <v>0</v>
      </c>
      <c r="N283" s="0" t="n">
        <f aca="false">[2]Sheet1!M283</f>
        <v>0</v>
      </c>
      <c r="O283" s="0" t="n">
        <f aca="false">[2]Sheet1!N283</f>
        <v>0</v>
      </c>
      <c r="P283" s="226" t="n">
        <f aca="false">SUM(AY283+BA283)</f>
        <v>0</v>
      </c>
      <c r="Q283" s="201"/>
      <c r="R283" s="71"/>
      <c r="S283" s="227"/>
      <c r="T283" s="71"/>
      <c r="U283" s="201"/>
      <c r="V283" s="71"/>
      <c r="W283" s="227"/>
      <c r="X283" s="71"/>
      <c r="Y283" s="201"/>
      <c r="Z283" s="71"/>
      <c r="AA283" s="227"/>
      <c r="AB283" s="71"/>
      <c r="AC283" s="201"/>
      <c r="AD283" s="71"/>
      <c r="AE283" s="227"/>
      <c r="AF283" s="71"/>
      <c r="AG283" s="201"/>
      <c r="AH283" s="71"/>
      <c r="AI283" s="227"/>
      <c r="AJ283" s="71"/>
      <c r="AK283" s="201"/>
      <c r="AL283" s="71"/>
      <c r="AM283" s="227"/>
      <c r="AN283" s="71"/>
      <c r="AO283" s="201"/>
      <c r="AP283" s="71"/>
      <c r="AQ283" s="227"/>
      <c r="AR283" s="71"/>
      <c r="AS283" s="227"/>
      <c r="AT283" s="228"/>
      <c r="AU283" s="227"/>
      <c r="AV283" s="228"/>
      <c r="AW283" s="227"/>
      <c r="AX283" s="229" t="n">
        <f aca="false">SUM(R283+T283+V283+X283+Z283+AB283+AD283+AF283+AH283+AJ283+AL283+AN283+AP283+AR283)</f>
        <v>0</v>
      </c>
      <c r="AY283" s="230" t="n">
        <f aca="false">SUM(AX283*1000)/48</f>
        <v>0</v>
      </c>
      <c r="AZ283" s="231" t="n">
        <f aca="false">IFERROR(VLOOKUP(A283,'Site check'!$A$14:$O$47,15,0),0)</f>
        <v>0</v>
      </c>
      <c r="BA283" s="232" t="n">
        <f aca="false">SUM(AZ283*1000)/48</f>
        <v>0</v>
      </c>
      <c r="BB283" s="90" t="n">
        <f aca="false">SUM(P283/2)+E283</f>
        <v>50</v>
      </c>
      <c r="BC283" s="90" t="n">
        <f aca="false">SUM(P283/2)+F283</f>
        <v>0</v>
      </c>
    </row>
    <row r="284" customFormat="false" ht="13.15" hidden="false" customHeight="false" outlineLevel="0" collapsed="false">
      <c r="A284" s="0" t="str">
        <f aca="false">[2]Sheet1!A284</f>
        <v>BFEC01_SEC_DB00_DCDIST_8B</v>
      </c>
      <c r="B284" s="0" t="str">
        <f aca="false">[2]Sheet1!B284</f>
        <v>BFEC01;DC SYS01</v>
      </c>
      <c r="C284" s="44" t="str">
        <f aca="false">[2]Sheet1!C284</f>
        <v>BFEC01</v>
      </c>
      <c r="D284" s="44" t="s">
        <v>402</v>
      </c>
      <c r="E284" s="0" t="n">
        <f aca="false">[2]Sheet1!D284</f>
        <v>50</v>
      </c>
      <c r="F284" s="0" t="n">
        <f aca="false">[2]Sheet1!E284</f>
        <v>50</v>
      </c>
      <c r="G284" s="45" t="n">
        <f aca="false">[2]Sheet1!F284</f>
        <v>42422</v>
      </c>
      <c r="H284" s="0" t="n">
        <f aca="false">[2]Sheet1!G284</f>
        <v>300</v>
      </c>
      <c r="I284" s="0" t="n">
        <f aca="false">[2]Sheet1!H284</f>
        <v>300</v>
      </c>
      <c r="J284" s="0" t="n">
        <f aca="false">[2]Sheet1!I284</f>
        <v>0</v>
      </c>
      <c r="K284" s="0" t="n">
        <f aca="false">[2]Sheet1!J284</f>
        <v>0</v>
      </c>
      <c r="L284" s="0" t="n">
        <f aca="false">[2]Sheet1!K284</f>
        <v>42</v>
      </c>
      <c r="M284" s="0" t="n">
        <f aca="false">[2]Sheet1!L284</f>
        <v>1</v>
      </c>
      <c r="N284" s="0" t="n">
        <f aca="false">[2]Sheet1!M284</f>
        <v>3</v>
      </c>
      <c r="O284" s="0" t="n">
        <f aca="false">[2]Sheet1!N284</f>
        <v>0</v>
      </c>
      <c r="P284" s="226" t="n">
        <f aca="false">SUM(AY284+BA284)</f>
        <v>0</v>
      </c>
      <c r="Q284" s="170"/>
      <c r="R284" s="234"/>
      <c r="S284" s="177"/>
      <c r="T284" s="242"/>
      <c r="U284" s="204"/>
      <c r="V284" s="221"/>
      <c r="W284" s="179"/>
      <c r="X284" s="221"/>
      <c r="Y284" s="179"/>
      <c r="Z284" s="221"/>
      <c r="AA284" s="227"/>
      <c r="AB284" s="71"/>
      <c r="AC284" s="201"/>
      <c r="AD284" s="71"/>
      <c r="AE284" s="227"/>
      <c r="AF284" s="71"/>
      <c r="AG284" s="201"/>
      <c r="AH284" s="71"/>
      <c r="AI284" s="227"/>
      <c r="AJ284" s="71"/>
      <c r="AK284" s="201"/>
      <c r="AL284" s="71"/>
      <c r="AM284" s="227"/>
      <c r="AN284" s="71"/>
      <c r="AO284" s="201"/>
      <c r="AP284" s="71"/>
      <c r="AQ284" s="227"/>
      <c r="AR284" s="71"/>
      <c r="AS284" s="227"/>
      <c r="AT284" s="228"/>
      <c r="AU284" s="227"/>
      <c r="AV284" s="228"/>
      <c r="AW284" s="227"/>
      <c r="AX284" s="229" t="n">
        <f aca="false">SUM(R284+T284+V284+X284+Z284+AB284+AD284+AF284+AH284+AJ284+AL284+AN284+AP284+AR284)</f>
        <v>0</v>
      </c>
      <c r="AY284" s="230" t="n">
        <f aca="false">SUM(AX284*1000)/48</f>
        <v>0</v>
      </c>
      <c r="AZ284" s="231" t="n">
        <f aca="false">IFERROR(VLOOKUP(A284,'Site check'!$A$14:$O$47,15,0),0)</f>
        <v>0</v>
      </c>
      <c r="BA284" s="232" t="n">
        <f aca="false">SUM(AZ284*1000)/48</f>
        <v>0</v>
      </c>
      <c r="BB284" s="90" t="n">
        <f aca="false">SUM(P284/2)+E284</f>
        <v>50</v>
      </c>
      <c r="BC284" s="90" t="n">
        <f aca="false">SUM(P284/2)+F284</f>
        <v>50</v>
      </c>
    </row>
    <row r="285" customFormat="false" ht="13.15" hidden="false" customHeight="false" outlineLevel="0" collapsed="false">
      <c r="A285" s="0" t="str">
        <f aca="false">[2]Sheet1!A285</f>
        <v>BFEC01_SEC_EATON_C10</v>
      </c>
      <c r="B285" s="0" t="str">
        <f aca="false">[2]Sheet1!B285</f>
        <v>BFEC01;DC SYS01</v>
      </c>
      <c r="C285" s="44" t="str">
        <f aca="false">[2]Sheet1!C285</f>
        <v>BFEC01</v>
      </c>
      <c r="D285" s="44" t="s">
        <v>402</v>
      </c>
      <c r="E285" s="0" t="n">
        <f aca="false">[2]Sheet1!D285</f>
        <v>70</v>
      </c>
      <c r="F285" s="0" t="n">
        <f aca="false">[2]Sheet1!E285</f>
        <v>70</v>
      </c>
      <c r="G285" s="45" t="n">
        <f aca="false">[2]Sheet1!F285</f>
        <v>45357</v>
      </c>
      <c r="H285" s="0" t="n">
        <f aca="false">[2]Sheet1!G285</f>
        <v>300</v>
      </c>
      <c r="I285" s="0" t="n">
        <f aca="false">[2]Sheet1!H285</f>
        <v>300</v>
      </c>
      <c r="J285" s="0" t="n">
        <f aca="false">[2]Sheet1!I285</f>
        <v>0</v>
      </c>
      <c r="K285" s="0" t="n">
        <f aca="false">[2]Sheet1!J285</f>
        <v>0</v>
      </c>
      <c r="L285" s="0" t="n">
        <f aca="false">[2]Sheet1!K285</f>
        <v>0</v>
      </c>
      <c r="M285" s="0" t="n">
        <f aca="false">[2]Sheet1!L285</f>
        <v>0</v>
      </c>
      <c r="N285" s="0" t="n">
        <f aca="false">[2]Sheet1!M285</f>
        <v>0</v>
      </c>
      <c r="O285" s="0" t="n">
        <f aca="false">[2]Sheet1!N285</f>
        <v>0</v>
      </c>
      <c r="P285" s="226" t="n">
        <f aca="false">SUM(AY285+BA285)</f>
        <v>525</v>
      </c>
      <c r="Q285" s="170" t="s">
        <v>987</v>
      </c>
      <c r="R285" s="234" t="n">
        <v>5</v>
      </c>
      <c r="S285" s="177" t="s">
        <v>988</v>
      </c>
      <c r="T285" s="242" t="n">
        <v>1</v>
      </c>
      <c r="U285" s="177" t="s">
        <v>989</v>
      </c>
      <c r="V285" s="235" t="n">
        <v>5</v>
      </c>
      <c r="W285" s="187" t="s">
        <v>990</v>
      </c>
      <c r="X285" s="248" t="n">
        <v>5</v>
      </c>
      <c r="Y285" s="187" t="s">
        <v>991</v>
      </c>
      <c r="Z285" s="248" t="n">
        <v>5</v>
      </c>
      <c r="AA285" s="179" t="s">
        <v>992</v>
      </c>
      <c r="AB285" s="180" t="n">
        <v>4.2</v>
      </c>
      <c r="AC285" s="201"/>
      <c r="AD285" s="71"/>
      <c r="AE285" s="227"/>
      <c r="AF285" s="71"/>
      <c r="AG285" s="201"/>
      <c r="AH285" s="71"/>
      <c r="AI285" s="227"/>
      <c r="AJ285" s="71"/>
      <c r="AK285" s="201"/>
      <c r="AL285" s="71"/>
      <c r="AM285" s="227"/>
      <c r="AN285" s="71"/>
      <c r="AO285" s="201"/>
      <c r="AP285" s="71"/>
      <c r="AQ285" s="227"/>
      <c r="AR285" s="71"/>
      <c r="AS285" s="227"/>
      <c r="AT285" s="228"/>
      <c r="AU285" s="227"/>
      <c r="AV285" s="228"/>
      <c r="AW285" s="227"/>
      <c r="AX285" s="229" t="n">
        <f aca="false">SUM(R285+T285+V285+X285+Z285+AB285+AD285+AF285+AH285+AJ285+AL285+AN285+AP285+AR285)</f>
        <v>25.2</v>
      </c>
      <c r="AY285" s="230" t="n">
        <f aca="false">SUM(AX285*1000)/48</f>
        <v>525</v>
      </c>
      <c r="AZ285" s="231" t="n">
        <f aca="false">IFERROR(VLOOKUP(A285,'Site check'!$A$14:$O$47,15,0),0)</f>
        <v>0</v>
      </c>
      <c r="BA285" s="232" t="n">
        <f aca="false">SUM(AZ285*1000)/48</f>
        <v>0</v>
      </c>
      <c r="BB285" s="90" t="n">
        <f aca="false">SUM(P285/2)+E285</f>
        <v>332.5</v>
      </c>
      <c r="BC285" s="90" t="n">
        <f aca="false">SUM(P285/2)+F285</f>
        <v>332.5</v>
      </c>
    </row>
    <row r="286" customFormat="false" ht="13.15" hidden="false" customHeight="false" outlineLevel="0" collapsed="false">
      <c r="A286" s="0" t="str">
        <f aca="false">[2]Sheet1!A286</f>
        <v>DD770_1_BC01</v>
      </c>
      <c r="B286" s="0" t="str">
        <f aca="false">[2]Sheet1!B286</f>
        <v>BFTN03;DC SYS01</v>
      </c>
      <c r="C286" s="44" t="str">
        <f aca="false">[2]Sheet1!C286</f>
        <v>BFTN03</v>
      </c>
      <c r="D286" s="44" t="s">
        <v>405</v>
      </c>
      <c r="E286" s="0" t="n">
        <f aca="false">[2]Sheet1!D286</f>
        <v>90</v>
      </c>
      <c r="F286" s="0" t="n">
        <f aca="false">[2]Sheet1!E286</f>
        <v>90</v>
      </c>
      <c r="G286" s="45" t="n">
        <f aca="false">[2]Sheet1!F286</f>
        <v>44160</v>
      </c>
      <c r="H286" s="0" t="n">
        <f aca="false">[2]Sheet1!G286</f>
        <v>300</v>
      </c>
      <c r="I286" s="0" t="n">
        <f aca="false">[2]Sheet1!H286</f>
        <v>300</v>
      </c>
      <c r="J286" s="0" t="n">
        <f aca="false">[2]Sheet1!I286</f>
        <v>0</v>
      </c>
      <c r="K286" s="0" t="n">
        <f aca="false">[2]Sheet1!J286</f>
        <v>0</v>
      </c>
      <c r="L286" s="0" t="n">
        <f aca="false">[2]Sheet1!K286</f>
        <v>0</v>
      </c>
      <c r="M286" s="0" t="n">
        <f aca="false">[2]Sheet1!L286</f>
        <v>9</v>
      </c>
      <c r="N286" s="0" t="n">
        <f aca="false">[2]Sheet1!M286</f>
        <v>8</v>
      </c>
      <c r="O286" s="0" t="n">
        <f aca="false">[2]Sheet1!N286</f>
        <v>0</v>
      </c>
      <c r="P286" s="226" t="n">
        <f aca="false">SUM(AY286+BA286)</f>
        <v>197.916666666667</v>
      </c>
      <c r="Q286" s="170" t="s">
        <v>993</v>
      </c>
      <c r="R286" s="234" t="n">
        <v>5</v>
      </c>
      <c r="S286" s="170" t="s">
        <v>1459</v>
      </c>
      <c r="T286" s="234" t="n">
        <v>3.5</v>
      </c>
      <c r="U286" s="177" t="s">
        <v>996</v>
      </c>
      <c r="V286" s="235" t="n">
        <v>1</v>
      </c>
      <c r="W286" s="227"/>
      <c r="X286" s="71"/>
      <c r="Y286" s="201"/>
      <c r="Z286" s="71"/>
      <c r="AA286" s="227"/>
      <c r="AB286" s="71"/>
      <c r="AC286" s="201"/>
      <c r="AD286" s="71"/>
      <c r="AE286" s="227"/>
      <c r="AF286" s="71"/>
      <c r="AG286" s="201"/>
      <c r="AH286" s="71"/>
      <c r="AI286" s="227"/>
      <c r="AJ286" s="71"/>
      <c r="AK286" s="201"/>
      <c r="AL286" s="71"/>
      <c r="AM286" s="227"/>
      <c r="AN286" s="71"/>
      <c r="AO286" s="201"/>
      <c r="AP286" s="71"/>
      <c r="AQ286" s="227"/>
      <c r="AR286" s="71"/>
      <c r="AS286" s="227"/>
      <c r="AT286" s="228"/>
      <c r="AU286" s="227"/>
      <c r="AV286" s="228"/>
      <c r="AW286" s="227"/>
      <c r="AX286" s="229" t="n">
        <f aca="false">SUM(R286+T286+V286+X286+Z286+AB286+AD286+AF286+AH286+AJ286+AL286+AN286+AP286+AR286)</f>
        <v>9.5</v>
      </c>
      <c r="AY286" s="230" t="n">
        <f aca="false">SUM(AX286*1000)/48</f>
        <v>197.916666666667</v>
      </c>
      <c r="AZ286" s="231" t="n">
        <f aca="false">IFERROR(VLOOKUP(A286,'Site check'!$A$14:$O$47,15,0),0)</f>
        <v>0</v>
      </c>
      <c r="BA286" s="232" t="n">
        <f aca="false">SUM(AZ286*1000)/48</f>
        <v>0</v>
      </c>
      <c r="BB286" s="90" t="n">
        <f aca="false">SUM(P286/2)+E286</f>
        <v>188.958333333333</v>
      </c>
      <c r="BC286" s="90" t="n">
        <f aca="false">SUM(P286/2)+F286</f>
        <v>188.958333333333</v>
      </c>
    </row>
    <row r="287" customFormat="false" ht="13.15" hidden="false" customHeight="false" outlineLevel="0" collapsed="false">
      <c r="A287" s="0" t="str">
        <f aca="false">[2]Sheet1!A287</f>
        <v>DD770_2_DE01</v>
      </c>
      <c r="B287" s="0" t="str">
        <f aca="false">[2]Sheet1!B287</f>
        <v>BFTN03;DC SYS01</v>
      </c>
      <c r="C287" s="44" t="str">
        <f aca="false">[2]Sheet1!C287</f>
        <v>BFTN03</v>
      </c>
      <c r="D287" s="44" t="s">
        <v>405</v>
      </c>
      <c r="E287" s="0" t="n">
        <f aca="false">[2]Sheet1!D287</f>
        <v>45</v>
      </c>
      <c r="F287" s="0" t="n">
        <f aca="false">[2]Sheet1!E287</f>
        <v>40</v>
      </c>
      <c r="G287" s="45" t="n">
        <f aca="false">[2]Sheet1!F287</f>
        <v>45350</v>
      </c>
      <c r="H287" s="0" t="n">
        <f aca="false">[2]Sheet1!G287</f>
        <v>300</v>
      </c>
      <c r="I287" s="0" t="n">
        <f aca="false">[2]Sheet1!H287</f>
        <v>300</v>
      </c>
      <c r="J287" s="0" t="n">
        <f aca="false">[2]Sheet1!I287</f>
        <v>0</v>
      </c>
      <c r="K287" s="0" t="n">
        <f aca="false">[2]Sheet1!J287</f>
        <v>2</v>
      </c>
      <c r="L287" s="0" t="n">
        <f aca="false">[2]Sheet1!K287</f>
        <v>2</v>
      </c>
      <c r="M287" s="0" t="n">
        <f aca="false">[2]Sheet1!L287</f>
        <v>1</v>
      </c>
      <c r="N287" s="0" t="n">
        <f aca="false">[2]Sheet1!M287</f>
        <v>0</v>
      </c>
      <c r="O287" s="0" t="n">
        <f aca="false">[2]Sheet1!N287</f>
        <v>0</v>
      </c>
      <c r="P287" s="226" t="n">
        <f aca="false">SUM(AY287+BA287)</f>
        <v>441.666666666667</v>
      </c>
      <c r="Q287" s="170" t="s">
        <v>994</v>
      </c>
      <c r="R287" s="234" t="n">
        <v>3.5</v>
      </c>
      <c r="S287" s="181" t="s">
        <v>997</v>
      </c>
      <c r="T287" s="235" t="n">
        <v>5</v>
      </c>
      <c r="U287" s="181" t="s">
        <v>998</v>
      </c>
      <c r="V287" s="235" t="n">
        <v>5</v>
      </c>
      <c r="W287" s="181" t="s">
        <v>999</v>
      </c>
      <c r="X287" s="175" t="n">
        <v>3.5</v>
      </c>
      <c r="Y287" s="179" t="s">
        <v>1000</v>
      </c>
      <c r="Z287" s="180" t="n">
        <v>4.2</v>
      </c>
      <c r="AA287" s="227"/>
      <c r="AB287" s="71"/>
      <c r="AC287" s="201"/>
      <c r="AD287" s="71"/>
      <c r="AE287" s="227"/>
      <c r="AF287" s="71"/>
      <c r="AG287" s="201"/>
      <c r="AH287" s="71"/>
      <c r="AI287" s="227"/>
      <c r="AJ287" s="71"/>
      <c r="AK287" s="201"/>
      <c r="AL287" s="71"/>
      <c r="AM287" s="227"/>
      <c r="AN287" s="71"/>
      <c r="AO287" s="201"/>
      <c r="AP287" s="71"/>
      <c r="AQ287" s="227"/>
      <c r="AR287" s="71"/>
      <c r="AS287" s="227"/>
      <c r="AT287" s="228"/>
      <c r="AU287" s="227"/>
      <c r="AV287" s="228"/>
      <c r="AW287" s="227"/>
      <c r="AX287" s="229" t="n">
        <f aca="false">SUM(R287+T287+V287+X287+Z287+AB287+AD287+AF287+AH287+AJ287+AL287+AN287+AP287+AR287)</f>
        <v>21.2</v>
      </c>
      <c r="AY287" s="230" t="n">
        <f aca="false">SUM(AX287*1000)/48</f>
        <v>441.666666666667</v>
      </c>
      <c r="AZ287" s="231" t="n">
        <f aca="false">IFERROR(VLOOKUP(A287,'Site check'!$A$14:$O$47,15,0),0)</f>
        <v>0</v>
      </c>
      <c r="BA287" s="232" t="n">
        <f aca="false">SUM(AZ287*1000)/48</f>
        <v>0</v>
      </c>
      <c r="BB287" s="90" t="n">
        <f aca="false">SUM(P287/2)+E287</f>
        <v>265.833333333333</v>
      </c>
      <c r="BC287" s="90" t="n">
        <f aca="false">SUM(P287/2)+F287</f>
        <v>260.833333333333</v>
      </c>
    </row>
    <row r="288" customFormat="false" ht="13.15" hidden="false" customHeight="false" outlineLevel="0" collapsed="false">
      <c r="A288" s="0" t="str">
        <f aca="false">[2]Sheet1!A288</f>
        <v>DD770_3_FG01</v>
      </c>
      <c r="B288" s="0" t="str">
        <f aca="false">[2]Sheet1!B288</f>
        <v>BFTN03;DC SYS01</v>
      </c>
      <c r="C288" s="44" t="str">
        <f aca="false">[2]Sheet1!C288</f>
        <v>BFTN03</v>
      </c>
      <c r="D288" s="44" t="s">
        <v>405</v>
      </c>
      <c r="E288" s="0" t="str">
        <f aca="false">[2]Sheet1!D288</f>
        <v>Not correct form</v>
      </c>
      <c r="F288" s="0" t="n">
        <f aca="false">[2]Sheet1!E288</f>
        <v>0</v>
      </c>
      <c r="G288" s="45" t="n">
        <f aca="false">[2]Sheet1!F288</f>
        <v>0</v>
      </c>
      <c r="H288" s="0" t="n">
        <f aca="false">[2]Sheet1!G288</f>
        <v>0</v>
      </c>
      <c r="I288" s="0" t="n">
        <f aca="false">[2]Sheet1!H288</f>
        <v>0</v>
      </c>
      <c r="J288" s="0" t="n">
        <f aca="false">[2]Sheet1!I288</f>
        <v>0</v>
      </c>
      <c r="K288" s="0" t="n">
        <f aca="false">[2]Sheet1!J288</f>
        <v>0</v>
      </c>
      <c r="L288" s="0" t="n">
        <f aca="false">[2]Sheet1!K288</f>
        <v>0</v>
      </c>
      <c r="M288" s="0" t="n">
        <f aca="false">[2]Sheet1!L288</f>
        <v>0</v>
      </c>
      <c r="N288" s="0" t="n">
        <f aca="false">[2]Sheet1!M288</f>
        <v>0</v>
      </c>
      <c r="O288" s="0" t="n">
        <f aca="false">[2]Sheet1!N288</f>
        <v>0</v>
      </c>
      <c r="P288" s="226" t="n">
        <f aca="false">SUM(AY288+BA288)</f>
        <v>0</v>
      </c>
      <c r="Q288" s="201"/>
      <c r="R288" s="71"/>
      <c r="S288" s="227"/>
      <c r="T288" s="71"/>
      <c r="U288" s="201"/>
      <c r="V288" s="71"/>
      <c r="W288" s="227"/>
      <c r="X288" s="71"/>
      <c r="Y288" s="201"/>
      <c r="Z288" s="71"/>
      <c r="AA288" s="227"/>
      <c r="AB288" s="71"/>
      <c r="AC288" s="201"/>
      <c r="AD288" s="71"/>
      <c r="AE288" s="227"/>
      <c r="AF288" s="71"/>
      <c r="AG288" s="201"/>
      <c r="AH288" s="71"/>
      <c r="AI288" s="227"/>
      <c r="AJ288" s="71"/>
      <c r="AK288" s="201"/>
      <c r="AL288" s="71"/>
      <c r="AM288" s="227"/>
      <c r="AN288" s="71"/>
      <c r="AO288" s="201"/>
      <c r="AP288" s="71"/>
      <c r="AQ288" s="227"/>
      <c r="AR288" s="71"/>
      <c r="AS288" s="227"/>
      <c r="AT288" s="228"/>
      <c r="AU288" s="227"/>
      <c r="AV288" s="228"/>
      <c r="AW288" s="227"/>
      <c r="AX288" s="229" t="n">
        <f aca="false">SUM(R288+T288+V288+X288+Z288+AB288+AD288+AF288+AH288+AJ288+AL288+AN288+AP288+AR288)</f>
        <v>0</v>
      </c>
      <c r="AY288" s="230" t="n">
        <f aca="false">SUM(AX288*1000)/48</f>
        <v>0</v>
      </c>
      <c r="AZ288" s="231" t="n">
        <f aca="false">IFERROR(VLOOKUP(A288,'Site check'!$A$14:$O$47,15,0),0)</f>
        <v>0</v>
      </c>
      <c r="BA288" s="232" t="n">
        <f aca="false">SUM(AZ288*1000)/48</f>
        <v>0</v>
      </c>
      <c r="BB288" s="90" t="e">
        <f aca="false">SUM(P288/2)+E288</f>
        <v>#VALUE!</v>
      </c>
      <c r="BC288" s="90" t="n">
        <f aca="false">SUM(P288/2)+F288</f>
        <v>0</v>
      </c>
    </row>
    <row r="289" customFormat="false" ht="13.15" hidden="false" customHeight="false" outlineLevel="0" collapsed="false">
      <c r="A289" s="0" t="str">
        <f aca="false">[2]Sheet1!A289</f>
        <v>DD770_4_FG03</v>
      </c>
      <c r="B289" s="0" t="str">
        <f aca="false">[2]Sheet1!B289</f>
        <v>BFTN03;DC SYS01</v>
      </c>
      <c r="C289" s="44" t="str">
        <f aca="false">[2]Sheet1!C289</f>
        <v>BFTN03</v>
      </c>
      <c r="D289" s="44" t="s">
        <v>405</v>
      </c>
      <c r="E289" s="0" t="str">
        <f aca="false">[2]Sheet1!D289</f>
        <v>Not correct form</v>
      </c>
      <c r="F289" s="0" t="n">
        <f aca="false">[2]Sheet1!E289</f>
        <v>0</v>
      </c>
      <c r="G289" s="45" t="n">
        <f aca="false">[2]Sheet1!F289</f>
        <v>0</v>
      </c>
      <c r="H289" s="0" t="n">
        <f aca="false">[2]Sheet1!G289</f>
        <v>0</v>
      </c>
      <c r="I289" s="0" t="n">
        <f aca="false">[2]Sheet1!H289</f>
        <v>0</v>
      </c>
      <c r="J289" s="0" t="n">
        <f aca="false">[2]Sheet1!I289</f>
        <v>0</v>
      </c>
      <c r="K289" s="0" t="n">
        <f aca="false">[2]Sheet1!J289</f>
        <v>0</v>
      </c>
      <c r="L289" s="0" t="n">
        <f aca="false">[2]Sheet1!K289</f>
        <v>0</v>
      </c>
      <c r="M289" s="0" t="n">
        <f aca="false">[2]Sheet1!L289</f>
        <v>0</v>
      </c>
      <c r="N289" s="0" t="n">
        <f aca="false">[2]Sheet1!M289</f>
        <v>0</v>
      </c>
      <c r="O289" s="0" t="n">
        <f aca="false">[2]Sheet1!N289</f>
        <v>0</v>
      </c>
      <c r="P289" s="226" t="n">
        <f aca="false">SUM(AY289+BA289)</f>
        <v>0</v>
      </c>
      <c r="Q289" s="201"/>
      <c r="R289" s="71"/>
      <c r="S289" s="227"/>
      <c r="T289" s="71"/>
      <c r="U289" s="201"/>
      <c r="V289" s="71"/>
      <c r="W289" s="227"/>
      <c r="X289" s="71"/>
      <c r="Y289" s="201"/>
      <c r="Z289" s="71"/>
      <c r="AA289" s="227"/>
      <c r="AB289" s="71"/>
      <c r="AC289" s="201"/>
      <c r="AD289" s="71"/>
      <c r="AE289" s="227"/>
      <c r="AF289" s="71"/>
      <c r="AG289" s="201"/>
      <c r="AH289" s="71"/>
      <c r="AI289" s="227"/>
      <c r="AJ289" s="71"/>
      <c r="AK289" s="201"/>
      <c r="AL289" s="71"/>
      <c r="AM289" s="227"/>
      <c r="AN289" s="71"/>
      <c r="AO289" s="201"/>
      <c r="AP289" s="71"/>
      <c r="AQ289" s="227"/>
      <c r="AR289" s="71"/>
      <c r="AS289" s="227"/>
      <c r="AT289" s="228"/>
      <c r="AU289" s="227"/>
      <c r="AV289" s="228"/>
      <c r="AW289" s="227"/>
      <c r="AX289" s="229" t="n">
        <f aca="false">SUM(R289+T289+V289+X289+Z289+AB289+AD289+AF289+AH289+AJ289+AL289+AN289+AP289+AR289)</f>
        <v>0</v>
      </c>
      <c r="AY289" s="230" t="n">
        <f aca="false">SUM(AX289*1000)/48</f>
        <v>0</v>
      </c>
      <c r="AZ289" s="231" t="n">
        <f aca="false">IFERROR(VLOOKUP(A289,'Site check'!$A$14:$O$47,15,0),0)</f>
        <v>0</v>
      </c>
      <c r="BA289" s="232" t="n">
        <f aca="false">SUM(AZ289*1000)/48</f>
        <v>0</v>
      </c>
      <c r="BB289" s="90" t="e">
        <f aca="false">SUM(P289/2)+E289</f>
        <v>#VALUE!</v>
      </c>
      <c r="BC289" s="90" t="n">
        <f aca="false">SUM(P289/2)+F289</f>
        <v>0</v>
      </c>
    </row>
    <row r="290" customFormat="false" ht="13.15" hidden="false" customHeight="false" outlineLevel="0" collapsed="false">
      <c r="A290" s="0" t="str">
        <f aca="false">[2]Sheet1!A290</f>
        <v>ABN_SEC_DD770_GH02</v>
      </c>
      <c r="B290" s="0" t="str">
        <f aca="false">[2]Sheet1!B290</f>
        <v>ABN;DC SYS01</v>
      </c>
      <c r="C290" s="44" t="str">
        <f aca="false">[2]Sheet1!C290</f>
        <v>ABN</v>
      </c>
      <c r="D290" s="44" t="s">
        <v>330</v>
      </c>
      <c r="E290" s="0" t="n">
        <f aca="false">[2]Sheet1!D290</f>
        <v>30</v>
      </c>
      <c r="F290" s="0" t="n">
        <f aca="false">[2]Sheet1!E290</f>
        <v>30</v>
      </c>
      <c r="G290" s="45" t="n">
        <f aca="false">[2]Sheet1!F290</f>
        <v>42422</v>
      </c>
      <c r="H290" s="0" t="n">
        <f aca="false">[2]Sheet1!G290</f>
        <v>300</v>
      </c>
      <c r="I290" s="0" t="n">
        <f aca="false">[2]Sheet1!H290</f>
        <v>300</v>
      </c>
      <c r="J290" s="0" t="n">
        <f aca="false">[2]Sheet1!I290</f>
        <v>6</v>
      </c>
      <c r="K290" s="0" t="n">
        <f aca="false">[2]Sheet1!J290</f>
        <v>4</v>
      </c>
      <c r="L290" s="0" t="n">
        <f aca="false">[2]Sheet1!K290</f>
        <v>3</v>
      </c>
      <c r="M290" s="0" t="n">
        <f aca="false">[2]Sheet1!L290</f>
        <v>12</v>
      </c>
      <c r="N290" s="0" t="n">
        <f aca="false">[2]Sheet1!M290</f>
        <v>0</v>
      </c>
      <c r="O290" s="0" t="n">
        <f aca="false">[2]Sheet1!N290</f>
        <v>17</v>
      </c>
      <c r="P290" s="226" t="n">
        <f aca="false">SUM(AY290+BA290)</f>
        <v>135.416666666667</v>
      </c>
      <c r="Q290" s="170" t="s">
        <v>950</v>
      </c>
      <c r="R290" s="234" t="n">
        <v>0.5</v>
      </c>
      <c r="S290" s="179" t="s">
        <v>1515</v>
      </c>
      <c r="T290" s="233" t="n">
        <v>6</v>
      </c>
      <c r="U290" s="201"/>
      <c r="V290" s="71"/>
      <c r="W290" s="227"/>
      <c r="X290" s="71"/>
      <c r="Y290" s="201"/>
      <c r="Z290" s="71"/>
      <c r="AA290" s="227"/>
      <c r="AB290" s="71"/>
      <c r="AC290" s="201"/>
      <c r="AD290" s="71"/>
      <c r="AE290" s="227"/>
      <c r="AF290" s="71"/>
      <c r="AG290" s="201"/>
      <c r="AH290" s="71"/>
      <c r="AI290" s="227"/>
      <c r="AJ290" s="71"/>
      <c r="AK290" s="201"/>
      <c r="AL290" s="71"/>
      <c r="AM290" s="227"/>
      <c r="AN290" s="71"/>
      <c r="AO290" s="201"/>
      <c r="AP290" s="71"/>
      <c r="AQ290" s="227"/>
      <c r="AR290" s="71"/>
      <c r="AS290" s="227"/>
      <c r="AT290" s="228"/>
      <c r="AU290" s="227"/>
      <c r="AV290" s="228"/>
      <c r="AW290" s="227"/>
      <c r="AX290" s="229" t="n">
        <f aca="false">SUM(R290+T290+V290+X290+Z290+AB290+AD290+AF290+AH290+AJ290+AL290+AN290+AP290+AR290)</f>
        <v>6.5</v>
      </c>
      <c r="AY290" s="230" t="n">
        <f aca="false">SUM(AX290*1000)/48</f>
        <v>135.416666666667</v>
      </c>
      <c r="AZ290" s="231" t="n">
        <f aca="false">IFERROR(VLOOKUP(A290,'Site check'!$A$14:$O$47,15,0),0)</f>
        <v>0</v>
      </c>
      <c r="BA290" s="232" t="n">
        <f aca="false">SUM(AZ290*1000)/48</f>
        <v>0</v>
      </c>
      <c r="BB290" s="90" t="n">
        <f aca="false">SUM(P290/2)+E290</f>
        <v>97.7083333333333</v>
      </c>
      <c r="BC290" s="90" t="n">
        <f aca="false">SUM(P290/2)+F290</f>
        <v>97.7083333333333</v>
      </c>
    </row>
    <row r="291" customFormat="false" ht="13.15" hidden="false" customHeight="false" outlineLevel="0" collapsed="false">
      <c r="A291" s="0" t="str">
        <f aca="false">[2]Sheet1!A291</f>
        <v>ABNTB1_DCDB _CD11</v>
      </c>
      <c r="B291" s="0" t="str">
        <f aca="false">[2]Sheet1!B291</f>
        <v>ABNTB1;DC SYS01</v>
      </c>
      <c r="C291" s="44" t="str">
        <f aca="false">[2]Sheet1!C291</f>
        <v>ABNTB1</v>
      </c>
      <c r="D291" s="44" t="s">
        <v>334</v>
      </c>
      <c r="E291" s="0" t="n">
        <f aca="false">[2]Sheet1!D291</f>
        <v>0</v>
      </c>
      <c r="F291" s="0" t="n">
        <f aca="false">[2]Sheet1!E291</f>
        <v>0</v>
      </c>
      <c r="G291" s="45" t="n">
        <f aca="false">[2]Sheet1!F291</f>
        <v>45015</v>
      </c>
      <c r="H291" s="0" t="n">
        <f aca="false">[2]Sheet1!G291</f>
        <v>300</v>
      </c>
      <c r="I291" s="0" t="n">
        <f aca="false">[2]Sheet1!H291</f>
        <v>300</v>
      </c>
      <c r="J291" s="0" t="n">
        <f aca="false">[2]Sheet1!I291</f>
        <v>0</v>
      </c>
      <c r="K291" s="0" t="n">
        <f aca="false">[2]Sheet1!J291</f>
        <v>0</v>
      </c>
      <c r="L291" s="0" t="n">
        <f aca="false">[2]Sheet1!K291</f>
        <v>1</v>
      </c>
      <c r="M291" s="0" t="n">
        <f aca="false">[2]Sheet1!L291</f>
        <v>35</v>
      </c>
      <c r="N291" s="0" t="n">
        <f aca="false">[2]Sheet1!M291</f>
        <v>0</v>
      </c>
      <c r="O291" s="0" t="n">
        <f aca="false">[2]Sheet1!N291</f>
        <v>0</v>
      </c>
      <c r="P291" s="226" t="n">
        <f aca="false">SUM(AY291+BA291)</f>
        <v>104.166666666667</v>
      </c>
      <c r="Q291" s="179" t="s">
        <v>954</v>
      </c>
      <c r="R291" s="233" t="n">
        <v>4</v>
      </c>
      <c r="S291" s="249" t="s">
        <v>955</v>
      </c>
      <c r="T291" s="242" t="n">
        <v>1</v>
      </c>
      <c r="U291" s="201"/>
      <c r="V291" s="71"/>
      <c r="W291" s="227"/>
      <c r="X291" s="71"/>
      <c r="Y291" s="201"/>
      <c r="Z291" s="71"/>
      <c r="AA291" s="227"/>
      <c r="AB291" s="71"/>
      <c r="AC291" s="201"/>
      <c r="AD291" s="71"/>
      <c r="AE291" s="227"/>
      <c r="AF291" s="71"/>
      <c r="AG291" s="201"/>
      <c r="AH291" s="71"/>
      <c r="AI291" s="227"/>
      <c r="AJ291" s="71"/>
      <c r="AK291" s="201"/>
      <c r="AL291" s="71"/>
      <c r="AM291" s="227"/>
      <c r="AN291" s="71"/>
      <c r="AO291" s="201"/>
      <c r="AP291" s="71"/>
      <c r="AQ291" s="227"/>
      <c r="AR291" s="71"/>
      <c r="AS291" s="227"/>
      <c r="AT291" s="228"/>
      <c r="AU291" s="227"/>
      <c r="AV291" s="228"/>
      <c r="AW291" s="227"/>
      <c r="AX291" s="229" t="n">
        <f aca="false">SUM(R291+T291+V291+X291+Z291+AB291+AD291+AF291+AH291+AJ291+AL291+AN291+AP291+AR291)</f>
        <v>5</v>
      </c>
      <c r="AY291" s="230" t="n">
        <f aca="false">SUM(AX291*1000)/48</f>
        <v>104.166666666667</v>
      </c>
      <c r="AZ291" s="231" t="n">
        <f aca="false">IFERROR(VLOOKUP(A291,'Site check'!$A$14:$O$47,15,0),0)</f>
        <v>0</v>
      </c>
      <c r="BA291" s="232" t="n">
        <f aca="false">SUM(AZ291*1000)/48</f>
        <v>0</v>
      </c>
      <c r="BB291" s="90" t="n">
        <f aca="false">SUM(P291/2)+E291</f>
        <v>52.0833333333333</v>
      </c>
      <c r="BC291" s="90" t="n">
        <f aca="false">SUM(P291/2)+F291</f>
        <v>52.0833333333333</v>
      </c>
    </row>
    <row r="292" customFormat="false" ht="13.15" hidden="false" customHeight="false" outlineLevel="0" collapsed="false">
      <c r="A292" s="0" t="str">
        <f aca="false">[2]Sheet1!A292</f>
        <v>ABNTB1_SYS_RACK2_PANEL A_01 - IGNORE</v>
      </c>
      <c r="B292" s="0" t="str">
        <f aca="false">[2]Sheet1!B292</f>
        <v>ABNTB1;DC SYS01</v>
      </c>
      <c r="C292" s="44" t="str">
        <f aca="false">[2]Sheet1!C292</f>
        <v>ABNTB1</v>
      </c>
      <c r="D292" s="44" t="s">
        <v>334</v>
      </c>
      <c r="E292" s="0" t="n">
        <f aca="false">[2]Sheet1!D292</f>
        <v>0</v>
      </c>
      <c r="F292" s="0" t="n">
        <f aca="false">[2]Sheet1!E292</f>
        <v>0</v>
      </c>
      <c r="G292" s="45" t="n">
        <f aca="false">[2]Sheet1!F292</f>
        <v>0</v>
      </c>
      <c r="H292" s="0" t="n">
        <f aca="false">[2]Sheet1!G292</f>
        <v>0</v>
      </c>
      <c r="I292" s="0" t="n">
        <f aca="false">[2]Sheet1!H292</f>
        <v>0</v>
      </c>
      <c r="J292" s="0" t="n">
        <f aca="false">[2]Sheet1!I292</f>
        <v>0</v>
      </c>
      <c r="K292" s="0" t="n">
        <f aca="false">[2]Sheet1!J292</f>
        <v>10</v>
      </c>
      <c r="L292" s="0" t="n">
        <f aca="false">[2]Sheet1!K292</f>
        <v>0</v>
      </c>
      <c r="M292" s="0" t="n">
        <f aca="false">[2]Sheet1!L292</f>
        <v>0</v>
      </c>
      <c r="N292" s="0" t="n">
        <f aca="false">[2]Sheet1!M292</f>
        <v>0</v>
      </c>
      <c r="O292" s="0" t="n">
        <f aca="false">[2]Sheet1!N292</f>
        <v>0</v>
      </c>
      <c r="P292" s="226" t="n">
        <f aca="false">SUM(AY292+BA292)</f>
        <v>0</v>
      </c>
      <c r="Q292" s="201"/>
      <c r="R292" s="71"/>
      <c r="S292" s="227"/>
      <c r="T292" s="71"/>
      <c r="U292" s="201"/>
      <c r="V292" s="71"/>
      <c r="W292" s="227"/>
      <c r="X292" s="71"/>
      <c r="Y292" s="201"/>
      <c r="Z292" s="71"/>
      <c r="AA292" s="227"/>
      <c r="AB292" s="71"/>
      <c r="AC292" s="201"/>
      <c r="AD292" s="71"/>
      <c r="AE292" s="227"/>
      <c r="AF292" s="71"/>
      <c r="AG292" s="201"/>
      <c r="AH292" s="71"/>
      <c r="AI292" s="227"/>
      <c r="AJ292" s="71"/>
      <c r="AK292" s="201"/>
      <c r="AL292" s="71"/>
      <c r="AM292" s="227"/>
      <c r="AN292" s="71"/>
      <c r="AO292" s="201"/>
      <c r="AP292" s="71"/>
      <c r="AQ292" s="227"/>
      <c r="AR292" s="71"/>
      <c r="AS292" s="227"/>
      <c r="AT292" s="228"/>
      <c r="AU292" s="227"/>
      <c r="AV292" s="228"/>
      <c r="AW292" s="227"/>
      <c r="AX292" s="229" t="n">
        <f aca="false">SUM(R292+T292+V292+X292+Z292+AB292+AD292+AF292+AH292+AJ292+AL292+AN292+AP292+AR292)</f>
        <v>0</v>
      </c>
      <c r="AY292" s="230" t="n">
        <f aca="false">SUM(AX292*1000)/48</f>
        <v>0</v>
      </c>
      <c r="AZ292" s="231" t="n">
        <f aca="false">IFERROR(VLOOKUP(A292,'Site check'!$A$14:$O$47,15,0),0)</f>
        <v>0</v>
      </c>
      <c r="BA292" s="232" t="n">
        <f aca="false">SUM(AZ292*1000)/48</f>
        <v>0</v>
      </c>
      <c r="BB292" s="90" t="n">
        <f aca="false">SUM(P292/2)+E292</f>
        <v>0</v>
      </c>
      <c r="BC292" s="90" t="n">
        <f aca="false">SUM(P292/2)+F292</f>
        <v>0</v>
      </c>
    </row>
    <row r="293" customFormat="false" ht="13.15" hidden="false" customHeight="false" outlineLevel="0" collapsed="false">
      <c r="A293" s="0" t="str">
        <f aca="false">[2]Sheet1!A293</f>
        <v>ABNTB1_SYS_RACK2_PANEL A_02- IGNORE</v>
      </c>
      <c r="B293" s="0" t="str">
        <f aca="false">[2]Sheet1!B293</f>
        <v>ABNTB1;DC SYS01</v>
      </c>
      <c r="C293" s="44" t="str">
        <f aca="false">[2]Sheet1!C293</f>
        <v>ABNTB1</v>
      </c>
      <c r="D293" s="44" t="s">
        <v>334</v>
      </c>
      <c r="E293" s="0" t="n">
        <f aca="false">[2]Sheet1!D293</f>
        <v>0</v>
      </c>
      <c r="F293" s="0" t="n">
        <f aca="false">[2]Sheet1!E293</f>
        <v>0</v>
      </c>
      <c r="G293" s="45" t="n">
        <f aca="false">[2]Sheet1!F293</f>
        <v>0</v>
      </c>
      <c r="H293" s="0" t="n">
        <f aca="false">[2]Sheet1!G293</f>
        <v>300</v>
      </c>
      <c r="I293" s="0" t="n">
        <f aca="false">[2]Sheet1!H293</f>
        <v>300</v>
      </c>
      <c r="J293" s="0" t="n">
        <f aca="false">[2]Sheet1!I293</f>
        <v>0</v>
      </c>
      <c r="K293" s="0" t="n">
        <f aca="false">[2]Sheet1!J293</f>
        <v>0</v>
      </c>
      <c r="L293" s="0" t="n">
        <f aca="false">[2]Sheet1!K293</f>
        <v>0</v>
      </c>
      <c r="M293" s="0" t="n">
        <f aca="false">[2]Sheet1!L293</f>
        <v>0</v>
      </c>
      <c r="N293" s="0" t="n">
        <f aca="false">[2]Sheet1!M293</f>
        <v>0</v>
      </c>
      <c r="O293" s="0" t="n">
        <f aca="false">[2]Sheet1!N293</f>
        <v>0</v>
      </c>
      <c r="P293" s="226" t="n">
        <f aca="false">SUM(AY293+BA293)</f>
        <v>0</v>
      </c>
      <c r="Q293" s="201"/>
      <c r="R293" s="71"/>
      <c r="S293" s="227"/>
      <c r="T293" s="71"/>
      <c r="U293" s="201"/>
      <c r="V293" s="71"/>
      <c r="W293" s="227"/>
      <c r="X293" s="71"/>
      <c r="Y293" s="201"/>
      <c r="Z293" s="71"/>
      <c r="AA293" s="227"/>
      <c r="AB293" s="71"/>
      <c r="AC293" s="201"/>
      <c r="AD293" s="71"/>
      <c r="AE293" s="227"/>
      <c r="AF293" s="71"/>
      <c r="AG293" s="201"/>
      <c r="AH293" s="71"/>
      <c r="AI293" s="227"/>
      <c r="AJ293" s="71"/>
      <c r="AK293" s="201"/>
      <c r="AL293" s="71"/>
      <c r="AM293" s="227"/>
      <c r="AN293" s="71"/>
      <c r="AO293" s="201"/>
      <c r="AP293" s="71"/>
      <c r="AQ293" s="227"/>
      <c r="AR293" s="71"/>
      <c r="AS293" s="227"/>
      <c r="AT293" s="228"/>
      <c r="AU293" s="227"/>
      <c r="AV293" s="228"/>
      <c r="AW293" s="227"/>
      <c r="AX293" s="229" t="n">
        <f aca="false">SUM(R293+T293+V293+X293+Z293+AB293+AD293+AF293+AH293+AJ293+AL293+AN293+AP293+AR293)</f>
        <v>0</v>
      </c>
      <c r="AY293" s="230" t="n">
        <f aca="false">SUM(AX293*1000)/48</f>
        <v>0</v>
      </c>
      <c r="AZ293" s="231" t="n">
        <f aca="false">IFERROR(VLOOKUP(A293,'Site check'!$A$14:$O$47,15,0),0)</f>
        <v>0</v>
      </c>
      <c r="BA293" s="232" t="n">
        <f aca="false">SUM(AZ293*1000)/48</f>
        <v>0</v>
      </c>
      <c r="BB293" s="90" t="n">
        <f aca="false">SUM(P293/2)+E293</f>
        <v>0</v>
      </c>
      <c r="BC293" s="90" t="n">
        <f aca="false">SUM(P293/2)+F293</f>
        <v>0</v>
      </c>
    </row>
    <row r="294" customFormat="false" ht="13.15" hidden="false" customHeight="false" outlineLevel="0" collapsed="false">
      <c r="A294" s="0" t="str">
        <f aca="false">[2]Sheet1!A294</f>
        <v>ABNTB1_SYS_RACK3_PANEL B_01- IGNORE</v>
      </c>
      <c r="B294" s="0" t="str">
        <f aca="false">[2]Sheet1!B294</f>
        <v>ABNTB1;DC SYS01</v>
      </c>
      <c r="C294" s="44" t="str">
        <f aca="false">[2]Sheet1!C294</f>
        <v>ABNTB1</v>
      </c>
      <c r="D294" s="44" t="s">
        <v>334</v>
      </c>
      <c r="E294" s="0" t="n">
        <f aca="false">[2]Sheet1!D294</f>
        <v>0</v>
      </c>
      <c r="F294" s="0" t="n">
        <f aca="false">[2]Sheet1!E294</f>
        <v>0</v>
      </c>
      <c r="G294" s="45" t="n">
        <f aca="false">[2]Sheet1!F294</f>
        <v>0</v>
      </c>
      <c r="H294" s="0" t="n">
        <f aca="false">[2]Sheet1!G294</f>
        <v>0</v>
      </c>
      <c r="I294" s="0" t="n">
        <f aca="false">[2]Sheet1!H294</f>
        <v>0</v>
      </c>
      <c r="J294" s="0" t="n">
        <f aca="false">[2]Sheet1!I294</f>
        <v>0</v>
      </c>
      <c r="K294" s="0" t="n">
        <f aca="false">[2]Sheet1!J294</f>
        <v>0</v>
      </c>
      <c r="L294" s="0" t="n">
        <f aca="false">[2]Sheet1!K294</f>
        <v>0</v>
      </c>
      <c r="M294" s="0" t="n">
        <f aca="false">[2]Sheet1!L294</f>
        <v>0</v>
      </c>
      <c r="N294" s="0" t="n">
        <f aca="false">[2]Sheet1!M294</f>
        <v>0</v>
      </c>
      <c r="O294" s="0" t="n">
        <f aca="false">[2]Sheet1!N294</f>
        <v>0</v>
      </c>
      <c r="P294" s="226" t="n">
        <f aca="false">SUM(AY294+BA294)</f>
        <v>0</v>
      </c>
      <c r="Q294" s="201"/>
      <c r="R294" s="71"/>
      <c r="S294" s="227"/>
      <c r="T294" s="71"/>
      <c r="U294" s="201"/>
      <c r="V294" s="71"/>
      <c r="W294" s="227"/>
      <c r="X294" s="71"/>
      <c r="Y294" s="201"/>
      <c r="Z294" s="71"/>
      <c r="AA294" s="227"/>
      <c r="AB294" s="71"/>
      <c r="AC294" s="201"/>
      <c r="AD294" s="71"/>
      <c r="AE294" s="227"/>
      <c r="AF294" s="71"/>
      <c r="AG294" s="201"/>
      <c r="AH294" s="71"/>
      <c r="AI294" s="227"/>
      <c r="AJ294" s="71"/>
      <c r="AK294" s="201"/>
      <c r="AL294" s="71"/>
      <c r="AM294" s="227"/>
      <c r="AN294" s="71"/>
      <c r="AO294" s="201"/>
      <c r="AP294" s="71"/>
      <c r="AQ294" s="227"/>
      <c r="AR294" s="71"/>
      <c r="AS294" s="227"/>
      <c r="AT294" s="228"/>
      <c r="AU294" s="227"/>
      <c r="AV294" s="228"/>
      <c r="AW294" s="227"/>
      <c r="AX294" s="229" t="n">
        <f aca="false">SUM(R294+T294+V294+X294+Z294+AB294+AD294+AF294+AH294+AJ294+AL294+AN294+AP294+AR294)</f>
        <v>0</v>
      </c>
      <c r="AY294" s="230" t="n">
        <f aca="false">SUM(AX294*1000)/48</f>
        <v>0</v>
      </c>
      <c r="AZ294" s="231" t="n">
        <f aca="false">IFERROR(VLOOKUP(A294,'Site check'!$A$14:$O$47,15,0),0)</f>
        <v>0</v>
      </c>
      <c r="BA294" s="232" t="n">
        <f aca="false">SUM(AZ294*1000)/48</f>
        <v>0</v>
      </c>
      <c r="BB294" s="90" t="n">
        <f aca="false">SUM(P294/2)+E294</f>
        <v>0</v>
      </c>
      <c r="BC294" s="90" t="n">
        <f aca="false">SUM(P294/2)+F294</f>
        <v>0</v>
      </c>
    </row>
    <row r="295" customFormat="false" ht="13.15" hidden="false" customHeight="false" outlineLevel="0" collapsed="false">
      <c r="A295" s="0" t="str">
        <f aca="false">[2]Sheet1!A295</f>
        <v>ABNTB1_SYS_RACK3_PANEL B_02- IGNORE</v>
      </c>
      <c r="B295" s="0" t="str">
        <f aca="false">[2]Sheet1!B295</f>
        <v>ABNTB1;DC SYS01</v>
      </c>
      <c r="C295" s="44" t="str">
        <f aca="false">[2]Sheet1!C295</f>
        <v>ABNTB1</v>
      </c>
      <c r="D295" s="44" t="s">
        <v>334</v>
      </c>
      <c r="E295" s="0" t="n">
        <f aca="false">[2]Sheet1!D295</f>
        <v>0</v>
      </c>
      <c r="F295" s="0" t="n">
        <f aca="false">[2]Sheet1!E295</f>
        <v>0</v>
      </c>
      <c r="G295" s="45" t="n">
        <f aca="false">[2]Sheet1!F295</f>
        <v>0</v>
      </c>
      <c r="H295" s="0" t="n">
        <f aca="false">[2]Sheet1!G295</f>
        <v>0</v>
      </c>
      <c r="I295" s="0" t="n">
        <f aca="false">[2]Sheet1!H295</f>
        <v>0</v>
      </c>
      <c r="J295" s="0" t="n">
        <f aca="false">[2]Sheet1!I295</f>
        <v>0</v>
      </c>
      <c r="K295" s="0" t="n">
        <f aca="false">[2]Sheet1!J295</f>
        <v>0</v>
      </c>
      <c r="L295" s="0" t="n">
        <f aca="false">[2]Sheet1!K295</f>
        <v>0</v>
      </c>
      <c r="M295" s="0" t="n">
        <f aca="false">[2]Sheet1!L295</f>
        <v>0</v>
      </c>
      <c r="N295" s="0" t="n">
        <f aca="false">[2]Sheet1!M295</f>
        <v>0</v>
      </c>
      <c r="O295" s="0" t="n">
        <f aca="false">[2]Sheet1!N295</f>
        <v>0</v>
      </c>
      <c r="P295" s="226" t="n">
        <f aca="false">SUM(AY295+BA295)</f>
        <v>0</v>
      </c>
      <c r="Q295" s="201"/>
      <c r="R295" s="71"/>
      <c r="S295" s="227"/>
      <c r="T295" s="71"/>
      <c r="U295" s="201"/>
      <c r="V295" s="71"/>
      <c r="W295" s="227"/>
      <c r="X295" s="71"/>
      <c r="Y295" s="201"/>
      <c r="Z295" s="71"/>
      <c r="AA295" s="227"/>
      <c r="AB295" s="71"/>
      <c r="AC295" s="201"/>
      <c r="AD295" s="71"/>
      <c r="AE295" s="227"/>
      <c r="AF295" s="71"/>
      <c r="AG295" s="201"/>
      <c r="AH295" s="71"/>
      <c r="AI295" s="227"/>
      <c r="AJ295" s="71"/>
      <c r="AK295" s="201"/>
      <c r="AL295" s="71"/>
      <c r="AM295" s="227"/>
      <c r="AN295" s="71"/>
      <c r="AO295" s="201"/>
      <c r="AP295" s="71"/>
      <c r="AQ295" s="227"/>
      <c r="AR295" s="71"/>
      <c r="AS295" s="227"/>
      <c r="AT295" s="228"/>
      <c r="AU295" s="227"/>
      <c r="AV295" s="228"/>
      <c r="AW295" s="227"/>
      <c r="AX295" s="229" t="n">
        <f aca="false">SUM(R295+T295+V295+X295+Z295+AB295+AD295+AF295+AH295+AJ295+AL295+AN295+AP295+AR295)</f>
        <v>0</v>
      </c>
      <c r="AY295" s="230" t="n">
        <f aca="false">SUM(AX295*1000)/48</f>
        <v>0</v>
      </c>
      <c r="AZ295" s="231" t="n">
        <f aca="false">IFERROR(VLOOKUP(A295,'Site check'!$A$14:$O$47,15,0),0)</f>
        <v>0</v>
      </c>
      <c r="BA295" s="232" t="n">
        <f aca="false">SUM(AZ295*1000)/48</f>
        <v>0</v>
      </c>
      <c r="BB295" s="90" t="n">
        <f aca="false">SUM(P295/2)+E295</f>
        <v>0</v>
      </c>
      <c r="BC295" s="90" t="n">
        <f aca="false">SUM(P295/2)+F295</f>
        <v>0</v>
      </c>
    </row>
    <row r="296" customFormat="false" ht="13.15" hidden="false" customHeight="false" outlineLevel="0" collapsed="false">
      <c r="A296" s="0" t="str">
        <f aca="false">[2]Sheet1!A296</f>
        <v>ABNTD1 DC DB</v>
      </c>
      <c r="B296" s="0" t="str">
        <f aca="false">[2]Sheet1!B296</f>
        <v>ABNTD1;DCSYS01</v>
      </c>
      <c r="C296" s="44" t="str">
        <f aca="false">[2]Sheet1!C296</f>
        <v>ABNTD1</v>
      </c>
      <c r="D296" s="44" t="s">
        <v>339</v>
      </c>
      <c r="E296" s="0" t="n">
        <f aca="false">[2]Sheet1!D296</f>
        <v>90</v>
      </c>
      <c r="F296" s="0" t="n">
        <f aca="false">[2]Sheet1!E296</f>
        <v>83</v>
      </c>
      <c r="G296" s="45" t="n">
        <f aca="false">[2]Sheet1!F296</f>
        <v>44971</v>
      </c>
      <c r="H296" s="0" t="n">
        <f aca="false">[2]Sheet1!G296</f>
        <v>300</v>
      </c>
      <c r="I296" s="0" t="n">
        <f aca="false">[2]Sheet1!H296</f>
        <v>300</v>
      </c>
      <c r="J296" s="0" t="n">
        <f aca="false">[2]Sheet1!I296</f>
        <v>0</v>
      </c>
      <c r="K296" s="0" t="n">
        <f aca="false">[2]Sheet1!J296</f>
        <v>0</v>
      </c>
      <c r="L296" s="0" t="n">
        <f aca="false">[2]Sheet1!K296</f>
        <v>0</v>
      </c>
      <c r="M296" s="0" t="n">
        <f aca="false">[2]Sheet1!L296</f>
        <v>0</v>
      </c>
      <c r="N296" s="0" t="n">
        <f aca="false">[2]Sheet1!M296</f>
        <v>0</v>
      </c>
      <c r="O296" s="0" t="n">
        <f aca="false">[2]Sheet1!N296</f>
        <v>32</v>
      </c>
      <c r="P296" s="226" t="n">
        <f aca="false">SUM(AY296+BA296)</f>
        <v>104.166666666667</v>
      </c>
      <c r="Q296" s="201" t="s">
        <v>956</v>
      </c>
      <c r="R296" s="71" t="n">
        <v>4</v>
      </c>
      <c r="S296" s="202" t="s">
        <v>957</v>
      </c>
      <c r="T296" s="235" t="n">
        <v>1</v>
      </c>
      <c r="U296" s="201"/>
      <c r="V296" s="71"/>
      <c r="W296" s="227"/>
      <c r="X296" s="71"/>
      <c r="Y296" s="201"/>
      <c r="Z296" s="71"/>
      <c r="AA296" s="227"/>
      <c r="AB296" s="71"/>
      <c r="AC296" s="201"/>
      <c r="AD296" s="71"/>
      <c r="AE296" s="227"/>
      <c r="AF296" s="71"/>
      <c r="AG296" s="201"/>
      <c r="AH296" s="71"/>
      <c r="AI296" s="227"/>
      <c r="AJ296" s="71"/>
      <c r="AK296" s="201"/>
      <c r="AL296" s="71"/>
      <c r="AM296" s="227"/>
      <c r="AN296" s="71"/>
      <c r="AO296" s="201"/>
      <c r="AP296" s="71"/>
      <c r="AQ296" s="227"/>
      <c r="AR296" s="71"/>
      <c r="AS296" s="227"/>
      <c r="AT296" s="228"/>
      <c r="AU296" s="227"/>
      <c r="AV296" s="228"/>
      <c r="AW296" s="227"/>
      <c r="AX296" s="229" t="n">
        <f aca="false">SUM(R296+T296+V296+X296+Z296+AB296+AD296+AF296+AH296+AJ296+AL296+AN296+AP296+AR296)</f>
        <v>5</v>
      </c>
      <c r="AY296" s="230" t="n">
        <f aca="false">SUM(AX296*1000)/48</f>
        <v>104.166666666667</v>
      </c>
      <c r="AZ296" s="231" t="n">
        <f aca="false">IFERROR(VLOOKUP(A296,'Site check'!$A$14:$O$47,15,0),0)</f>
        <v>0</v>
      </c>
      <c r="BA296" s="232" t="n">
        <f aca="false">SUM(AZ296*1000)/48</f>
        <v>0</v>
      </c>
      <c r="BB296" s="90" t="n">
        <f aca="false">SUM(P296/2)+E296</f>
        <v>142.083333333333</v>
      </c>
      <c r="BC296" s="90" t="n">
        <f aca="false">SUM(P296/2)+F296</f>
        <v>135.083333333333</v>
      </c>
    </row>
    <row r="297" customFormat="false" ht="13.15" hidden="false" customHeight="false" outlineLevel="0" collapsed="false">
      <c r="A297" s="0" t="str">
        <f aca="false">[2]Sheet1!A297</f>
        <v>AYRN01_DCDB_A PPS10_DB1</v>
      </c>
      <c r="B297" s="0" t="str">
        <f aca="false">[2]Sheet1!B297</f>
        <v>AYRN01; DC SYS01</v>
      </c>
      <c r="C297" s="44" t="str">
        <f aca="false">[2]Sheet1!C297</f>
        <v>AYRN01</v>
      </c>
      <c r="D297" s="44" t="s">
        <v>368</v>
      </c>
      <c r="E297" s="0" t="n">
        <f aca="false">[2]Sheet1!D297</f>
        <v>16</v>
      </c>
      <c r="F297" s="0" t="n">
        <f aca="false">[2]Sheet1!E297</f>
        <v>0</v>
      </c>
      <c r="G297" s="45" t="n">
        <f aca="false">[2]Sheet1!F297</f>
        <v>44264</v>
      </c>
      <c r="H297" s="0" t="n">
        <f aca="false">[2]Sheet1!G297</f>
        <v>0</v>
      </c>
      <c r="I297" s="0" t="n">
        <f aca="false">[2]Sheet1!H297</f>
        <v>0</v>
      </c>
      <c r="J297" s="0" t="n">
        <f aca="false">[2]Sheet1!I297</f>
        <v>0</v>
      </c>
      <c r="K297" s="0" t="n">
        <f aca="false">[2]Sheet1!J297</f>
        <v>0</v>
      </c>
      <c r="L297" s="0" t="n">
        <f aca="false">[2]Sheet1!K297</f>
        <v>0</v>
      </c>
      <c r="M297" s="0" t="n">
        <f aca="false">[2]Sheet1!L297</f>
        <v>0</v>
      </c>
      <c r="N297" s="0" t="n">
        <f aca="false">[2]Sheet1!M297</f>
        <v>0</v>
      </c>
      <c r="O297" s="0" t="n">
        <f aca="false">[2]Sheet1!N297</f>
        <v>0</v>
      </c>
      <c r="P297" s="226" t="n">
        <f aca="false">SUM(AY297+BA297)</f>
        <v>0</v>
      </c>
      <c r="Q297" s="201"/>
      <c r="R297" s="71"/>
      <c r="S297" s="227"/>
      <c r="T297" s="71"/>
      <c r="U297" s="201"/>
      <c r="V297" s="71"/>
      <c r="W297" s="227"/>
      <c r="X297" s="71"/>
      <c r="Y297" s="201"/>
      <c r="Z297" s="71"/>
      <c r="AA297" s="227"/>
      <c r="AB297" s="71"/>
      <c r="AC297" s="201"/>
      <c r="AD297" s="71"/>
      <c r="AE297" s="227"/>
      <c r="AF297" s="71"/>
      <c r="AG297" s="201"/>
      <c r="AH297" s="71"/>
      <c r="AI297" s="227"/>
      <c r="AJ297" s="71"/>
      <c r="AK297" s="201"/>
      <c r="AL297" s="71"/>
      <c r="AM297" s="227"/>
      <c r="AN297" s="71"/>
      <c r="AO297" s="201"/>
      <c r="AP297" s="71"/>
      <c r="AQ297" s="227"/>
      <c r="AR297" s="71"/>
      <c r="AS297" s="227"/>
      <c r="AT297" s="228"/>
      <c r="AU297" s="227"/>
      <c r="AV297" s="228"/>
      <c r="AW297" s="227"/>
      <c r="AX297" s="229" t="n">
        <f aca="false">SUM(R297+T297+V297+X297+Z297+AB297+AD297+AF297+AH297+AJ297+AL297+AN297+AP297+AR297)</f>
        <v>0</v>
      </c>
      <c r="AY297" s="230" t="n">
        <f aca="false">SUM(AX297*1000)/48</f>
        <v>0</v>
      </c>
      <c r="AZ297" s="231" t="n">
        <f aca="false">IFERROR(VLOOKUP(A297,'Site check'!$A$14:$O$47,15,0),0)</f>
        <v>0</v>
      </c>
      <c r="BA297" s="232" t="n">
        <f aca="false">SUM(AZ297*1000)/48</f>
        <v>0</v>
      </c>
      <c r="BB297" s="90" t="n">
        <f aca="false">SUM(P297/2)+E297</f>
        <v>16</v>
      </c>
      <c r="BC297" s="90" t="n">
        <f aca="false">SUM(P297/2)+F297</f>
        <v>0</v>
      </c>
    </row>
    <row r="298" customFormat="false" ht="13.15" hidden="false" customHeight="false" outlineLevel="0" collapsed="false">
      <c r="A298" s="0" t="str">
        <f aca="false">[2]Sheet1!A298</f>
        <v>AYRN01_DCDB_A PPS10_DB2</v>
      </c>
      <c r="B298" s="0" t="str">
        <f aca="false">[2]Sheet1!B298</f>
        <v>AYRN01; DC SYS01</v>
      </c>
      <c r="C298" s="44" t="str">
        <f aca="false">[2]Sheet1!C298</f>
        <v>AYRN01</v>
      </c>
      <c r="D298" s="44" t="s">
        <v>368</v>
      </c>
      <c r="E298" s="0" t="n">
        <f aca="false">[2]Sheet1!D298</f>
        <v>0</v>
      </c>
      <c r="F298" s="0" t="n">
        <f aca="false">[2]Sheet1!E298</f>
        <v>16</v>
      </c>
      <c r="G298" s="45" t="n">
        <f aca="false">[2]Sheet1!F298</f>
        <v>44264</v>
      </c>
      <c r="H298" s="0" t="n">
        <f aca="false">[2]Sheet1!G298</f>
        <v>0</v>
      </c>
      <c r="I298" s="0" t="n">
        <f aca="false">[2]Sheet1!H298</f>
        <v>0</v>
      </c>
      <c r="J298" s="0" t="n">
        <f aca="false">[2]Sheet1!I298</f>
        <v>0</v>
      </c>
      <c r="K298" s="0" t="n">
        <f aca="false">[2]Sheet1!J298</f>
        <v>0</v>
      </c>
      <c r="L298" s="0" t="n">
        <f aca="false">[2]Sheet1!K298</f>
        <v>0</v>
      </c>
      <c r="M298" s="0" t="n">
        <f aca="false">[2]Sheet1!L298</f>
        <v>0</v>
      </c>
      <c r="N298" s="0" t="n">
        <f aca="false">[2]Sheet1!M298</f>
        <v>0</v>
      </c>
      <c r="O298" s="0" t="n">
        <f aca="false">[2]Sheet1!N298</f>
        <v>0</v>
      </c>
      <c r="P298" s="226" t="n">
        <f aca="false">SUM(AY298+BA298)</f>
        <v>0</v>
      </c>
      <c r="Q298" s="201"/>
      <c r="R298" s="71"/>
      <c r="S298" s="227"/>
      <c r="T298" s="71"/>
      <c r="U298" s="201"/>
      <c r="V298" s="71"/>
      <c r="W298" s="227"/>
      <c r="X298" s="71"/>
      <c r="Y298" s="201"/>
      <c r="Z298" s="71"/>
      <c r="AA298" s="227"/>
      <c r="AB298" s="71"/>
      <c r="AC298" s="201"/>
      <c r="AD298" s="71"/>
      <c r="AE298" s="227"/>
      <c r="AF298" s="71"/>
      <c r="AG298" s="201"/>
      <c r="AH298" s="71"/>
      <c r="AI298" s="227"/>
      <c r="AJ298" s="71"/>
      <c r="AK298" s="201"/>
      <c r="AL298" s="71"/>
      <c r="AM298" s="227"/>
      <c r="AN298" s="71"/>
      <c r="AO298" s="201"/>
      <c r="AP298" s="71"/>
      <c r="AQ298" s="227"/>
      <c r="AR298" s="71"/>
      <c r="AS298" s="227"/>
      <c r="AT298" s="228"/>
      <c r="AU298" s="227"/>
      <c r="AV298" s="228"/>
      <c r="AW298" s="227"/>
      <c r="AX298" s="229" t="n">
        <f aca="false">SUM(R298+T298+V298+X298+Z298+AB298+AD298+AF298+AH298+AJ298+AL298+AN298+AP298+AR298)</f>
        <v>0</v>
      </c>
      <c r="AY298" s="230" t="n">
        <f aca="false">SUM(AX298*1000)/48</f>
        <v>0</v>
      </c>
      <c r="AZ298" s="231" t="n">
        <f aca="false">IFERROR(VLOOKUP(A298,'Site check'!$A$14:$O$47,15,0),0)</f>
        <v>0</v>
      </c>
      <c r="BA298" s="232" t="n">
        <f aca="false">SUM(AZ298*1000)/48</f>
        <v>0</v>
      </c>
      <c r="BB298" s="90" t="n">
        <f aca="false">SUM(P298/2)+E298</f>
        <v>0</v>
      </c>
      <c r="BC298" s="90" t="n">
        <f aca="false">SUM(P298/2)+F298</f>
        <v>16</v>
      </c>
    </row>
    <row r="299" customFormat="false" ht="13.15" hidden="false" customHeight="false" outlineLevel="0" collapsed="false">
      <c r="A299" s="0" t="str">
        <f aca="false">[2]Sheet1!A299</f>
        <v>DNDN71_SEC_EATON_BC01</v>
      </c>
      <c r="B299" s="0" t="str">
        <f aca="false">[2]Sheet1!B299</f>
        <v>DNDN71; SYS 01</v>
      </c>
      <c r="C299" s="44" t="str">
        <f aca="false">[2]Sheet1!C299</f>
        <v>DNDN71</v>
      </c>
      <c r="D299" s="44" t="s">
        <v>548</v>
      </c>
      <c r="E299" s="0" t="n">
        <f aca="false">[2]Sheet1!D299</f>
        <v>90</v>
      </c>
      <c r="F299" s="0" t="n">
        <f aca="false">[2]Sheet1!E299</f>
        <v>90</v>
      </c>
      <c r="G299" s="45" t="n">
        <f aca="false">[2]Sheet1!F299</f>
        <v>45273</v>
      </c>
      <c r="H299" s="0" t="n">
        <f aca="false">[2]Sheet1!G299</f>
        <v>300</v>
      </c>
      <c r="I299" s="0" t="n">
        <f aca="false">[2]Sheet1!H299</f>
        <v>300</v>
      </c>
      <c r="J299" s="0" t="n">
        <f aca="false">[2]Sheet1!I299</f>
        <v>0</v>
      </c>
      <c r="K299" s="0" t="n">
        <f aca="false">[2]Sheet1!J299</f>
        <v>0</v>
      </c>
      <c r="L299" s="0" t="n">
        <f aca="false">[2]Sheet1!K299</f>
        <v>4</v>
      </c>
      <c r="M299" s="0" t="n">
        <f aca="false">[2]Sheet1!L299</f>
        <v>0</v>
      </c>
      <c r="N299" s="0" t="n">
        <f aca="false">[2]Sheet1!M299</f>
        <v>0</v>
      </c>
      <c r="O299" s="0" t="n">
        <f aca="false">[2]Sheet1!N299</f>
        <v>9</v>
      </c>
      <c r="P299" s="226" t="n">
        <f aca="false">SUM(AY299+BA299)</f>
        <v>208.333333333333</v>
      </c>
      <c r="Q299" s="170" t="s">
        <v>1153</v>
      </c>
      <c r="R299" s="234" t="n">
        <v>5</v>
      </c>
      <c r="S299" s="170" t="s">
        <v>1516</v>
      </c>
      <c r="T299" s="234" t="n">
        <v>4</v>
      </c>
      <c r="U299" s="201"/>
      <c r="V299" s="71"/>
      <c r="W299" s="201"/>
      <c r="X299" s="235"/>
      <c r="Y299" s="181" t="s">
        <v>1154</v>
      </c>
      <c r="Z299" s="235" t="n">
        <v>1</v>
      </c>
      <c r="AA299" s="227"/>
      <c r="AB299" s="71"/>
      <c r="AC299" s="201"/>
      <c r="AD299" s="71"/>
      <c r="AE299" s="227"/>
      <c r="AF299" s="71"/>
      <c r="AG299" s="201"/>
      <c r="AH299" s="71"/>
      <c r="AI299" s="227"/>
      <c r="AJ299" s="71"/>
      <c r="AK299" s="201"/>
      <c r="AL299" s="71"/>
      <c r="AM299" s="227"/>
      <c r="AN299" s="71"/>
      <c r="AO299" s="201"/>
      <c r="AP299" s="71"/>
      <c r="AQ299" s="227"/>
      <c r="AR299" s="71"/>
      <c r="AS299" s="227"/>
      <c r="AT299" s="228"/>
      <c r="AU299" s="227"/>
      <c r="AV299" s="228"/>
      <c r="AW299" s="227"/>
      <c r="AX299" s="229" t="n">
        <f aca="false">SUM(R299+T299+V299+X299+Z299+AB299+AD299+AF299+AH299+AJ299+AL299+AN299+AP299+AR299)</f>
        <v>10</v>
      </c>
      <c r="AY299" s="230" t="n">
        <f aca="false">SUM(AX299*1000)/48</f>
        <v>208.333333333333</v>
      </c>
      <c r="AZ299" s="231" t="n">
        <f aca="false">IFERROR(VLOOKUP(A299,'Site check'!$A$14:$O$47,15,0),0)</f>
        <v>0</v>
      </c>
      <c r="BA299" s="232" t="n">
        <f aca="false">SUM(AZ299*1000)/48</f>
        <v>0</v>
      </c>
      <c r="BB299" s="90" t="n">
        <f aca="false">SUM(P299/2)+E299</f>
        <v>194.166666666667</v>
      </c>
      <c r="BC299" s="90" t="n">
        <f aca="false">SUM(P299/2)+F299</f>
        <v>194.166666666667</v>
      </c>
    </row>
    <row r="300" customFormat="false" ht="13.15" hidden="false" customHeight="false" outlineLevel="0" collapsed="false">
      <c r="A300" s="0" t="str">
        <f aca="false">[2]Sheet1!A300</f>
        <v>DNDTC1;POWEC987932;DCDB01</v>
      </c>
      <c r="B300" s="0" t="str">
        <f aca="false">[2]Sheet1!B300</f>
        <v>DNDTC1;DCSYS01</v>
      </c>
      <c r="C300" s="44" t="str">
        <f aca="false">[2]Sheet1!C300</f>
        <v>DNDTC1</v>
      </c>
      <c r="D300" s="44" t="s">
        <v>549</v>
      </c>
      <c r="E300" s="0" t="str">
        <f aca="false">[2]Sheet1!D300</f>
        <v>Not correct form</v>
      </c>
      <c r="F300" s="0" t="n">
        <f aca="false">[2]Sheet1!E300</f>
        <v>0</v>
      </c>
      <c r="G300" s="45" t="n">
        <f aca="false">[2]Sheet1!F300</f>
        <v>0</v>
      </c>
      <c r="H300" s="0" t="n">
        <f aca="false">[2]Sheet1!G300</f>
        <v>0</v>
      </c>
      <c r="I300" s="0" t="n">
        <f aca="false">[2]Sheet1!H300</f>
        <v>0</v>
      </c>
      <c r="J300" s="0" t="n">
        <f aca="false">[2]Sheet1!I300</f>
        <v>0</v>
      </c>
      <c r="K300" s="0" t="n">
        <f aca="false">[2]Sheet1!J300</f>
        <v>0</v>
      </c>
      <c r="L300" s="0" t="n">
        <f aca="false">[2]Sheet1!K300</f>
        <v>0</v>
      </c>
      <c r="M300" s="0" t="n">
        <f aca="false">[2]Sheet1!L300</f>
        <v>0</v>
      </c>
      <c r="N300" s="0" t="n">
        <f aca="false">[2]Sheet1!M300</f>
        <v>0</v>
      </c>
      <c r="O300" s="0" t="n">
        <f aca="false">[2]Sheet1!N300</f>
        <v>0</v>
      </c>
      <c r="P300" s="226" t="n">
        <f aca="false">SUM(AY300+BA300)</f>
        <v>20.8333333333333</v>
      </c>
      <c r="Q300" s="190" t="s">
        <v>1517</v>
      </c>
      <c r="R300" s="250" t="n">
        <v>0.5</v>
      </c>
      <c r="S300" s="190" t="s">
        <v>1517</v>
      </c>
      <c r="T300" s="250" t="n">
        <v>0.5</v>
      </c>
      <c r="U300" s="201"/>
      <c r="V300" s="71"/>
      <c r="W300" s="227"/>
      <c r="X300" s="71"/>
      <c r="Y300" s="201"/>
      <c r="Z300" s="71"/>
      <c r="AA300" s="227"/>
      <c r="AB300" s="71"/>
      <c r="AC300" s="201"/>
      <c r="AD300" s="71"/>
      <c r="AE300" s="227"/>
      <c r="AF300" s="71"/>
      <c r="AG300" s="201"/>
      <c r="AH300" s="71"/>
      <c r="AI300" s="227"/>
      <c r="AJ300" s="71"/>
      <c r="AK300" s="201"/>
      <c r="AL300" s="71"/>
      <c r="AM300" s="227"/>
      <c r="AN300" s="71"/>
      <c r="AO300" s="201"/>
      <c r="AP300" s="71"/>
      <c r="AQ300" s="227"/>
      <c r="AR300" s="71"/>
      <c r="AS300" s="227"/>
      <c r="AT300" s="228"/>
      <c r="AU300" s="227"/>
      <c r="AV300" s="228"/>
      <c r="AW300" s="227"/>
      <c r="AX300" s="229" t="n">
        <f aca="false">SUM(R300+T300+V300+X300+Z300+AB300+AD300+AF300+AH300+AJ300+AL300+AN300+AP300+AR300)</f>
        <v>1</v>
      </c>
      <c r="AY300" s="230" t="n">
        <f aca="false">SUM(AX300*1000)/48</f>
        <v>20.8333333333333</v>
      </c>
      <c r="AZ300" s="231" t="n">
        <f aca="false">IFERROR(VLOOKUP(A300,'Site check'!$A$14:$O$47,15,0),0)</f>
        <v>0</v>
      </c>
      <c r="BA300" s="232" t="n">
        <f aca="false">SUM(AZ300*1000)/48</f>
        <v>0</v>
      </c>
      <c r="BB300" s="90" t="e">
        <f aca="false">SUM(P300/2)+E300</f>
        <v>#VALUE!</v>
      </c>
      <c r="BC300" s="90" t="n">
        <f aca="false">SUM(P300/2)+F300</f>
        <v>10.4166666666667</v>
      </c>
    </row>
    <row r="301" customFormat="false" ht="13.15" hidden="false" customHeight="false" outlineLevel="0" collapsed="false">
      <c r="A301" s="0" t="str">
        <f aca="false">[2]Sheet1!A301</f>
        <v>DNFNP1_SEC_EATON_C7</v>
      </c>
      <c r="B301" s="0" t="str">
        <f aca="false">[2]Sheet1!B301</f>
        <v>DNFNP1; DC SYS01</v>
      </c>
      <c r="C301" s="44" t="str">
        <f aca="false">[2]Sheet1!C301</f>
        <v>DNFNP1</v>
      </c>
      <c r="D301" s="44" t="s">
        <v>551</v>
      </c>
      <c r="E301" s="0" t="n">
        <f aca="false">[2]Sheet1!D301</f>
        <v>0</v>
      </c>
      <c r="F301" s="0" t="n">
        <f aca="false">[2]Sheet1!E301</f>
        <v>0</v>
      </c>
      <c r="G301" s="45" t="n">
        <f aca="false">[2]Sheet1!F301</f>
        <v>0</v>
      </c>
      <c r="H301" s="0" t="n">
        <f aca="false">[2]Sheet1!G301</f>
        <v>300</v>
      </c>
      <c r="I301" s="0" t="n">
        <f aca="false">[2]Sheet1!H301</f>
        <v>300</v>
      </c>
      <c r="J301" s="0" t="n">
        <f aca="false">[2]Sheet1!I301</f>
        <v>0</v>
      </c>
      <c r="K301" s="0" t="n">
        <f aca="false">[2]Sheet1!J301</f>
        <v>0</v>
      </c>
      <c r="L301" s="0" t="n">
        <f aca="false">[2]Sheet1!K301</f>
        <v>0</v>
      </c>
      <c r="M301" s="0" t="n">
        <f aca="false">[2]Sheet1!L301</f>
        <v>0</v>
      </c>
      <c r="N301" s="0" t="n">
        <f aca="false">[2]Sheet1!M301</f>
        <v>0</v>
      </c>
      <c r="O301" s="0" t="n">
        <f aca="false">[2]Sheet1!N301</f>
        <v>10</v>
      </c>
      <c r="P301" s="226" t="n">
        <f aca="false">SUM(AY301+BA301)</f>
        <v>10.4166666666667</v>
      </c>
      <c r="Q301" s="170" t="s">
        <v>1155</v>
      </c>
      <c r="R301" s="234" t="n">
        <v>0.5</v>
      </c>
      <c r="S301" s="227"/>
      <c r="T301" s="71"/>
      <c r="U301" s="201"/>
      <c r="V301" s="71"/>
      <c r="W301" s="227"/>
      <c r="X301" s="71"/>
      <c r="Y301" s="201"/>
      <c r="Z301" s="71"/>
      <c r="AA301" s="227"/>
      <c r="AB301" s="71"/>
      <c r="AC301" s="201"/>
      <c r="AD301" s="71"/>
      <c r="AE301" s="227"/>
      <c r="AF301" s="71"/>
      <c r="AG301" s="201"/>
      <c r="AH301" s="71"/>
      <c r="AI301" s="227"/>
      <c r="AJ301" s="71"/>
      <c r="AK301" s="201"/>
      <c r="AL301" s="71"/>
      <c r="AM301" s="227"/>
      <c r="AN301" s="71"/>
      <c r="AO301" s="201"/>
      <c r="AP301" s="71"/>
      <c r="AQ301" s="227"/>
      <c r="AR301" s="71"/>
      <c r="AS301" s="227"/>
      <c r="AT301" s="228"/>
      <c r="AU301" s="227"/>
      <c r="AV301" s="228"/>
      <c r="AW301" s="227"/>
      <c r="AX301" s="229" t="n">
        <f aca="false">SUM(R301+T301+V301+X301+Z301+AB301+AD301+AF301+AH301+AJ301+AL301+AN301+AP301+AR301)</f>
        <v>0.5</v>
      </c>
      <c r="AY301" s="230" t="n">
        <f aca="false">SUM(AX301*1000)/48</f>
        <v>10.4166666666667</v>
      </c>
      <c r="AZ301" s="231" t="n">
        <f aca="false">IFERROR(VLOOKUP(A301,'Site check'!$A$14:$O$47,15,0),0)</f>
        <v>0</v>
      </c>
      <c r="BA301" s="232" t="n">
        <f aca="false">SUM(AZ301*1000)/48</f>
        <v>0</v>
      </c>
      <c r="BB301" s="90" t="n">
        <f aca="false">SUM(P301/2)+E301</f>
        <v>5.20833333333333</v>
      </c>
      <c r="BC301" s="90" t="n">
        <f aca="false">SUM(P301/2)+F301</f>
        <v>5.20833333333333</v>
      </c>
    </row>
    <row r="302" customFormat="false" ht="13.15" hidden="false" customHeight="false" outlineLevel="0" collapsed="false">
      <c r="A302" s="0" t="str">
        <f aca="false">[2]Sheet1!A302</f>
        <v>EDBTG1_PDU1A_B</v>
      </c>
      <c r="B302" s="0" t="str">
        <f aca="false">[2]Sheet1!B302</f>
        <v>EDBTG1;DC SYSA</v>
      </c>
      <c r="C302" s="44" t="str">
        <f aca="false">[2]Sheet1!C302</f>
        <v>EDBTG1</v>
      </c>
      <c r="D302" s="44" t="s">
        <v>569</v>
      </c>
      <c r="E302" s="0" t="n">
        <f aca="false">[2]Sheet1!D302</f>
        <v>115.15</v>
      </c>
      <c r="F302" s="0" t="n">
        <f aca="false">[2]Sheet1!E302</f>
        <v>130.66</v>
      </c>
      <c r="G302" s="45" t="n">
        <f aca="false">[2]Sheet1!F302</f>
        <v>45631</v>
      </c>
      <c r="H302" s="0" t="n">
        <f aca="false">[2]Sheet1!G302</f>
        <v>360</v>
      </c>
      <c r="I302" s="0" t="n">
        <f aca="false">[2]Sheet1!H302</f>
        <v>360</v>
      </c>
      <c r="J302" s="0" t="n">
        <f aca="false">[2]Sheet1!I302</f>
        <v>0</v>
      </c>
      <c r="K302" s="0" t="n">
        <f aca="false">[2]Sheet1!J302</f>
        <v>0</v>
      </c>
      <c r="L302" s="0" t="n">
        <f aca="false">[2]Sheet1!K302</f>
        <v>0</v>
      </c>
      <c r="M302" s="0" t="n">
        <f aca="false">[2]Sheet1!L302</f>
        <v>0</v>
      </c>
      <c r="N302" s="0" t="n">
        <f aca="false">[2]Sheet1!M302</f>
        <v>0</v>
      </c>
      <c r="O302" s="0" t="n">
        <f aca="false">[2]Sheet1!N302</f>
        <v>0</v>
      </c>
      <c r="P302" s="226" t="n">
        <f aca="false">SUM(AY302+BA302)</f>
        <v>943.75</v>
      </c>
      <c r="Q302" s="170" t="s">
        <v>1158</v>
      </c>
      <c r="R302" s="234" t="n">
        <v>2</v>
      </c>
      <c r="S302" s="170" t="s">
        <v>1159</v>
      </c>
      <c r="T302" s="234" t="n">
        <v>1.1</v>
      </c>
      <c r="U302" s="170" t="s">
        <v>1160</v>
      </c>
      <c r="V302" s="234" t="n">
        <v>2.6</v>
      </c>
      <c r="W302" s="170" t="s">
        <v>1161</v>
      </c>
      <c r="X302" s="234" t="n">
        <v>2.9</v>
      </c>
      <c r="Y302" s="177" t="s">
        <v>1144</v>
      </c>
      <c r="Z302" s="235" t="n">
        <v>0.6</v>
      </c>
      <c r="AA302" s="202" t="s">
        <v>1162</v>
      </c>
      <c r="AB302" s="235" t="n">
        <v>3.6</v>
      </c>
      <c r="AC302" s="202" t="s">
        <v>1518</v>
      </c>
      <c r="AD302" s="235" t="n">
        <v>3.5</v>
      </c>
      <c r="AE302" s="179" t="s">
        <v>1519</v>
      </c>
      <c r="AF302" s="233" t="n">
        <v>6.5</v>
      </c>
      <c r="AG302" s="181" t="s">
        <v>1166</v>
      </c>
      <c r="AH302" s="237" t="n">
        <v>5.8</v>
      </c>
      <c r="AI302" s="181" t="s">
        <v>1167</v>
      </c>
      <c r="AJ302" s="237" t="n">
        <v>5.8</v>
      </c>
      <c r="AK302" s="181" t="s">
        <v>1168</v>
      </c>
      <c r="AL302" s="237" t="n">
        <v>1.9</v>
      </c>
      <c r="AM302" s="181" t="s">
        <v>1169</v>
      </c>
      <c r="AN302" s="237" t="n">
        <v>4</v>
      </c>
      <c r="AO302" s="181" t="s">
        <v>1520</v>
      </c>
      <c r="AP302" s="237" t="n">
        <v>1</v>
      </c>
      <c r="AQ302" s="181" t="s">
        <v>1170</v>
      </c>
      <c r="AR302" s="243" t="n">
        <v>4</v>
      </c>
      <c r="AS302" s="227"/>
      <c r="AT302" s="228"/>
      <c r="AU302" s="227"/>
      <c r="AV302" s="228"/>
      <c r="AW302" s="227"/>
      <c r="AX302" s="229" t="n">
        <f aca="false">SUM(R302+T302+V302+X302+Z302+AB302+AD302+AF302+AH302+AJ302+AL302+AN302+AP302+AR302)</f>
        <v>45.3</v>
      </c>
      <c r="AY302" s="230" t="n">
        <f aca="false">SUM(AX302*1000)/48</f>
        <v>943.75</v>
      </c>
      <c r="AZ302" s="231" t="n">
        <f aca="false">IFERROR(VLOOKUP(A302,'Site check'!$A$14:$O$47,15,0),0)</f>
        <v>0</v>
      </c>
      <c r="BA302" s="232" t="n">
        <f aca="false">SUM(AZ302*1000)/48</f>
        <v>0</v>
      </c>
      <c r="BB302" s="90" t="n">
        <f aca="false">SUM(P302/2)+E302</f>
        <v>587.025</v>
      </c>
      <c r="BC302" s="90" t="n">
        <f aca="false">SUM(P302/2)+F302</f>
        <v>602.535</v>
      </c>
    </row>
    <row r="303" customFormat="false" ht="13.15" hidden="false" customHeight="false" outlineLevel="0" collapsed="false">
      <c r="A303" s="0" t="str">
        <f aca="false">[2]Sheet1!A303</f>
        <v>EDBTG1_SEC_DCDB_J02</v>
      </c>
      <c r="B303" s="0" t="str">
        <f aca="false">[2]Sheet1!B303</f>
        <v>EDBTG1;DC SYSA</v>
      </c>
      <c r="C303" s="44" t="str">
        <f aca="false">[2]Sheet1!C303</f>
        <v>EDBTG1</v>
      </c>
      <c r="D303" s="44" t="s">
        <v>569</v>
      </c>
      <c r="E303" s="0" t="n">
        <f aca="false">[2]Sheet1!D303</f>
        <v>195</v>
      </c>
      <c r="F303" s="0" t="n">
        <f aca="false">[2]Sheet1!E303</f>
        <v>205</v>
      </c>
      <c r="G303" s="45" t="n">
        <f aca="false">[2]Sheet1!F303</f>
        <v>44642</v>
      </c>
      <c r="H303" s="0" t="n">
        <f aca="false">[2]Sheet1!G303</f>
        <v>300</v>
      </c>
      <c r="I303" s="0" t="n">
        <f aca="false">[2]Sheet1!H303</f>
        <v>300</v>
      </c>
      <c r="J303" s="0" t="n">
        <f aca="false">[2]Sheet1!I303</f>
        <v>2</v>
      </c>
      <c r="K303" s="0" t="n">
        <f aca="false">[2]Sheet1!J303</f>
        <v>9</v>
      </c>
      <c r="L303" s="0" t="n">
        <f aca="false">[2]Sheet1!K303</f>
        <v>3</v>
      </c>
      <c r="M303" s="0" t="n">
        <f aca="false">[2]Sheet1!L303</f>
        <v>0</v>
      </c>
      <c r="N303" s="0" t="n">
        <f aca="false">[2]Sheet1!M303</f>
        <v>0</v>
      </c>
      <c r="O303" s="0" t="n">
        <f aca="false">[2]Sheet1!N303</f>
        <v>13</v>
      </c>
      <c r="P303" s="226" t="n">
        <f aca="false">SUM(AY303+BA303)</f>
        <v>0</v>
      </c>
      <c r="Q303" s="179"/>
      <c r="R303" s="180"/>
      <c r="S303" s="227"/>
      <c r="T303" s="71"/>
      <c r="U303" s="201"/>
      <c r="V303" s="71"/>
      <c r="W303" s="227"/>
      <c r="X303" s="71"/>
      <c r="Y303" s="201"/>
      <c r="Z303" s="71"/>
      <c r="AA303" s="227"/>
      <c r="AB303" s="71"/>
      <c r="AC303" s="201"/>
      <c r="AD303" s="71"/>
      <c r="AE303" s="227"/>
      <c r="AF303" s="71"/>
      <c r="AG303" s="201"/>
      <c r="AH303" s="71"/>
      <c r="AI303" s="227"/>
      <c r="AJ303" s="71"/>
      <c r="AK303" s="201"/>
      <c r="AL303" s="71"/>
      <c r="AM303" s="227"/>
      <c r="AN303" s="71"/>
      <c r="AO303" s="201"/>
      <c r="AP303" s="71"/>
      <c r="AQ303" s="227"/>
      <c r="AR303" s="71"/>
      <c r="AS303" s="227"/>
      <c r="AT303" s="228"/>
      <c r="AU303" s="227"/>
      <c r="AV303" s="228"/>
      <c r="AW303" s="227"/>
      <c r="AX303" s="229" t="n">
        <f aca="false">SUM(R303+T303+V303+X303+Z303+AB303+AD303+AF303+AH303+AJ303+AL303+AN303+AP303+AR303)</f>
        <v>0</v>
      </c>
      <c r="AY303" s="230" t="n">
        <f aca="false">SUM(AX303*1000)/48</f>
        <v>0</v>
      </c>
      <c r="AZ303" s="231" t="n">
        <f aca="false">IFERROR(VLOOKUP(A303,'Site check'!$A$14:$O$47,15,0),0)</f>
        <v>0</v>
      </c>
      <c r="BA303" s="232" t="n">
        <f aca="false">SUM(AZ303*1000)/48</f>
        <v>0</v>
      </c>
      <c r="BB303" s="90" t="n">
        <f aca="false">SUM(P303/2)+E303</f>
        <v>195</v>
      </c>
      <c r="BC303" s="90" t="n">
        <f aca="false">SUM(P303/2)+F303</f>
        <v>205</v>
      </c>
    </row>
    <row r="304" customFormat="false" ht="13.15" hidden="false" customHeight="false" outlineLevel="0" collapsed="false">
      <c r="A304" s="0" t="str">
        <f aca="false">[2]Sheet1!A304</f>
        <v>EDBTG1_SEC_DCDB_D11</v>
      </c>
      <c r="B304" s="0" t="str">
        <f aca="false">[2]Sheet1!B304</f>
        <v>EDBTG1;DC SYSA</v>
      </c>
      <c r="C304" s="44" t="str">
        <f aca="false">[2]Sheet1!C304</f>
        <v>EDBTG1</v>
      </c>
      <c r="D304" s="44" t="s">
        <v>569</v>
      </c>
      <c r="E304" s="0" t="n">
        <f aca="false">[2]Sheet1!D304</f>
        <v>184</v>
      </c>
      <c r="F304" s="0" t="n">
        <f aca="false">[2]Sheet1!E304</f>
        <v>181</v>
      </c>
      <c r="G304" s="45" t="n">
        <f aca="false">[2]Sheet1!F304</f>
        <v>44453</v>
      </c>
      <c r="H304" s="0" t="n">
        <f aca="false">[2]Sheet1!G304</f>
        <v>300</v>
      </c>
      <c r="I304" s="0" t="n">
        <f aca="false">[2]Sheet1!H304</f>
        <v>300</v>
      </c>
      <c r="J304" s="0" t="n">
        <f aca="false">[2]Sheet1!I304</f>
        <v>0</v>
      </c>
      <c r="K304" s="0" t="n">
        <f aca="false">[2]Sheet1!J304</f>
        <v>6</v>
      </c>
      <c r="L304" s="0" t="n">
        <f aca="false">[2]Sheet1!K304</f>
        <v>4</v>
      </c>
      <c r="M304" s="0" t="n">
        <f aca="false">[2]Sheet1!L304</f>
        <v>0</v>
      </c>
      <c r="N304" s="0" t="n">
        <f aca="false">[2]Sheet1!M304</f>
        <v>0</v>
      </c>
      <c r="O304" s="0" t="n">
        <f aca="false">[2]Sheet1!N304</f>
        <v>46</v>
      </c>
      <c r="P304" s="226" t="n">
        <f aca="false">SUM(AY304+BA304)</f>
        <v>0</v>
      </c>
      <c r="Q304" s="170"/>
      <c r="R304" s="234"/>
      <c r="S304" s="227"/>
      <c r="T304" s="71"/>
      <c r="U304" s="201"/>
      <c r="V304" s="71"/>
      <c r="W304" s="227"/>
      <c r="X304" s="71"/>
      <c r="Y304" s="201"/>
      <c r="Z304" s="71"/>
      <c r="AA304" s="227"/>
      <c r="AB304" s="71"/>
      <c r="AC304" s="201"/>
      <c r="AD304" s="71"/>
      <c r="AE304" s="227"/>
      <c r="AF304" s="71"/>
      <c r="AG304" s="201"/>
      <c r="AH304" s="71"/>
      <c r="AI304" s="227"/>
      <c r="AJ304" s="71"/>
      <c r="AK304" s="201"/>
      <c r="AL304" s="71"/>
      <c r="AM304" s="227"/>
      <c r="AN304" s="71"/>
      <c r="AO304" s="201"/>
      <c r="AP304" s="71"/>
      <c r="AQ304" s="227"/>
      <c r="AR304" s="71"/>
      <c r="AS304" s="227"/>
      <c r="AT304" s="228"/>
      <c r="AU304" s="227"/>
      <c r="AV304" s="228"/>
      <c r="AW304" s="227"/>
      <c r="AX304" s="229" t="n">
        <f aca="false">SUM(R304+T304+V304+X304+Z304+AB304+AD304+AF304+AH304+AJ304+AL304+AN304+AP304+AR304)</f>
        <v>0</v>
      </c>
      <c r="AY304" s="230" t="n">
        <f aca="false">SUM(AX304*1000)/48</f>
        <v>0</v>
      </c>
      <c r="AZ304" s="231" t="n">
        <f aca="false">IFERROR(VLOOKUP(A304,'Site check'!$A$14:$O$47,15,0),0)</f>
        <v>0</v>
      </c>
      <c r="BA304" s="232" t="n">
        <f aca="false">SUM(AZ304*1000)/48</f>
        <v>0</v>
      </c>
      <c r="BB304" s="90" t="n">
        <f aca="false">SUM(P304/2)+E304</f>
        <v>184</v>
      </c>
      <c r="BC304" s="90" t="n">
        <f aca="false">SUM(P304/2)+F304</f>
        <v>181</v>
      </c>
    </row>
    <row r="305" customFormat="false" ht="13.15" hidden="false" customHeight="false" outlineLevel="0" collapsed="false">
      <c r="A305" s="0" t="str">
        <f aca="false">[2]Sheet1!A305</f>
        <v>EDBTN1_SEC_EATON_EF5</v>
      </c>
      <c r="B305" s="0" t="str">
        <f aca="false">[2]Sheet1!B305</f>
        <v>EDBTN1;DC SYSA (DO NOT CONNECT LOADS)</v>
      </c>
      <c r="C305" s="44" t="str">
        <f aca="false">[2]Sheet1!C305</f>
        <v>EDBTN1</v>
      </c>
      <c r="D305" s="44" t="s">
        <v>571</v>
      </c>
      <c r="E305" s="0" t="n">
        <f aca="false">[2]Sheet1!D305</f>
        <v>152</v>
      </c>
      <c r="F305" s="0" t="n">
        <f aca="false">[2]Sheet1!E305</f>
        <v>168</v>
      </c>
      <c r="G305" s="45" t="n">
        <f aca="false">[2]Sheet1!F305</f>
        <v>45008</v>
      </c>
      <c r="H305" s="0" t="n">
        <f aca="false">[2]Sheet1!G305</f>
        <v>300</v>
      </c>
      <c r="I305" s="0" t="n">
        <f aca="false">[2]Sheet1!H305</f>
        <v>300</v>
      </c>
      <c r="J305" s="0" t="n">
        <f aca="false">[2]Sheet1!I305</f>
        <v>0</v>
      </c>
      <c r="K305" s="0" t="n">
        <f aca="false">[2]Sheet1!J305</f>
        <v>0</v>
      </c>
      <c r="L305" s="0" t="n">
        <f aca="false">[2]Sheet1!K305</f>
        <v>0</v>
      </c>
      <c r="M305" s="0" t="n">
        <f aca="false">[2]Sheet1!L305</f>
        <v>0</v>
      </c>
      <c r="N305" s="0" t="n">
        <f aca="false">[2]Sheet1!M305</f>
        <v>0</v>
      </c>
      <c r="O305" s="0" t="n">
        <f aca="false">[2]Sheet1!N305</f>
        <v>48</v>
      </c>
      <c r="P305" s="226" t="n">
        <f aca="false">SUM(AY305+BA305)</f>
        <v>137.5</v>
      </c>
      <c r="Q305" s="170" t="s">
        <v>1174</v>
      </c>
      <c r="R305" s="234" t="n">
        <v>4.6</v>
      </c>
      <c r="S305" s="202" t="s">
        <v>1176</v>
      </c>
      <c r="T305" s="235" t="n">
        <v>2</v>
      </c>
      <c r="U305" s="201"/>
      <c r="V305" s="71"/>
      <c r="W305" s="227"/>
      <c r="X305" s="71"/>
      <c r="Y305" s="201"/>
      <c r="Z305" s="71"/>
      <c r="AA305" s="227"/>
      <c r="AB305" s="71"/>
      <c r="AC305" s="201"/>
      <c r="AD305" s="71"/>
      <c r="AE305" s="227"/>
      <c r="AF305" s="71"/>
      <c r="AG305" s="201"/>
      <c r="AH305" s="71"/>
      <c r="AI305" s="227"/>
      <c r="AJ305" s="71"/>
      <c r="AK305" s="201"/>
      <c r="AL305" s="71"/>
      <c r="AM305" s="227"/>
      <c r="AN305" s="71"/>
      <c r="AO305" s="201"/>
      <c r="AP305" s="71"/>
      <c r="AQ305" s="227"/>
      <c r="AR305" s="71"/>
      <c r="AS305" s="227"/>
      <c r="AT305" s="228"/>
      <c r="AU305" s="227"/>
      <c r="AV305" s="228"/>
      <c r="AW305" s="227"/>
      <c r="AX305" s="229" t="n">
        <f aca="false">SUM(R305+T305+V305+X305+Z305+AB305+AD305+AF305+AH305+AJ305+AL305+AN305+AP305+AR305)</f>
        <v>6.6</v>
      </c>
      <c r="AY305" s="230" t="n">
        <f aca="false">SUM(AX305*1000)/48</f>
        <v>137.5</v>
      </c>
      <c r="AZ305" s="231" t="n">
        <f aca="false">IFERROR(VLOOKUP(A305,'Site check'!$A$14:$O$47,15,0),0)</f>
        <v>0</v>
      </c>
      <c r="BA305" s="232" t="n">
        <f aca="false">SUM(AZ305*1000)/48</f>
        <v>0</v>
      </c>
      <c r="BB305" s="90" t="n">
        <f aca="false">SUM(P305/2)+E305</f>
        <v>220.75</v>
      </c>
      <c r="BC305" s="90" t="n">
        <f aca="false">SUM(P305/2)+F305</f>
        <v>236.75</v>
      </c>
    </row>
    <row r="306" customFormat="false" ht="13.15" hidden="false" customHeight="false" outlineLevel="0" collapsed="false">
      <c r="A306" s="0" t="str">
        <f aca="false">[2]Sheet1!A306</f>
        <v>EDBTN1_DCDB_WALL_A</v>
      </c>
      <c r="B306" s="0" t="str">
        <f aca="false">[2]Sheet1!B306</f>
        <v>EDBTN1;DC SYSA (DO NOT CONNECT LOADS)</v>
      </c>
      <c r="C306" s="44" t="str">
        <f aca="false">[2]Sheet1!C306</f>
        <v>EDBTN1</v>
      </c>
      <c r="D306" s="44" t="s">
        <v>571</v>
      </c>
      <c r="E306" s="0" t="n">
        <f aca="false">[2]Sheet1!D306</f>
        <v>0</v>
      </c>
      <c r="F306" s="0" t="n">
        <f aca="false">[2]Sheet1!E306</f>
        <v>0</v>
      </c>
      <c r="G306" s="45" t="n">
        <f aca="false">[2]Sheet1!F306</f>
        <v>0</v>
      </c>
      <c r="H306" s="0" t="n">
        <f aca="false">[2]Sheet1!G306</f>
        <v>0</v>
      </c>
      <c r="I306" s="0" t="n">
        <f aca="false">[2]Sheet1!H306</f>
        <v>0</v>
      </c>
      <c r="J306" s="0" t="n">
        <f aca="false">[2]Sheet1!I306</f>
        <v>0</v>
      </c>
      <c r="K306" s="0" t="n">
        <f aca="false">[2]Sheet1!J306</f>
        <v>0</v>
      </c>
      <c r="L306" s="0" t="n">
        <f aca="false">[2]Sheet1!K306</f>
        <v>0</v>
      </c>
      <c r="M306" s="0" t="n">
        <f aca="false">[2]Sheet1!L306</f>
        <v>0</v>
      </c>
      <c r="N306" s="0" t="n">
        <f aca="false">[2]Sheet1!M306</f>
        <v>0</v>
      </c>
      <c r="O306" s="0" t="n">
        <f aca="false">[2]Sheet1!N306</f>
        <v>0</v>
      </c>
      <c r="P306" s="226" t="n">
        <f aca="false">SUM(AY306+BA306)</f>
        <v>0</v>
      </c>
      <c r="Q306" s="201"/>
      <c r="R306" s="71"/>
      <c r="S306" s="227"/>
      <c r="T306" s="71"/>
      <c r="U306" s="201"/>
      <c r="V306" s="71"/>
      <c r="W306" s="227"/>
      <c r="X306" s="71"/>
      <c r="Y306" s="201"/>
      <c r="Z306" s="71"/>
      <c r="AA306" s="227"/>
      <c r="AB306" s="71"/>
      <c r="AC306" s="201"/>
      <c r="AD306" s="71"/>
      <c r="AE306" s="227"/>
      <c r="AF306" s="71"/>
      <c r="AG306" s="201"/>
      <c r="AH306" s="71"/>
      <c r="AI306" s="227"/>
      <c r="AJ306" s="71"/>
      <c r="AK306" s="201"/>
      <c r="AL306" s="71"/>
      <c r="AM306" s="227"/>
      <c r="AN306" s="71"/>
      <c r="AO306" s="201"/>
      <c r="AP306" s="71"/>
      <c r="AQ306" s="227"/>
      <c r="AR306" s="71"/>
      <c r="AS306" s="227"/>
      <c r="AT306" s="228"/>
      <c r="AU306" s="227"/>
      <c r="AV306" s="228"/>
      <c r="AW306" s="227"/>
      <c r="AX306" s="229" t="n">
        <f aca="false">SUM(R306+T306+V306+X306+Z306+AB306+AD306+AF306+AH306+AJ306+AL306+AN306+AP306+AR306)</f>
        <v>0</v>
      </c>
      <c r="AY306" s="230" t="n">
        <f aca="false">SUM(AX306*1000)/48</f>
        <v>0</v>
      </c>
      <c r="AZ306" s="231" t="n">
        <f aca="false">IFERROR(VLOOKUP(A306,'Site check'!$A$14:$O$47,15,0),0)</f>
        <v>0</v>
      </c>
      <c r="BA306" s="232" t="n">
        <f aca="false">SUM(AZ306*1000)/48</f>
        <v>0</v>
      </c>
      <c r="BB306" s="90" t="n">
        <f aca="false">SUM(P306/2)+E306</f>
        <v>0</v>
      </c>
      <c r="BC306" s="90" t="n">
        <f aca="false">SUM(P306/2)+F306</f>
        <v>0</v>
      </c>
    </row>
    <row r="307" customFormat="false" ht="13.15" hidden="false" customHeight="false" outlineLevel="0" collapsed="false">
      <c r="A307" s="0" t="str">
        <f aca="false">[2]Sheet1!A307</f>
        <v>EDBTN1_DCDB_WALL_B</v>
      </c>
      <c r="B307" s="0" t="str">
        <f aca="false">[2]Sheet1!B307</f>
        <v>EDBTN1;DC SYSA (DO NOT CONNECT LOADS)</v>
      </c>
      <c r="C307" s="44" t="str">
        <f aca="false">[2]Sheet1!C307</f>
        <v>EDBTN1</v>
      </c>
      <c r="D307" s="44" t="s">
        <v>571</v>
      </c>
      <c r="E307" s="0" t="n">
        <f aca="false">[2]Sheet1!D307</f>
        <v>0</v>
      </c>
      <c r="F307" s="0" t="n">
        <f aca="false">[2]Sheet1!E307</f>
        <v>0</v>
      </c>
      <c r="G307" s="45" t="n">
        <f aca="false">[2]Sheet1!F307</f>
        <v>0</v>
      </c>
      <c r="H307" s="0" t="n">
        <f aca="false">[2]Sheet1!G307</f>
        <v>0</v>
      </c>
      <c r="I307" s="0" t="n">
        <f aca="false">[2]Sheet1!H307</f>
        <v>0</v>
      </c>
      <c r="J307" s="0" t="n">
        <f aca="false">[2]Sheet1!I307</f>
        <v>0</v>
      </c>
      <c r="K307" s="0" t="n">
        <f aca="false">[2]Sheet1!J307</f>
        <v>0</v>
      </c>
      <c r="L307" s="0" t="n">
        <f aca="false">[2]Sheet1!K307</f>
        <v>0</v>
      </c>
      <c r="M307" s="0" t="n">
        <f aca="false">[2]Sheet1!L307</f>
        <v>0</v>
      </c>
      <c r="N307" s="0" t="n">
        <f aca="false">[2]Sheet1!M307</f>
        <v>0</v>
      </c>
      <c r="O307" s="0" t="n">
        <f aca="false">[2]Sheet1!N307</f>
        <v>0</v>
      </c>
      <c r="P307" s="226" t="n">
        <f aca="false">SUM(AY307+BA307)</f>
        <v>0</v>
      </c>
      <c r="Q307" s="201"/>
      <c r="R307" s="71"/>
      <c r="S307" s="227"/>
      <c r="T307" s="71"/>
      <c r="U307" s="201"/>
      <c r="V307" s="71"/>
      <c r="W307" s="227"/>
      <c r="X307" s="71"/>
      <c r="Y307" s="201"/>
      <c r="Z307" s="71"/>
      <c r="AA307" s="227"/>
      <c r="AB307" s="71"/>
      <c r="AC307" s="201"/>
      <c r="AD307" s="71"/>
      <c r="AE307" s="227"/>
      <c r="AF307" s="71"/>
      <c r="AG307" s="201"/>
      <c r="AH307" s="71"/>
      <c r="AI307" s="227"/>
      <c r="AJ307" s="71"/>
      <c r="AK307" s="201"/>
      <c r="AL307" s="71"/>
      <c r="AM307" s="227"/>
      <c r="AN307" s="71"/>
      <c r="AO307" s="201"/>
      <c r="AP307" s="71"/>
      <c r="AQ307" s="227"/>
      <c r="AR307" s="71"/>
      <c r="AS307" s="227"/>
      <c r="AT307" s="228"/>
      <c r="AU307" s="227"/>
      <c r="AV307" s="228"/>
      <c r="AW307" s="227"/>
      <c r="AX307" s="229" t="n">
        <f aca="false">SUM(R307+T307+V307+X307+Z307+AB307+AD307+AF307+AH307+AJ307+AL307+AN307+AP307+AR307)</f>
        <v>0</v>
      </c>
      <c r="AY307" s="230" t="n">
        <f aca="false">SUM(AX307*1000)/48</f>
        <v>0</v>
      </c>
      <c r="AZ307" s="231" t="n">
        <f aca="false">IFERROR(VLOOKUP(A307,'Site check'!$A$14:$O$47,15,0),0)</f>
        <v>0</v>
      </c>
      <c r="BA307" s="232" t="n">
        <f aca="false">SUM(AZ307*1000)/48</f>
        <v>0</v>
      </c>
      <c r="BB307" s="90" t="n">
        <f aca="false">SUM(P307/2)+E307</f>
        <v>0</v>
      </c>
      <c r="BC307" s="90" t="n">
        <f aca="false">SUM(P307/2)+F307</f>
        <v>0</v>
      </c>
    </row>
    <row r="308" customFormat="false" ht="13.15" hidden="false" customHeight="false" outlineLevel="0" collapsed="false">
      <c r="A308" s="0" t="str">
        <f aca="false">[2]Sheet1!A308</f>
        <v>EDBTN1_SEC_EATON_CD15 CAPPED</v>
      </c>
      <c r="B308" s="0" t="str">
        <f aca="false">[2]Sheet1!B308</f>
        <v>EDBTN1;DC SYSA (DO NOT CONNECT LOADS)</v>
      </c>
      <c r="C308" s="44" t="str">
        <f aca="false">[2]Sheet1!C308</f>
        <v>EDBTN1</v>
      </c>
      <c r="D308" s="44" t="s">
        <v>571</v>
      </c>
      <c r="E308" s="0" t="n">
        <f aca="false">[2]Sheet1!D308</f>
        <v>290</v>
      </c>
      <c r="F308" s="0" t="n">
        <f aca="false">[2]Sheet1!E308</f>
        <v>345</v>
      </c>
      <c r="G308" s="45" t="n">
        <f aca="false">[2]Sheet1!F308</f>
        <v>45006</v>
      </c>
      <c r="H308" s="0" t="n">
        <f aca="false">[2]Sheet1!G308</f>
        <v>300</v>
      </c>
      <c r="I308" s="0" t="n">
        <f aca="false">[2]Sheet1!H308</f>
        <v>300</v>
      </c>
      <c r="J308" s="0" t="n">
        <f aca="false">[2]Sheet1!I308</f>
        <v>2</v>
      </c>
      <c r="K308" s="0" t="n">
        <f aca="false">[2]Sheet1!J308</f>
        <v>0</v>
      </c>
      <c r="L308" s="0" t="n">
        <f aca="false">[2]Sheet1!K308</f>
        <v>0</v>
      </c>
      <c r="M308" s="0" t="n">
        <f aca="false">[2]Sheet1!L308</f>
        <v>0</v>
      </c>
      <c r="N308" s="0" t="n">
        <f aca="false">[2]Sheet1!M308</f>
        <v>0</v>
      </c>
      <c r="O308" s="0" t="n">
        <f aca="false">[2]Sheet1!N308</f>
        <v>5</v>
      </c>
      <c r="P308" s="226" t="n">
        <f aca="false">SUM(AY308+BA308)</f>
        <v>20.8333333333333</v>
      </c>
      <c r="Q308" s="201" t="s">
        <v>1178</v>
      </c>
      <c r="R308" s="243" t="n">
        <v>1</v>
      </c>
      <c r="S308" s="227"/>
      <c r="T308" s="71"/>
      <c r="U308" s="201"/>
      <c r="V308" s="71"/>
      <c r="W308" s="227"/>
      <c r="X308" s="71"/>
      <c r="Y308" s="201"/>
      <c r="Z308" s="71"/>
      <c r="AA308" s="227"/>
      <c r="AB308" s="71"/>
      <c r="AC308" s="201"/>
      <c r="AD308" s="71"/>
      <c r="AE308" s="227"/>
      <c r="AF308" s="71"/>
      <c r="AG308" s="201"/>
      <c r="AH308" s="71"/>
      <c r="AI308" s="227"/>
      <c r="AJ308" s="71"/>
      <c r="AK308" s="201"/>
      <c r="AL308" s="71"/>
      <c r="AM308" s="227"/>
      <c r="AN308" s="71"/>
      <c r="AO308" s="201"/>
      <c r="AP308" s="71"/>
      <c r="AQ308" s="227"/>
      <c r="AR308" s="71"/>
      <c r="AS308" s="227"/>
      <c r="AT308" s="228"/>
      <c r="AU308" s="227"/>
      <c r="AV308" s="228"/>
      <c r="AW308" s="227"/>
      <c r="AX308" s="229" t="n">
        <f aca="false">SUM(R308+T308+V308+X308+Z308+AB308+AD308+AF308+AH308+AJ308+AL308+AN308+AP308+AR308)</f>
        <v>1</v>
      </c>
      <c r="AY308" s="230" t="n">
        <f aca="false">SUM(AX308*1000)/48</f>
        <v>20.8333333333333</v>
      </c>
      <c r="AZ308" s="231" t="n">
        <f aca="false">IFERROR(VLOOKUP(A308,'Site check'!$A$14:$O$47,15,0),0)</f>
        <v>0</v>
      </c>
      <c r="BA308" s="232" t="n">
        <f aca="false">SUM(AZ308*1000)/48</f>
        <v>0</v>
      </c>
      <c r="BB308" s="90" t="n">
        <f aca="false">SUM(P308/2)+E308</f>
        <v>300.416666666667</v>
      </c>
      <c r="BC308" s="90" t="n">
        <f aca="false">SUM(P308/2)+F308</f>
        <v>355.416666666667</v>
      </c>
    </row>
    <row r="309" customFormat="false" ht="13.15" hidden="false" customHeight="false" outlineLevel="0" collapsed="false">
      <c r="A309" s="0" t="str">
        <f aca="false">[2]Sheet1!A309</f>
        <v>BTRTP1_SEC_EATON_GF03</v>
      </c>
      <c r="B309" s="0" t="str">
        <f aca="false">[2]Sheet1!B309</f>
        <v>BTRTP1;DC SYS01</v>
      </c>
      <c r="C309" s="44" t="str">
        <f aca="false">[2]Sheet1!C309</f>
        <v>BTRTP1</v>
      </c>
      <c r="D309" s="44" t="s">
        <v>478</v>
      </c>
      <c r="E309" s="0" t="n">
        <f aca="false">[2]Sheet1!D309</f>
        <v>10</v>
      </c>
      <c r="F309" s="0" t="n">
        <f aca="false">[2]Sheet1!E309</f>
        <v>10</v>
      </c>
      <c r="G309" s="45" t="n">
        <f aca="false">[2]Sheet1!F309</f>
        <v>41963</v>
      </c>
      <c r="H309" s="0" t="n">
        <f aca="false">[2]Sheet1!G309</f>
        <v>300</v>
      </c>
      <c r="I309" s="0" t="n">
        <f aca="false">[2]Sheet1!H309</f>
        <v>300</v>
      </c>
      <c r="J309" s="0" t="n">
        <f aca="false">[2]Sheet1!I309</f>
        <v>5</v>
      </c>
      <c r="K309" s="0" t="n">
        <f aca="false">[2]Sheet1!J309</f>
        <v>8</v>
      </c>
      <c r="L309" s="0" t="n">
        <f aca="false">[2]Sheet1!K309</f>
        <v>0</v>
      </c>
      <c r="M309" s="0" t="n">
        <f aca="false">[2]Sheet1!L309</f>
        <v>29</v>
      </c>
      <c r="N309" s="0" t="n">
        <f aca="false">[2]Sheet1!M309</f>
        <v>11</v>
      </c>
      <c r="O309" s="0" t="n">
        <f aca="false">[2]Sheet1!N309</f>
        <v>0</v>
      </c>
      <c r="P309" s="226" t="e">
        <f aca="false">SUM(AY309+BA309)</f>
        <v>#REF!</v>
      </c>
      <c r="Q309" s="179" t="s">
        <v>1107</v>
      </c>
      <c r="R309" s="180" t="n">
        <v>0.3</v>
      </c>
      <c r="S309" s="227"/>
      <c r="T309" s="71"/>
      <c r="U309" s="201"/>
      <c r="V309" s="71"/>
      <c r="W309" s="227"/>
      <c r="X309" s="71"/>
      <c r="Y309" s="201"/>
      <c r="Z309" s="71"/>
      <c r="AA309" s="227"/>
      <c r="AB309" s="71"/>
      <c r="AC309" s="201"/>
      <c r="AD309" s="71"/>
      <c r="AE309" s="227"/>
      <c r="AF309" s="71"/>
      <c r="AG309" s="201"/>
      <c r="AH309" s="71"/>
      <c r="AI309" s="227"/>
      <c r="AJ309" s="71"/>
      <c r="AK309" s="201"/>
      <c r="AL309" s="71"/>
      <c r="AM309" s="227"/>
      <c r="AN309" s="71"/>
      <c r="AO309" s="201"/>
      <c r="AP309" s="71"/>
      <c r="AQ309" s="227"/>
      <c r="AR309" s="71"/>
      <c r="AS309" s="227"/>
      <c r="AT309" s="228"/>
      <c r="AU309" s="227"/>
      <c r="AV309" s="228"/>
      <c r="AW309" s="227"/>
      <c r="AX309" s="229" t="e">
        <f aca="false">SUM(R309+T309+V309+X309+Z309+AB309+AD309+AF309+#REF!+AJ309+AL309+AN309+AP309+AR309)</f>
        <v>#REF!</v>
      </c>
      <c r="AY309" s="230" t="e">
        <f aca="false">SUM(AX309*1000)/48</f>
        <v>#REF!</v>
      </c>
      <c r="AZ309" s="231" t="n">
        <f aca="false">IFERROR(VLOOKUP(A309,'Site check'!$A$14:$O$47,15,0),0)</f>
        <v>0</v>
      </c>
      <c r="BA309" s="232" t="n">
        <f aca="false">SUM(AZ309*1000)/48</f>
        <v>0</v>
      </c>
      <c r="BB309" s="90" t="e">
        <f aca="false">SUM(P309/2)+E309</f>
        <v>#REF!</v>
      </c>
      <c r="BC309" s="90" t="e">
        <f aca="false">SUM(P309/2)+F309</f>
        <v>#REF!</v>
      </c>
    </row>
    <row r="310" customFormat="false" ht="13.15" hidden="false" customHeight="false" outlineLevel="0" collapsed="false">
      <c r="A310" s="0" t="str">
        <f aca="false">[2]Sheet1!A310</f>
        <v>GLWN07_PDU1A_B</v>
      </c>
      <c r="B310" s="0" t="str">
        <f aca="false">[2]Sheet1!B310</f>
        <v>GLWN07;DC SYS A</v>
      </c>
      <c r="C310" s="44" t="str">
        <f aca="false">[2]Sheet1!C310</f>
        <v>GLWN07</v>
      </c>
      <c r="D310" s="44" t="s">
        <v>593</v>
      </c>
      <c r="E310" s="0" t="n">
        <f aca="false">[2]Sheet1!D310</f>
        <v>163.95</v>
      </c>
      <c r="F310" s="0" t="n">
        <f aca="false">[2]Sheet1!E310</f>
        <v>186.74</v>
      </c>
      <c r="G310" s="45" t="n">
        <f aca="false">[2]Sheet1!F310</f>
        <v>45631</v>
      </c>
      <c r="H310" s="0" t="n">
        <f aca="false">[2]Sheet1!G310</f>
        <v>360</v>
      </c>
      <c r="I310" s="0" t="n">
        <f aca="false">[2]Sheet1!H310</f>
        <v>360</v>
      </c>
      <c r="J310" s="0" t="n">
        <f aca="false">[2]Sheet1!I310</f>
        <v>0</v>
      </c>
      <c r="K310" s="0" t="n">
        <f aca="false">[2]Sheet1!J310</f>
        <v>0</v>
      </c>
      <c r="L310" s="0" t="n">
        <f aca="false">[2]Sheet1!K310</f>
        <v>0</v>
      </c>
      <c r="M310" s="0" t="n">
        <f aca="false">[2]Sheet1!L310</f>
        <v>0</v>
      </c>
      <c r="N310" s="0" t="n">
        <f aca="false">[2]Sheet1!M310</f>
        <v>0</v>
      </c>
      <c r="O310" s="0" t="n">
        <f aca="false">[2]Sheet1!N310</f>
        <v>0</v>
      </c>
      <c r="P310" s="226" t="n">
        <f aca="false">SUM(AY310+BA310)</f>
        <v>529.166666666667</v>
      </c>
      <c r="Q310" s="170" t="s">
        <v>1195</v>
      </c>
      <c r="R310" s="234" t="n">
        <v>2</v>
      </c>
      <c r="S310" s="181" t="s">
        <v>1196</v>
      </c>
      <c r="T310" s="237" t="n">
        <v>2.2</v>
      </c>
      <c r="U310" s="170" t="s">
        <v>1197</v>
      </c>
      <c r="V310" s="237" t="n">
        <v>2.9</v>
      </c>
      <c r="W310" s="173" t="s">
        <v>1198</v>
      </c>
      <c r="X310" s="236" t="n">
        <v>2.1</v>
      </c>
      <c r="Y310" s="170" t="s">
        <v>1200</v>
      </c>
      <c r="Z310" s="237" t="n">
        <v>1.5</v>
      </c>
      <c r="AA310" s="202" t="s">
        <v>1521</v>
      </c>
      <c r="AB310" s="235" t="n">
        <v>3.4</v>
      </c>
      <c r="AC310" s="201" t="s">
        <v>1202</v>
      </c>
      <c r="AD310" s="71" t="n">
        <v>1.3</v>
      </c>
      <c r="AE310" s="186" t="s">
        <v>1199</v>
      </c>
      <c r="AF310" s="240" t="n">
        <v>1.8</v>
      </c>
      <c r="AG310" s="181" t="s">
        <v>1203</v>
      </c>
      <c r="AH310" s="235" t="n">
        <v>3.8</v>
      </c>
      <c r="AI310" s="181" t="s">
        <v>1204</v>
      </c>
      <c r="AJ310" s="235" t="n">
        <v>4.4</v>
      </c>
      <c r="AK310" s="201"/>
      <c r="AL310" s="71"/>
      <c r="AM310" s="227"/>
      <c r="AN310" s="71"/>
      <c r="AO310" s="201"/>
      <c r="AP310" s="71"/>
      <c r="AQ310" s="227"/>
      <c r="AR310" s="71"/>
      <c r="AS310" s="227"/>
      <c r="AT310" s="228"/>
      <c r="AU310" s="227"/>
      <c r="AV310" s="228"/>
      <c r="AW310" s="227"/>
      <c r="AX310" s="229" t="n">
        <f aca="false">SUM(R310+T310+V310+X310+Z310+AB310+AD310+AF310+AH310+AJ310+AL310+AN310+AP310+AR310)</f>
        <v>25.4</v>
      </c>
      <c r="AY310" s="230" t="n">
        <f aca="false">SUM(AX310*1000)/48</f>
        <v>529.166666666667</v>
      </c>
      <c r="AZ310" s="231" t="n">
        <f aca="false">IFERROR(VLOOKUP(A310,'Site check'!$A$14:$O$47,15,0),0)</f>
        <v>0</v>
      </c>
      <c r="BA310" s="232" t="n">
        <f aca="false">SUM(AZ310*1000)/48</f>
        <v>0</v>
      </c>
      <c r="BB310" s="90" t="n">
        <f aca="false">SUM(P310/2)+E310</f>
        <v>428.533333333333</v>
      </c>
      <c r="BC310" s="90" t="n">
        <f aca="false">SUM(P310/2)+F310</f>
        <v>451.323333333333</v>
      </c>
    </row>
    <row r="311" customFormat="false" ht="13.15" hidden="false" customHeight="false" outlineLevel="0" collapsed="false">
      <c r="A311" s="0" t="str">
        <f aca="false">[2]Sheet1!A311</f>
        <v>GLWN07_SEC_DD770_CD01</v>
      </c>
      <c r="B311" s="0" t="str">
        <f aca="false">[2]Sheet1!B311</f>
        <v>GLWN07;DC SYS A</v>
      </c>
      <c r="C311" s="44" t="str">
        <f aca="false">[2]Sheet1!C311</f>
        <v>GLWN07</v>
      </c>
      <c r="D311" s="44" t="s">
        <v>593</v>
      </c>
      <c r="E311" s="0" t="n">
        <f aca="false">[2]Sheet1!D311</f>
        <v>0</v>
      </c>
      <c r="F311" s="0" t="n">
        <f aca="false">[2]Sheet1!E311</f>
        <v>0</v>
      </c>
      <c r="G311" s="45" t="n">
        <f aca="false">[2]Sheet1!F311</f>
        <v>0</v>
      </c>
      <c r="H311" s="0" t="n">
        <f aca="false">[2]Sheet1!G311</f>
        <v>300</v>
      </c>
      <c r="I311" s="0" t="n">
        <f aca="false">[2]Sheet1!H311</f>
        <v>300</v>
      </c>
      <c r="J311" s="0" t="n">
        <f aca="false">[2]Sheet1!I311</f>
        <v>1</v>
      </c>
      <c r="K311" s="0" t="n">
        <f aca="false">[2]Sheet1!J311</f>
        <v>1</v>
      </c>
      <c r="L311" s="0" t="n">
        <f aca="false">[2]Sheet1!K311</f>
        <v>0</v>
      </c>
      <c r="M311" s="0" t="n">
        <f aca="false">[2]Sheet1!L311</f>
        <v>2</v>
      </c>
      <c r="N311" s="0" t="n">
        <f aca="false">[2]Sheet1!M311</f>
        <v>0</v>
      </c>
      <c r="O311" s="0" t="n">
        <f aca="false">[2]Sheet1!N311</f>
        <v>15</v>
      </c>
      <c r="P311" s="226" t="n">
        <f aca="false">SUM(AY311+BA311)</f>
        <v>83.3333333333333</v>
      </c>
      <c r="Q311" s="204" t="s">
        <v>1522</v>
      </c>
      <c r="R311" s="221" t="n">
        <v>2</v>
      </c>
      <c r="S311" s="204" t="s">
        <v>1522</v>
      </c>
      <c r="T311" s="221" t="n">
        <v>2</v>
      </c>
      <c r="U311" s="201"/>
      <c r="V311" s="71"/>
      <c r="W311" s="227"/>
      <c r="X311" s="71"/>
      <c r="Y311" s="201"/>
      <c r="Z311" s="71"/>
      <c r="AA311" s="227"/>
      <c r="AB311" s="71"/>
      <c r="AC311" s="201"/>
      <c r="AD311" s="71"/>
      <c r="AE311" s="227"/>
      <c r="AF311" s="71"/>
      <c r="AG311" s="201"/>
      <c r="AH311" s="71"/>
      <c r="AI311" s="227"/>
      <c r="AJ311" s="71"/>
      <c r="AK311" s="201"/>
      <c r="AL311" s="71"/>
      <c r="AM311" s="227"/>
      <c r="AN311" s="71"/>
      <c r="AO311" s="201"/>
      <c r="AP311" s="71"/>
      <c r="AQ311" s="227"/>
      <c r="AR311" s="71"/>
      <c r="AS311" s="227"/>
      <c r="AT311" s="228"/>
      <c r="AU311" s="227"/>
      <c r="AV311" s="228"/>
      <c r="AW311" s="227"/>
      <c r="AX311" s="229" t="n">
        <f aca="false">SUM(R311+T311+V311+X311+Z311+AB311+AD311+AF311+AH311+AJ311+AL311+AN311+AP311+AR311)</f>
        <v>4</v>
      </c>
      <c r="AY311" s="230" t="n">
        <f aca="false">SUM(AX311*1000)/48</f>
        <v>83.3333333333333</v>
      </c>
      <c r="AZ311" s="231" t="n">
        <f aca="false">IFERROR(VLOOKUP(A311,'Site check'!$A$14:$O$47,15,0),0)</f>
        <v>0</v>
      </c>
      <c r="BA311" s="232" t="n">
        <f aca="false">SUM(AZ311*1000)/48</f>
        <v>0</v>
      </c>
      <c r="BB311" s="90" t="n">
        <f aca="false">SUM(P311/2)+E311</f>
        <v>41.6666666666667</v>
      </c>
      <c r="BC311" s="90" t="n">
        <f aca="false">SUM(P311/2)+F311</f>
        <v>41.6666666666667</v>
      </c>
    </row>
    <row r="312" customFormat="false" ht="13.15" hidden="false" customHeight="false" outlineLevel="0" collapsed="false">
      <c r="A312" s="0" t="str">
        <f aca="false">[2]Sheet1!A312</f>
        <v>GLWN07_SEC_DD770_EF01</v>
      </c>
      <c r="B312" s="0" t="str">
        <f aca="false">[2]Sheet1!B312</f>
        <v>GLWN07;DC SYS A</v>
      </c>
      <c r="C312" s="44" t="str">
        <f aca="false">[2]Sheet1!C312</f>
        <v>GLWN07</v>
      </c>
      <c r="D312" s="44" t="s">
        <v>593</v>
      </c>
      <c r="E312" s="0" t="n">
        <f aca="false">[2]Sheet1!D312</f>
        <v>0</v>
      </c>
      <c r="F312" s="0" t="n">
        <f aca="false">[2]Sheet1!E312</f>
        <v>0</v>
      </c>
      <c r="G312" s="45" t="n">
        <f aca="false">[2]Sheet1!F312</f>
        <v>0</v>
      </c>
      <c r="H312" s="0" t="n">
        <f aca="false">[2]Sheet1!G312</f>
        <v>300</v>
      </c>
      <c r="I312" s="0" t="n">
        <f aca="false">[2]Sheet1!H312</f>
        <v>300</v>
      </c>
      <c r="J312" s="0" t="n">
        <f aca="false">[2]Sheet1!I312</f>
        <v>4</v>
      </c>
      <c r="K312" s="0" t="n">
        <f aca="false">[2]Sheet1!J312</f>
        <v>0</v>
      </c>
      <c r="L312" s="0" t="n">
        <f aca="false">[2]Sheet1!K312</f>
        <v>0</v>
      </c>
      <c r="M312" s="0" t="n">
        <f aca="false">[2]Sheet1!L312</f>
        <v>1</v>
      </c>
      <c r="N312" s="0" t="n">
        <f aca="false">[2]Sheet1!M312</f>
        <v>5</v>
      </c>
      <c r="O312" s="0" t="n">
        <f aca="false">[2]Sheet1!N312</f>
        <v>0</v>
      </c>
      <c r="P312" s="226" t="n">
        <f aca="false">SUM(AY312+BA312)</f>
        <v>0</v>
      </c>
      <c r="Q312" s="201"/>
      <c r="R312" s="71"/>
      <c r="S312" s="227"/>
      <c r="T312" s="71"/>
      <c r="U312" s="201"/>
      <c r="V312" s="71"/>
      <c r="W312" s="227"/>
      <c r="X312" s="71"/>
      <c r="Y312" s="201"/>
      <c r="Z312" s="71"/>
      <c r="AA312" s="227"/>
      <c r="AB312" s="71"/>
      <c r="AC312" s="201"/>
      <c r="AD312" s="71"/>
      <c r="AE312" s="227"/>
      <c r="AF312" s="71"/>
      <c r="AG312" s="201"/>
      <c r="AH312" s="71"/>
      <c r="AI312" s="227"/>
      <c r="AJ312" s="71"/>
      <c r="AK312" s="201"/>
      <c r="AL312" s="71"/>
      <c r="AM312" s="227"/>
      <c r="AN312" s="71"/>
      <c r="AO312" s="201"/>
      <c r="AP312" s="71"/>
      <c r="AQ312" s="227"/>
      <c r="AR312" s="71"/>
      <c r="AS312" s="227"/>
      <c r="AT312" s="228"/>
      <c r="AU312" s="227"/>
      <c r="AV312" s="228"/>
      <c r="AW312" s="227"/>
      <c r="AX312" s="229" t="n">
        <f aca="false">SUM(AH309+T312+V312+X312+Z312+AB312+AD312+AF312+AH312+AJ312+AL312+AN312+AP312+AR312)</f>
        <v>0</v>
      </c>
      <c r="AY312" s="230" t="n">
        <f aca="false">SUM(AX312*1000)/48</f>
        <v>0</v>
      </c>
      <c r="AZ312" s="231" t="n">
        <f aca="false">IFERROR(VLOOKUP(A312,'Site check'!$A$14:$O$47,15,0),0)</f>
        <v>0</v>
      </c>
      <c r="BA312" s="232" t="n">
        <f aca="false">SUM(AZ312*1000)/48</f>
        <v>0</v>
      </c>
      <c r="BB312" s="90" t="n">
        <f aca="false">SUM(P312/2)+E312</f>
        <v>0</v>
      </c>
      <c r="BC312" s="90" t="n">
        <f aca="false">SUM(P312/2)+F312</f>
        <v>0</v>
      </c>
    </row>
    <row r="313" customFormat="false" ht="23.45" hidden="false" customHeight="false" outlineLevel="0" collapsed="false">
      <c r="A313" s="0" t="str">
        <f aca="false">[2]Sheet1!A313</f>
        <v>GLWN07_SEC_Eaton_CD21</v>
      </c>
      <c r="B313" s="0" t="str">
        <f aca="false">[2]Sheet1!B313</f>
        <v>GLWN07;DC SYS A</v>
      </c>
      <c r="C313" s="44" t="str">
        <f aca="false">[2]Sheet1!C313</f>
        <v>GLWN07</v>
      </c>
      <c r="D313" s="44" t="s">
        <v>593</v>
      </c>
      <c r="E313" s="0" t="n">
        <f aca="false">[2]Sheet1!D313</f>
        <v>78</v>
      </c>
      <c r="F313" s="0" t="n">
        <f aca="false">[2]Sheet1!E313</f>
        <v>125</v>
      </c>
      <c r="G313" s="45" t="n">
        <f aca="false">[2]Sheet1!F313</f>
        <v>0</v>
      </c>
      <c r="H313" s="0" t="n">
        <f aca="false">[2]Sheet1!G313</f>
        <v>300</v>
      </c>
      <c r="I313" s="0" t="n">
        <f aca="false">[2]Sheet1!H313</f>
        <v>300</v>
      </c>
      <c r="J313" s="0" t="n">
        <f aca="false">[2]Sheet1!I313</f>
        <v>0</v>
      </c>
      <c r="K313" s="0" t="n">
        <f aca="false">[2]Sheet1!J313</f>
        <v>0</v>
      </c>
      <c r="L313" s="0" t="n">
        <f aca="false">[2]Sheet1!K313</f>
        <v>0</v>
      </c>
      <c r="M313" s="0" t="n">
        <f aca="false">[2]Sheet1!L313</f>
        <v>0</v>
      </c>
      <c r="N313" s="0" t="n">
        <f aca="false">[2]Sheet1!M313</f>
        <v>0</v>
      </c>
      <c r="O313" s="0" t="n">
        <f aca="false">[2]Sheet1!N313</f>
        <v>22</v>
      </c>
      <c r="P313" s="226" t="n">
        <f aca="false">SUM(AY313+BA313)</f>
        <v>33.3333333333333</v>
      </c>
      <c r="Q313" s="185" t="s">
        <v>1205</v>
      </c>
      <c r="R313" s="180" t="n">
        <v>1.6</v>
      </c>
      <c r="S313" s="227"/>
      <c r="T313" s="71"/>
      <c r="U313" s="201"/>
      <c r="V313" s="71"/>
      <c r="W313" s="227"/>
      <c r="X313" s="71"/>
      <c r="Y313" s="201"/>
      <c r="Z313" s="71"/>
      <c r="AA313" s="227"/>
      <c r="AB313" s="71"/>
      <c r="AC313" s="201"/>
      <c r="AD313" s="71"/>
      <c r="AE313" s="227"/>
      <c r="AF313" s="71"/>
      <c r="AG313" s="201"/>
      <c r="AH313" s="71"/>
      <c r="AI313" s="227"/>
      <c r="AJ313" s="71"/>
      <c r="AK313" s="201"/>
      <c r="AL313" s="71"/>
      <c r="AM313" s="227"/>
      <c r="AN313" s="71"/>
      <c r="AO313" s="201"/>
      <c r="AP313" s="71"/>
      <c r="AQ313" s="227"/>
      <c r="AR313" s="71"/>
      <c r="AS313" s="227"/>
      <c r="AT313" s="228"/>
      <c r="AU313" s="227"/>
      <c r="AV313" s="228"/>
      <c r="AW313" s="227"/>
      <c r="AX313" s="229" t="n">
        <f aca="false">SUM(R313+T313+V313+X313+Z313+AB313+AD313+AF313+AH313+AJ313+AL313+AN313+AP313+AR313)</f>
        <v>1.6</v>
      </c>
      <c r="AY313" s="230" t="n">
        <f aca="false">SUM(AX313*1000)/48</f>
        <v>33.3333333333333</v>
      </c>
      <c r="AZ313" s="231" t="n">
        <f aca="false">IFERROR(VLOOKUP(A313,'Site check'!$A$14:$O$47,15,0),0)</f>
        <v>0</v>
      </c>
      <c r="BA313" s="232" t="n">
        <f aca="false">SUM(AZ313*1000)/48</f>
        <v>0</v>
      </c>
      <c r="BB313" s="90" t="n">
        <f aca="false">SUM(P313/2)+E313</f>
        <v>94.6666666666667</v>
      </c>
      <c r="BC313" s="90" t="n">
        <f aca="false">SUM(P313/2)+F313</f>
        <v>141.666666666667</v>
      </c>
    </row>
    <row r="314" customFormat="false" ht="13.15" hidden="false" customHeight="false" outlineLevel="0" collapsed="false">
      <c r="A314" s="0" t="str">
        <f aca="false">[2]Sheet1!A314</f>
        <v>GLWN07_SEC_DCDB_LM15 - DO NOT USE [CAPPED]</v>
      </c>
      <c r="B314" s="0" t="str">
        <f aca="false">[2]Sheet1!B314</f>
        <v>GLWN07;DC SYS A</v>
      </c>
      <c r="C314" s="44" t="str">
        <f aca="false">[2]Sheet1!C314</f>
        <v>GLWN07</v>
      </c>
      <c r="D314" s="44" t="s">
        <v>593</v>
      </c>
      <c r="E314" s="0" t="n">
        <f aca="false">[2]Sheet1!D314</f>
        <v>170</v>
      </c>
      <c r="F314" s="0" t="n">
        <f aca="false">[2]Sheet1!E314</f>
        <v>170</v>
      </c>
      <c r="G314" s="45" t="n">
        <f aca="false">[2]Sheet1!F314</f>
        <v>41834</v>
      </c>
      <c r="H314" s="0" t="n">
        <f aca="false">[2]Sheet1!G314</f>
        <v>300</v>
      </c>
      <c r="I314" s="0" t="n">
        <f aca="false">[2]Sheet1!H314</f>
        <v>300</v>
      </c>
      <c r="J314" s="0" t="n">
        <f aca="false">[2]Sheet1!I314</f>
        <v>4</v>
      </c>
      <c r="K314" s="0" t="n">
        <f aca="false">[2]Sheet1!J314</f>
        <v>2</v>
      </c>
      <c r="L314" s="0" t="n">
        <f aca="false">[2]Sheet1!K314</f>
        <v>0</v>
      </c>
      <c r="M314" s="0" t="n">
        <f aca="false">[2]Sheet1!L314</f>
        <v>1</v>
      </c>
      <c r="N314" s="0" t="n">
        <f aca="false">[2]Sheet1!M314</f>
        <v>0</v>
      </c>
      <c r="O314" s="0" t="n">
        <f aca="false">[2]Sheet1!N314</f>
        <v>0</v>
      </c>
      <c r="P314" s="226" t="n">
        <f aca="false">SUM(AY314+BA314)</f>
        <v>0</v>
      </c>
      <c r="Q314" s="201"/>
      <c r="R314" s="71"/>
      <c r="S314" s="227"/>
      <c r="T314" s="71"/>
      <c r="U314" s="201"/>
      <c r="V314" s="71"/>
      <c r="W314" s="227"/>
      <c r="X314" s="71"/>
      <c r="Y314" s="201"/>
      <c r="Z314" s="71"/>
      <c r="AA314" s="227"/>
      <c r="AB314" s="71"/>
      <c r="AC314" s="201"/>
      <c r="AD314" s="71"/>
      <c r="AE314" s="227"/>
      <c r="AF314" s="71"/>
      <c r="AG314" s="201"/>
      <c r="AH314" s="71"/>
      <c r="AI314" s="227"/>
      <c r="AJ314" s="71"/>
      <c r="AK314" s="201"/>
      <c r="AL314" s="71"/>
      <c r="AM314" s="227"/>
      <c r="AN314" s="71"/>
      <c r="AO314" s="201"/>
      <c r="AP314" s="71"/>
      <c r="AQ314" s="227"/>
      <c r="AR314" s="71"/>
      <c r="AS314" s="227"/>
      <c r="AT314" s="228"/>
      <c r="AU314" s="227"/>
      <c r="AV314" s="228"/>
      <c r="AW314" s="227"/>
      <c r="AX314" s="229" t="n">
        <f aca="false">SUM(R314+T314+V314+X314+Z314+AB314+AD314+AF314+AH314+AJ314+AL314+AN314+AP314+AR314)</f>
        <v>0</v>
      </c>
      <c r="AY314" s="230" t="n">
        <f aca="false">SUM(AX314*1000)/48</f>
        <v>0</v>
      </c>
      <c r="AZ314" s="231" t="n">
        <f aca="false">IFERROR(VLOOKUP(A314,'Site check'!$A$14:$O$47,15,0),0)</f>
        <v>0</v>
      </c>
      <c r="BA314" s="232" t="n">
        <f aca="false">SUM(AZ314*1000)/48</f>
        <v>0</v>
      </c>
      <c r="BB314" s="90" t="n">
        <f aca="false">SUM(P314/2)+E314</f>
        <v>170</v>
      </c>
      <c r="BC314" s="90" t="n">
        <f aca="false">SUM(P314/2)+F314</f>
        <v>170</v>
      </c>
    </row>
    <row r="315" customFormat="false" ht="13.15" hidden="false" customHeight="false" outlineLevel="0" collapsed="false">
      <c r="A315" s="0" t="str">
        <f aca="false">[2]Sheet1!A315</f>
        <v>GLWN07_SEC_DD770_JK01- DO NOT USE</v>
      </c>
      <c r="B315" s="0" t="str">
        <f aca="false">[2]Sheet1!B315</f>
        <v>GLWN07;DC SYS A</v>
      </c>
      <c r="C315" s="44" t="str">
        <f aca="false">[2]Sheet1!C315</f>
        <v>GLWN07</v>
      </c>
      <c r="D315" s="44" t="s">
        <v>593</v>
      </c>
      <c r="E315" s="0" t="n">
        <f aca="false">[2]Sheet1!D315</f>
        <v>190</v>
      </c>
      <c r="F315" s="0" t="n">
        <f aca="false">[2]Sheet1!E315</f>
        <v>190</v>
      </c>
      <c r="G315" s="45" t="n">
        <f aca="false">[2]Sheet1!F315</f>
        <v>42789</v>
      </c>
      <c r="H315" s="0" t="n">
        <f aca="false">[2]Sheet1!G315</f>
        <v>300</v>
      </c>
      <c r="I315" s="0" t="n">
        <f aca="false">[2]Sheet1!H315</f>
        <v>300</v>
      </c>
      <c r="J315" s="0" t="n">
        <f aca="false">[2]Sheet1!I315</f>
        <v>1</v>
      </c>
      <c r="K315" s="0" t="n">
        <f aca="false">[2]Sheet1!J315</f>
        <v>1</v>
      </c>
      <c r="L315" s="0" t="n">
        <f aca="false">[2]Sheet1!K315</f>
        <v>3</v>
      </c>
      <c r="M315" s="0" t="n">
        <f aca="false">[2]Sheet1!L315</f>
        <v>0</v>
      </c>
      <c r="N315" s="0" t="n">
        <f aca="false">[2]Sheet1!M315</f>
        <v>3</v>
      </c>
      <c r="O315" s="0" t="n">
        <f aca="false">[2]Sheet1!N315</f>
        <v>0</v>
      </c>
      <c r="P315" s="226" t="n">
        <f aca="false">SUM(AY315+BA315)</f>
        <v>0</v>
      </c>
      <c r="Q315" s="201"/>
      <c r="R315" s="71"/>
      <c r="S315" s="227"/>
      <c r="T315" s="71"/>
      <c r="U315" s="201"/>
      <c r="V315" s="71"/>
      <c r="W315" s="227"/>
      <c r="X315" s="71"/>
      <c r="Y315" s="201"/>
      <c r="Z315" s="71"/>
      <c r="AA315" s="227"/>
      <c r="AB315" s="71"/>
      <c r="AC315" s="201"/>
      <c r="AD315" s="71"/>
      <c r="AE315" s="227"/>
      <c r="AF315" s="71"/>
      <c r="AG315" s="201"/>
      <c r="AH315" s="71"/>
      <c r="AI315" s="227"/>
      <c r="AJ315" s="71"/>
      <c r="AK315" s="201"/>
      <c r="AL315" s="71"/>
      <c r="AM315" s="227"/>
      <c r="AN315" s="71"/>
      <c r="AO315" s="201"/>
      <c r="AP315" s="71"/>
      <c r="AQ315" s="227"/>
      <c r="AR315" s="71"/>
      <c r="AS315" s="227"/>
      <c r="AT315" s="228"/>
      <c r="AU315" s="227"/>
      <c r="AV315" s="228"/>
      <c r="AW315" s="227"/>
      <c r="AX315" s="229" t="n">
        <f aca="false">SUM(R315+T315+V315+X315+Z315+AB315+AD315+AF315+AH315+AJ315+AL315+AN315+AP315+AR315)</f>
        <v>0</v>
      </c>
      <c r="AY315" s="230" t="n">
        <f aca="false">SUM(AX315*1000)/48</f>
        <v>0</v>
      </c>
      <c r="AZ315" s="231" t="n">
        <f aca="false">IFERROR(VLOOKUP(A315,'Site check'!$A$14:$O$47,15,0),0)</f>
        <v>0</v>
      </c>
      <c r="BA315" s="232" t="n">
        <f aca="false">SUM(AZ315*1000)/48</f>
        <v>0</v>
      </c>
      <c r="BB315" s="90" t="n">
        <f aca="false">SUM(P315/2)+E315</f>
        <v>190</v>
      </c>
      <c r="BC315" s="90" t="n">
        <f aca="false">SUM(P315/2)+F315</f>
        <v>190</v>
      </c>
    </row>
    <row r="316" customFormat="false" ht="13.15" hidden="false" customHeight="false" outlineLevel="0" collapsed="false">
      <c r="A316" s="0" t="str">
        <f aca="false">[2]Sheet1!A316</f>
        <v>GLWTO1_EOS_EF00</v>
      </c>
      <c r="B316" s="0" t="str">
        <f aca="false">[2]Sheet1!B316</f>
        <v>GLWTO1;DC SYS01</v>
      </c>
      <c r="C316" s="44" t="str">
        <f aca="false">[2]Sheet1!C316</f>
        <v>GLWTO1</v>
      </c>
      <c r="D316" s="44" t="s">
        <v>594</v>
      </c>
      <c r="E316" s="0" t="n">
        <f aca="false">[2]Sheet1!D316</f>
        <v>0</v>
      </c>
      <c r="F316" s="0" t="n">
        <f aca="false">[2]Sheet1!E316</f>
        <v>0</v>
      </c>
      <c r="G316" s="45" t="n">
        <f aca="false">[2]Sheet1!F316</f>
        <v>0</v>
      </c>
      <c r="H316" s="0" t="n">
        <f aca="false">[2]Sheet1!G316</f>
        <v>0</v>
      </c>
      <c r="I316" s="0" t="n">
        <f aca="false">[2]Sheet1!H316</f>
        <v>0</v>
      </c>
      <c r="J316" s="0" t="n">
        <f aca="false">[2]Sheet1!I316</f>
        <v>0</v>
      </c>
      <c r="K316" s="0" t="n">
        <f aca="false">[2]Sheet1!J316</f>
        <v>0</v>
      </c>
      <c r="L316" s="0" t="n">
        <f aca="false">[2]Sheet1!K316</f>
        <v>0</v>
      </c>
      <c r="M316" s="0" t="n">
        <f aca="false">[2]Sheet1!L316</f>
        <v>0</v>
      </c>
      <c r="N316" s="0" t="n">
        <f aca="false">[2]Sheet1!M316</f>
        <v>0</v>
      </c>
      <c r="O316" s="0" t="n">
        <f aca="false">[2]Sheet1!N316</f>
        <v>0</v>
      </c>
      <c r="P316" s="226" t="n">
        <f aca="false">SUM(AY316+BA316)</f>
        <v>0</v>
      </c>
      <c r="Q316" s="201"/>
      <c r="R316" s="71"/>
      <c r="S316" s="227"/>
      <c r="T316" s="71"/>
      <c r="U316" s="201"/>
      <c r="V316" s="71"/>
      <c r="W316" s="227"/>
      <c r="X316" s="71"/>
      <c r="Y316" s="201"/>
      <c r="Z316" s="71"/>
      <c r="AA316" s="227"/>
      <c r="AB316" s="71"/>
      <c r="AC316" s="201"/>
      <c r="AD316" s="71"/>
      <c r="AE316" s="227"/>
      <c r="AF316" s="71"/>
      <c r="AG316" s="201"/>
      <c r="AH316" s="71"/>
      <c r="AI316" s="227"/>
      <c r="AJ316" s="71"/>
      <c r="AK316" s="201"/>
      <c r="AL316" s="71"/>
      <c r="AM316" s="227"/>
      <c r="AN316" s="71"/>
      <c r="AO316" s="201"/>
      <c r="AP316" s="71"/>
      <c r="AQ316" s="227"/>
      <c r="AR316" s="71"/>
      <c r="AS316" s="227"/>
      <c r="AT316" s="228"/>
      <c r="AU316" s="227"/>
      <c r="AV316" s="228"/>
      <c r="AW316" s="227"/>
      <c r="AX316" s="229" t="n">
        <f aca="false">SUM(R316+T316+V316+X316+Z316+AB316+AD316+AF316+AH316+AJ316+AL316+AN316+AP316+AR316)</f>
        <v>0</v>
      </c>
      <c r="AY316" s="230" t="n">
        <f aca="false">SUM(AX316*1000)/48</f>
        <v>0</v>
      </c>
      <c r="AZ316" s="231" t="n">
        <f aca="false">IFERROR(VLOOKUP(A316,'Site check'!$A$14:$O$47,15,0),0)</f>
        <v>0</v>
      </c>
      <c r="BA316" s="232" t="n">
        <f aca="false">SUM(AZ316*1000)/48</f>
        <v>0</v>
      </c>
      <c r="BB316" s="90" t="n">
        <f aca="false">SUM(P316/2)+E316</f>
        <v>0</v>
      </c>
      <c r="BC316" s="90" t="n">
        <f aca="false">SUM(P316/2)+F316</f>
        <v>0</v>
      </c>
    </row>
    <row r="317" customFormat="false" ht="13.15" hidden="false" customHeight="false" outlineLevel="0" collapsed="false">
      <c r="A317" s="0" t="str">
        <f aca="false">[2]Sheet1!A317</f>
        <v>GLWTO1_EATON_IJ00</v>
      </c>
      <c r="B317" s="0" t="str">
        <f aca="false">[2]Sheet1!B317</f>
        <v>GLWTO1;DC SYS01</v>
      </c>
      <c r="C317" s="44" t="str">
        <f aca="false">[2]Sheet1!C317</f>
        <v>GLWTO1</v>
      </c>
      <c r="D317" s="44" t="s">
        <v>594</v>
      </c>
      <c r="E317" s="0" t="n">
        <f aca="false">[2]Sheet1!D317</f>
        <v>0</v>
      </c>
      <c r="F317" s="0" t="n">
        <f aca="false">[2]Sheet1!E317</f>
        <v>0</v>
      </c>
      <c r="G317" s="45" t="n">
        <f aca="false">[2]Sheet1!F317</f>
        <v>44392</v>
      </c>
      <c r="H317" s="0" t="n">
        <f aca="false">[2]Sheet1!G317</f>
        <v>0</v>
      </c>
      <c r="I317" s="0" t="n">
        <f aca="false">[2]Sheet1!H317</f>
        <v>0</v>
      </c>
      <c r="J317" s="0" t="n">
        <f aca="false">[2]Sheet1!I317</f>
        <v>0</v>
      </c>
      <c r="K317" s="0" t="n">
        <f aca="false">[2]Sheet1!J317</f>
        <v>0</v>
      </c>
      <c r="L317" s="0" t="n">
        <f aca="false">[2]Sheet1!K317</f>
        <v>0</v>
      </c>
      <c r="M317" s="0" t="n">
        <f aca="false">[2]Sheet1!L317</f>
        <v>1</v>
      </c>
      <c r="N317" s="0" t="n">
        <f aca="false">[2]Sheet1!M317</f>
        <v>0</v>
      </c>
      <c r="O317" s="0" t="n">
        <f aca="false">[2]Sheet1!N317</f>
        <v>31</v>
      </c>
      <c r="P317" s="226" t="n">
        <f aca="false">SUM(AY317+BA317)</f>
        <v>145.833333333333</v>
      </c>
      <c r="Q317" s="170" t="s">
        <v>1207</v>
      </c>
      <c r="R317" s="234" t="n">
        <v>5</v>
      </c>
      <c r="S317" s="202" t="s">
        <v>1208</v>
      </c>
      <c r="T317" s="235" t="n">
        <v>2</v>
      </c>
      <c r="U317" s="201"/>
      <c r="V317" s="71"/>
      <c r="W317" s="227"/>
      <c r="X317" s="71"/>
      <c r="Y317" s="201"/>
      <c r="Z317" s="71"/>
      <c r="AA317" s="227"/>
      <c r="AB317" s="71"/>
      <c r="AC317" s="201"/>
      <c r="AD317" s="71"/>
      <c r="AE317" s="227"/>
      <c r="AF317" s="71"/>
      <c r="AG317" s="201"/>
      <c r="AH317" s="71"/>
      <c r="AI317" s="227"/>
      <c r="AJ317" s="71"/>
      <c r="AK317" s="201"/>
      <c r="AL317" s="71"/>
      <c r="AM317" s="227"/>
      <c r="AN317" s="71"/>
      <c r="AO317" s="201"/>
      <c r="AP317" s="71"/>
      <c r="AQ317" s="227"/>
      <c r="AR317" s="71"/>
      <c r="AS317" s="227"/>
      <c r="AT317" s="228"/>
      <c r="AU317" s="227"/>
      <c r="AV317" s="228"/>
      <c r="AW317" s="227"/>
      <c r="AX317" s="229" t="n">
        <f aca="false">SUM(R317+T317+V317+X317+Z317+AB317+AD317+AF317+AH317+AJ317+AL317+AN317+AP317+AR317)</f>
        <v>7</v>
      </c>
      <c r="AY317" s="230" t="n">
        <f aca="false">SUM(AX317*1000)/48</f>
        <v>145.833333333333</v>
      </c>
      <c r="AZ317" s="231" t="n">
        <f aca="false">IFERROR(VLOOKUP(A317,'Site check'!$A$14:$O$47,15,0),0)</f>
        <v>0</v>
      </c>
      <c r="BA317" s="232" t="n">
        <f aca="false">SUM(AZ317*1000)/48</f>
        <v>0</v>
      </c>
      <c r="BB317" s="90" t="n">
        <f aca="false">SUM(P317/2)+E317</f>
        <v>72.9166666666667</v>
      </c>
      <c r="BC317" s="90" t="n">
        <f aca="false">SUM(P317/2)+F317</f>
        <v>72.9166666666667</v>
      </c>
    </row>
    <row r="318" customFormat="false" ht="13.15" hidden="false" customHeight="false" outlineLevel="0" collapsed="false">
      <c r="A318" s="0" t="str">
        <f aca="false">[2]Sheet1!A318</f>
        <v>GLWTW1_DCDB_WALL_1 - IGNORE</v>
      </c>
      <c r="B318" s="0" t="str">
        <f aca="false">[2]Sheet1!B318</f>
        <v>GLWTW1;DC SYS01</v>
      </c>
      <c r="C318" s="44" t="str">
        <f aca="false">[2]Sheet1!C318</f>
        <v>GLWTW1</v>
      </c>
      <c r="D318" s="44" t="s">
        <v>595</v>
      </c>
      <c r="E318" s="0" t="n">
        <f aca="false">[2]Sheet1!D318</f>
        <v>0</v>
      </c>
      <c r="F318" s="0" t="n">
        <f aca="false">[2]Sheet1!E318</f>
        <v>0</v>
      </c>
      <c r="G318" s="45" t="n">
        <f aca="false">[2]Sheet1!F318</f>
        <v>0</v>
      </c>
      <c r="H318" s="0" t="n">
        <f aca="false">[2]Sheet1!G318</f>
        <v>0</v>
      </c>
      <c r="I318" s="0" t="n">
        <f aca="false">[2]Sheet1!H318</f>
        <v>0</v>
      </c>
      <c r="J318" s="0" t="n">
        <f aca="false">[2]Sheet1!I318</f>
        <v>0</v>
      </c>
      <c r="K318" s="0" t="n">
        <f aca="false">[2]Sheet1!J318</f>
        <v>0</v>
      </c>
      <c r="L318" s="0" t="n">
        <f aca="false">[2]Sheet1!K318</f>
        <v>0</v>
      </c>
      <c r="M318" s="0" t="n">
        <f aca="false">[2]Sheet1!L318</f>
        <v>0</v>
      </c>
      <c r="N318" s="0" t="n">
        <f aca="false">[2]Sheet1!M318</f>
        <v>0</v>
      </c>
      <c r="O318" s="0" t="n">
        <f aca="false">[2]Sheet1!N318</f>
        <v>0</v>
      </c>
      <c r="P318" s="226" t="n">
        <f aca="false">SUM(AY318+BA318)</f>
        <v>0</v>
      </c>
      <c r="Q318" s="201"/>
      <c r="R318" s="71"/>
      <c r="S318" s="227"/>
      <c r="T318" s="71"/>
      <c r="U318" s="201"/>
      <c r="V318" s="71"/>
      <c r="W318" s="227"/>
      <c r="X318" s="71"/>
      <c r="Y318" s="201"/>
      <c r="Z318" s="71"/>
      <c r="AA318" s="227"/>
      <c r="AB318" s="71"/>
      <c r="AC318" s="201"/>
      <c r="AD318" s="71"/>
      <c r="AE318" s="227"/>
      <c r="AF318" s="71"/>
      <c r="AG318" s="201"/>
      <c r="AH318" s="71"/>
      <c r="AI318" s="227"/>
      <c r="AJ318" s="71"/>
      <c r="AK318" s="201"/>
      <c r="AL318" s="71"/>
      <c r="AM318" s="227"/>
      <c r="AN318" s="71"/>
      <c r="AO318" s="201"/>
      <c r="AP318" s="71"/>
      <c r="AQ318" s="227"/>
      <c r="AR318" s="71"/>
      <c r="AS318" s="227"/>
      <c r="AT318" s="228"/>
      <c r="AU318" s="227"/>
      <c r="AV318" s="228"/>
      <c r="AW318" s="227"/>
      <c r="AX318" s="229" t="n">
        <f aca="false">SUM(R318+T318+V318+X318+Z318+AB318+AD318+AF318+AH318+AJ318+AL318+AN318+AP318+AR318)</f>
        <v>0</v>
      </c>
      <c r="AY318" s="230" t="n">
        <f aca="false">SUM(AX318*1000)/48</f>
        <v>0</v>
      </c>
      <c r="AZ318" s="231" t="n">
        <f aca="false">IFERROR(VLOOKUP(A318,'Site check'!$A$14:$O$47,15,0),0)</f>
        <v>0</v>
      </c>
      <c r="BA318" s="232" t="n">
        <f aca="false">SUM(AZ318*1000)/48</f>
        <v>0</v>
      </c>
      <c r="BB318" s="90" t="n">
        <f aca="false">SUM(P318/2)+E318</f>
        <v>0</v>
      </c>
      <c r="BC318" s="90" t="n">
        <f aca="false">SUM(P318/2)+F318</f>
        <v>0</v>
      </c>
    </row>
    <row r="319" customFormat="false" ht="13.15" hidden="false" customHeight="false" outlineLevel="0" collapsed="false">
      <c r="A319" s="0" t="str">
        <f aca="false">[2]Sheet1!A319</f>
        <v>GLWTW1_SEC_EATON DCDB_ EF07B</v>
      </c>
      <c r="B319" s="0" t="str">
        <f aca="false">[2]Sheet1!B319</f>
        <v>GLWTW1;DC SYS01</v>
      </c>
      <c r="C319" s="44" t="str">
        <f aca="false">[2]Sheet1!C319</f>
        <v>GLWTW1</v>
      </c>
      <c r="D319" s="44" t="s">
        <v>595</v>
      </c>
      <c r="E319" s="0" t="n">
        <f aca="false">[2]Sheet1!D319</f>
        <v>200</v>
      </c>
      <c r="F319" s="0" t="n">
        <f aca="false">[2]Sheet1!E319</f>
        <v>190</v>
      </c>
      <c r="G319" s="45" t="n">
        <f aca="false">[2]Sheet1!F319</f>
        <v>45008</v>
      </c>
      <c r="H319" s="0" t="n">
        <f aca="false">[2]Sheet1!G319</f>
        <v>300</v>
      </c>
      <c r="I319" s="0" t="n">
        <f aca="false">[2]Sheet1!H319</f>
        <v>300</v>
      </c>
      <c r="J319" s="0" t="n">
        <f aca="false">[2]Sheet1!I319</f>
        <v>1</v>
      </c>
      <c r="K319" s="0" t="n">
        <f aca="false">[2]Sheet1!J319</f>
        <v>0</v>
      </c>
      <c r="L319" s="0" t="n">
        <f aca="false">[2]Sheet1!K319</f>
        <v>0</v>
      </c>
      <c r="M319" s="0" t="n">
        <f aca="false">[2]Sheet1!L319</f>
        <v>0</v>
      </c>
      <c r="N319" s="0" t="n">
        <f aca="false">[2]Sheet1!M319</f>
        <v>0</v>
      </c>
      <c r="O319" s="0" t="n">
        <f aca="false">[2]Sheet1!N319</f>
        <v>17</v>
      </c>
      <c r="P319" s="226" t="n">
        <f aca="false">SUM(AY319+BA319)</f>
        <v>41.6666666666667</v>
      </c>
      <c r="Q319" s="177" t="s">
        <v>1523</v>
      </c>
      <c r="R319" s="235" t="n">
        <v>1</v>
      </c>
      <c r="S319" s="179" t="s">
        <v>1210</v>
      </c>
      <c r="T319" s="233" t="n">
        <v>1</v>
      </c>
      <c r="U319" s="179"/>
      <c r="V319" s="233"/>
      <c r="W319" s="227"/>
      <c r="X319" s="71"/>
      <c r="Y319" s="201"/>
      <c r="Z319" s="71"/>
      <c r="AA319" s="227"/>
      <c r="AB319" s="71"/>
      <c r="AC319" s="201"/>
      <c r="AD319" s="71"/>
      <c r="AE319" s="227"/>
      <c r="AF319" s="71"/>
      <c r="AG319" s="201"/>
      <c r="AH319" s="71"/>
      <c r="AI319" s="227"/>
      <c r="AJ319" s="71"/>
      <c r="AK319" s="201"/>
      <c r="AL319" s="71"/>
      <c r="AM319" s="227"/>
      <c r="AN319" s="71"/>
      <c r="AO319" s="201"/>
      <c r="AP319" s="71"/>
      <c r="AQ319" s="227"/>
      <c r="AR319" s="71"/>
      <c r="AS319" s="227"/>
      <c r="AT319" s="228"/>
      <c r="AU319" s="227"/>
      <c r="AV319" s="228"/>
      <c r="AW319" s="227"/>
      <c r="AX319" s="229" t="n">
        <f aca="false">SUM(R319+T319+V319+X319+Z319+AB319+AD319+AF319+AH319+AJ319+AL319+AN319+AP319+AR319)</f>
        <v>2</v>
      </c>
      <c r="AY319" s="230" t="n">
        <f aca="false">SUM(AX319*1000)/48</f>
        <v>41.6666666666667</v>
      </c>
      <c r="AZ319" s="231" t="n">
        <f aca="false">IFERROR(VLOOKUP(A319,'Site check'!$A$14:$O$47,15,0),0)</f>
        <v>0</v>
      </c>
      <c r="BA319" s="232" t="n">
        <f aca="false">SUM(AZ319*1000)/48</f>
        <v>0</v>
      </c>
      <c r="BB319" s="90" t="n">
        <f aca="false">SUM(P319/2)+E319</f>
        <v>220.833333333333</v>
      </c>
      <c r="BC319" s="90" t="n">
        <f aca="false">SUM(P319/2)+F319</f>
        <v>210.833333333333</v>
      </c>
    </row>
    <row r="320" customFormat="false" ht="13.15" hidden="false" customHeight="false" outlineLevel="0" collapsed="false">
      <c r="A320" s="0" t="str">
        <f aca="false">[2]Sheet1!A320</f>
        <v>INVN41_SEC_EATON_CD01</v>
      </c>
      <c r="B320" s="0" t="str">
        <f aca="false">[2]Sheet1!B320</f>
        <v>INVN41;DC SYS01</v>
      </c>
      <c r="C320" s="44" t="str">
        <f aca="false">[2]Sheet1!C320</f>
        <v>INVN41</v>
      </c>
      <c r="D320" s="44" t="s">
        <v>619</v>
      </c>
      <c r="E320" s="0" t="n">
        <f aca="false">[2]Sheet1!D320</f>
        <v>50</v>
      </c>
      <c r="F320" s="0" t="n">
        <f aca="false">[2]Sheet1!E320</f>
        <v>52</v>
      </c>
      <c r="G320" s="45" t="n">
        <f aca="false">[2]Sheet1!F320</f>
        <v>45133</v>
      </c>
      <c r="H320" s="0" t="n">
        <f aca="false">[2]Sheet1!G320</f>
        <v>300</v>
      </c>
      <c r="I320" s="0" t="n">
        <f aca="false">[2]Sheet1!H320</f>
        <v>300</v>
      </c>
      <c r="J320" s="0" t="n">
        <f aca="false">[2]Sheet1!I320</f>
        <v>0</v>
      </c>
      <c r="K320" s="0" t="n">
        <f aca="false">[2]Sheet1!J320</f>
        <v>0</v>
      </c>
      <c r="L320" s="0" t="n">
        <f aca="false">[2]Sheet1!K320</f>
        <v>0</v>
      </c>
      <c r="M320" s="0" t="n">
        <f aca="false">[2]Sheet1!L320</f>
        <v>0</v>
      </c>
      <c r="N320" s="0" t="n">
        <f aca="false">[2]Sheet1!M320</f>
        <v>0</v>
      </c>
      <c r="O320" s="0" t="n">
        <f aca="false">[2]Sheet1!N320</f>
        <v>0</v>
      </c>
      <c r="P320" s="226" t="n">
        <f aca="false">SUM(AY320+BA320)</f>
        <v>191.666666666667</v>
      </c>
      <c r="Q320" s="170" t="s">
        <v>1226</v>
      </c>
      <c r="R320" s="234" t="n">
        <v>3</v>
      </c>
      <c r="S320" s="181" t="s">
        <v>1227</v>
      </c>
      <c r="T320" s="175" t="n">
        <v>4</v>
      </c>
      <c r="U320" s="251" t="s">
        <v>1228</v>
      </c>
      <c r="V320" s="180" t="n">
        <v>2.2</v>
      </c>
      <c r="W320" s="227"/>
      <c r="X320" s="71"/>
      <c r="Y320" s="201"/>
      <c r="Z320" s="71"/>
      <c r="AA320" s="227"/>
      <c r="AB320" s="71"/>
      <c r="AC320" s="201"/>
      <c r="AD320" s="71"/>
      <c r="AE320" s="227"/>
      <c r="AF320" s="71"/>
      <c r="AG320" s="201"/>
      <c r="AH320" s="71"/>
      <c r="AI320" s="227"/>
      <c r="AJ320" s="71"/>
      <c r="AK320" s="201"/>
      <c r="AL320" s="71"/>
      <c r="AM320" s="227"/>
      <c r="AN320" s="71"/>
      <c r="AO320" s="201"/>
      <c r="AP320" s="71"/>
      <c r="AQ320" s="227"/>
      <c r="AR320" s="71"/>
      <c r="AS320" s="227"/>
      <c r="AT320" s="228"/>
      <c r="AU320" s="227"/>
      <c r="AV320" s="228"/>
      <c r="AW320" s="227"/>
      <c r="AX320" s="229" t="n">
        <f aca="false">SUM(R320+T320+V320+X320+Z320+AB320+AD320+AF320+AH320+AJ320+AL320+AN320+AP320+AR320)</f>
        <v>9.2</v>
      </c>
      <c r="AY320" s="230" t="n">
        <f aca="false">SUM(AX320*1000)/48</f>
        <v>191.666666666667</v>
      </c>
      <c r="AZ320" s="231" t="n">
        <f aca="false">IFERROR(VLOOKUP(A320,'Site check'!$A$14:$O$47,15,0),0)</f>
        <v>0</v>
      </c>
      <c r="BA320" s="232" t="n">
        <f aca="false">SUM(AZ320*1000)/48</f>
        <v>0</v>
      </c>
      <c r="BB320" s="90" t="n">
        <f aca="false">SUM(P320/2)+E320</f>
        <v>145.833333333333</v>
      </c>
      <c r="BC320" s="90" t="n">
        <f aca="false">SUM(P320/2)+F320</f>
        <v>147.833333333333</v>
      </c>
    </row>
    <row r="321" customFormat="false" ht="13.15" hidden="false" customHeight="false" outlineLevel="0" collapsed="false">
      <c r="A321" s="0" t="str">
        <f aca="false">[2]Sheet1!A321</f>
        <v>LIVN01_SEC_CBDB_AN01</v>
      </c>
      <c r="B321" s="0" t="str">
        <f aca="false">[2]Sheet1!B321</f>
        <v>LIVN01;DC SYS01</v>
      </c>
      <c r="C321" s="44" t="str">
        <f aca="false">[2]Sheet1!C321</f>
        <v>LIVN01</v>
      </c>
      <c r="D321" s="44" t="s">
        <v>649</v>
      </c>
      <c r="E321" s="0" t="n">
        <f aca="false">[2]Sheet1!D321</f>
        <v>110</v>
      </c>
      <c r="F321" s="0" t="n">
        <f aca="false">[2]Sheet1!E321</f>
        <v>100</v>
      </c>
      <c r="G321" s="45" t="n">
        <f aca="false">[2]Sheet1!F321</f>
        <v>44838</v>
      </c>
      <c r="H321" s="0" t="n">
        <f aca="false">[2]Sheet1!G321</f>
        <v>300</v>
      </c>
      <c r="I321" s="0" t="n">
        <f aca="false">[2]Sheet1!H321</f>
        <v>300</v>
      </c>
      <c r="J321" s="0" t="n">
        <f aca="false">[2]Sheet1!I321</f>
        <v>0</v>
      </c>
      <c r="K321" s="0" t="n">
        <f aca="false">[2]Sheet1!J321</f>
        <v>0</v>
      </c>
      <c r="L321" s="0" t="n">
        <f aca="false">[2]Sheet1!K321</f>
        <v>0</v>
      </c>
      <c r="M321" s="0" t="n">
        <f aca="false">[2]Sheet1!L321</f>
        <v>2</v>
      </c>
      <c r="N321" s="0" t="n">
        <f aca="false">[2]Sheet1!M321</f>
        <v>0</v>
      </c>
      <c r="O321" s="0" t="n">
        <f aca="false">[2]Sheet1!N321</f>
        <v>0</v>
      </c>
      <c r="P321" s="226" t="n">
        <f aca="false">SUM(AY321+BA321)</f>
        <v>0</v>
      </c>
      <c r="Q321" s="201"/>
      <c r="R321" s="71"/>
      <c r="S321" s="227"/>
      <c r="T321" s="71"/>
      <c r="U321" s="201"/>
      <c r="V321" s="71"/>
      <c r="W321" s="227"/>
      <c r="X321" s="71"/>
      <c r="Y321" s="201"/>
      <c r="Z321" s="71"/>
      <c r="AA321" s="227"/>
      <c r="AB321" s="71"/>
      <c r="AC321" s="201"/>
      <c r="AD321" s="71"/>
      <c r="AE321" s="227"/>
      <c r="AF321" s="71"/>
      <c r="AG321" s="201"/>
      <c r="AH321" s="71"/>
      <c r="AI321" s="227"/>
      <c r="AJ321" s="71"/>
      <c r="AK321" s="201"/>
      <c r="AL321" s="71"/>
      <c r="AM321" s="227"/>
      <c r="AN321" s="71"/>
      <c r="AO321" s="201"/>
      <c r="AP321" s="71"/>
      <c r="AQ321" s="227"/>
      <c r="AR321" s="71"/>
      <c r="AS321" s="227"/>
      <c r="AT321" s="228"/>
      <c r="AU321" s="227"/>
      <c r="AV321" s="228"/>
      <c r="AW321" s="227"/>
      <c r="AX321" s="229" t="n">
        <f aca="false">SUM(R321+T321+V321+X321+Z321+AB321+AD321+AF321+AH321+AJ321+AL321+AN321+AP321+AR321)</f>
        <v>0</v>
      </c>
      <c r="AY321" s="230" t="n">
        <f aca="false">SUM(AX321*1000)/48</f>
        <v>0</v>
      </c>
      <c r="AZ321" s="231" t="n">
        <f aca="false">IFERROR(VLOOKUP(A321,'Site check'!$A$14:$O$47,15,0),0)</f>
        <v>0</v>
      </c>
      <c r="BA321" s="232" t="n">
        <f aca="false">SUM(AZ321*1000)/48</f>
        <v>0</v>
      </c>
      <c r="BB321" s="90" t="n">
        <f aca="false">SUM(P321/2)+E321</f>
        <v>110</v>
      </c>
      <c r="BC321" s="90" t="n">
        <f aca="false">SUM(P321/2)+F321</f>
        <v>100</v>
      </c>
    </row>
    <row r="322" customFormat="false" ht="13.15" hidden="false" customHeight="false" outlineLevel="0" collapsed="false">
      <c r="A322" s="0" t="str">
        <f aca="false">[2]Sheet1!A322</f>
        <v>LIVN01_SEC_DD770_AT05_DCDB4</v>
      </c>
      <c r="B322" s="0" t="str">
        <f aca="false">[2]Sheet1!B322</f>
        <v>LIVN01;DC SYS01</v>
      </c>
      <c r="C322" s="44" t="str">
        <f aca="false">[2]Sheet1!C322</f>
        <v>LIVN01</v>
      </c>
      <c r="D322" s="44" t="s">
        <v>649</v>
      </c>
      <c r="E322" s="0" t="n">
        <f aca="false">[2]Sheet1!D322</f>
        <v>30</v>
      </c>
      <c r="F322" s="0" t="n">
        <f aca="false">[2]Sheet1!E322</f>
        <v>30</v>
      </c>
      <c r="G322" s="45" t="n">
        <f aca="false">[2]Sheet1!F322</f>
        <v>0</v>
      </c>
      <c r="H322" s="0" t="n">
        <f aca="false">[2]Sheet1!G322</f>
        <v>300</v>
      </c>
      <c r="I322" s="0" t="n">
        <f aca="false">[2]Sheet1!H322</f>
        <v>300</v>
      </c>
      <c r="J322" s="0" t="n">
        <f aca="false">[2]Sheet1!I322</f>
        <v>6</v>
      </c>
      <c r="K322" s="0" t="n">
        <f aca="false">[2]Sheet1!J322</f>
        <v>0</v>
      </c>
      <c r="L322" s="0" t="n">
        <f aca="false">[2]Sheet1!K322</f>
        <v>0</v>
      </c>
      <c r="M322" s="0" t="n">
        <f aca="false">[2]Sheet1!L322</f>
        <v>21</v>
      </c>
      <c r="N322" s="0" t="n">
        <f aca="false">[2]Sheet1!M322</f>
        <v>10</v>
      </c>
      <c r="O322" s="0" t="n">
        <f aca="false">[2]Sheet1!N322</f>
        <v>0</v>
      </c>
      <c r="P322" s="226" t="n">
        <f aca="false">SUM(AY322+BA322)</f>
        <v>83.3333333333333</v>
      </c>
      <c r="Q322" s="204" t="s">
        <v>1267</v>
      </c>
      <c r="R322" s="221" t="n">
        <v>2</v>
      </c>
      <c r="S322" s="204" t="s">
        <v>1267</v>
      </c>
      <c r="T322" s="221" t="n">
        <v>2</v>
      </c>
      <c r="U322" s="201"/>
      <c r="V322" s="71"/>
      <c r="W322" s="227"/>
      <c r="X322" s="71"/>
      <c r="Y322" s="201"/>
      <c r="Z322" s="71"/>
      <c r="AA322" s="227"/>
      <c r="AB322" s="71"/>
      <c r="AC322" s="201"/>
      <c r="AD322" s="71"/>
      <c r="AE322" s="227"/>
      <c r="AF322" s="71"/>
      <c r="AG322" s="201"/>
      <c r="AH322" s="71"/>
      <c r="AI322" s="227"/>
      <c r="AJ322" s="71"/>
      <c r="AK322" s="201"/>
      <c r="AL322" s="71"/>
      <c r="AM322" s="227"/>
      <c r="AN322" s="71"/>
      <c r="AO322" s="201"/>
      <c r="AP322" s="71"/>
      <c r="AQ322" s="227"/>
      <c r="AR322" s="71"/>
      <c r="AS322" s="227"/>
      <c r="AT322" s="228"/>
      <c r="AU322" s="227"/>
      <c r="AV322" s="228"/>
      <c r="AW322" s="227"/>
      <c r="AX322" s="229" t="n">
        <f aca="false">SUM(R322+T322+V322+X322+Z322+AB322+AD322+AF322+AH322+AJ322+AL322+AN322+AP322+AR322)</f>
        <v>4</v>
      </c>
      <c r="AY322" s="230" t="n">
        <f aca="false">SUM(AX322*1000)/48</f>
        <v>83.3333333333333</v>
      </c>
      <c r="AZ322" s="231" t="n">
        <f aca="false">IFERROR(VLOOKUP(A322,'Site check'!$A$14:$O$47,15,0),0)</f>
        <v>0</v>
      </c>
      <c r="BA322" s="232" t="n">
        <f aca="false">SUM(AZ322*1000)/48</f>
        <v>0</v>
      </c>
      <c r="BB322" s="90" t="n">
        <f aca="false">SUM(P322/2)+E322</f>
        <v>71.6666666666667</v>
      </c>
      <c r="BC322" s="90" t="n">
        <f aca="false">SUM(P322/2)+F322</f>
        <v>71.6666666666667</v>
      </c>
    </row>
    <row r="323" customFormat="false" ht="13.15" hidden="false" customHeight="false" outlineLevel="0" collapsed="false">
      <c r="A323" s="0" t="str">
        <f aca="false">[2]Sheet1!A323</f>
        <v>PTHTL1_SYS_EATON_DB01</v>
      </c>
      <c r="B323" s="0" t="str">
        <f aca="false">[2]Sheet1!B323</f>
        <v>PTHTL1;DC SYS01</v>
      </c>
      <c r="C323" s="44" t="str">
        <f aca="false">[2]Sheet1!C323</f>
        <v>PTHTL1</v>
      </c>
      <c r="D323" s="44" t="s">
        <v>729</v>
      </c>
      <c r="E323" s="0" t="n">
        <f aca="false">[2]Sheet1!D323</f>
        <v>37</v>
      </c>
      <c r="F323" s="0" t="n">
        <f aca="false">[2]Sheet1!E323</f>
        <v>37</v>
      </c>
      <c r="G323" s="45" t="n">
        <f aca="false">[2]Sheet1!F323</f>
        <v>41834</v>
      </c>
      <c r="H323" s="0" t="n">
        <f aca="false">[2]Sheet1!G323</f>
        <v>300</v>
      </c>
      <c r="I323" s="0" t="n">
        <f aca="false">[2]Sheet1!H323</f>
        <v>300</v>
      </c>
      <c r="J323" s="0" t="n">
        <f aca="false">[2]Sheet1!I323</f>
        <v>0</v>
      </c>
      <c r="K323" s="0" t="n">
        <f aca="false">[2]Sheet1!J323</f>
        <v>0</v>
      </c>
      <c r="L323" s="0" t="n">
        <f aca="false">[2]Sheet1!K323</f>
        <v>0</v>
      </c>
      <c r="M323" s="0" t="n">
        <f aca="false">[2]Sheet1!L323</f>
        <v>0</v>
      </c>
      <c r="N323" s="0" t="n">
        <f aca="false">[2]Sheet1!M323</f>
        <v>0</v>
      </c>
      <c r="O323" s="0" t="n">
        <f aca="false">[2]Sheet1!N323</f>
        <v>0</v>
      </c>
      <c r="P323" s="226" t="n">
        <f aca="false">SUM(AY323+BA323)</f>
        <v>83.3333333333333</v>
      </c>
      <c r="Q323" s="179" t="s">
        <v>1346</v>
      </c>
      <c r="R323" s="233" t="n">
        <v>4</v>
      </c>
      <c r="S323" s="227"/>
      <c r="T323" s="71"/>
      <c r="U323" s="201"/>
      <c r="V323" s="71"/>
      <c r="W323" s="227"/>
      <c r="X323" s="71"/>
      <c r="Y323" s="201"/>
      <c r="Z323" s="71"/>
      <c r="AA323" s="227"/>
      <c r="AB323" s="71"/>
      <c r="AC323" s="201"/>
      <c r="AD323" s="71"/>
      <c r="AE323" s="227"/>
      <c r="AF323" s="71"/>
      <c r="AG323" s="201"/>
      <c r="AH323" s="71"/>
      <c r="AI323" s="227"/>
      <c r="AJ323" s="71"/>
      <c r="AK323" s="201"/>
      <c r="AL323" s="71"/>
      <c r="AM323" s="227"/>
      <c r="AN323" s="71"/>
      <c r="AO323" s="201"/>
      <c r="AP323" s="71"/>
      <c r="AQ323" s="227"/>
      <c r="AR323" s="71"/>
      <c r="AS323" s="227"/>
      <c r="AT323" s="228"/>
      <c r="AU323" s="227"/>
      <c r="AV323" s="228"/>
      <c r="AW323" s="227"/>
      <c r="AX323" s="229" t="n">
        <f aca="false">SUM(R323+T323+V323+X323+Z323+AB323+AD323+AF323+AH323+AJ323+AL323+AN323+AP323+AR323)</f>
        <v>4</v>
      </c>
      <c r="AY323" s="230" t="n">
        <f aca="false">SUM(AX323*1000)/48</f>
        <v>83.3333333333333</v>
      </c>
      <c r="AZ323" s="231" t="n">
        <f aca="false">IFERROR(VLOOKUP(A323,'Site check'!$A$14:$O$47,15,0),0)</f>
        <v>0</v>
      </c>
      <c r="BA323" s="232" t="n">
        <f aca="false">SUM(AZ323*1000)/48</f>
        <v>0</v>
      </c>
      <c r="BB323" s="90" t="n">
        <f aca="false">SUM(P323/2)+E323</f>
        <v>78.6666666666667</v>
      </c>
      <c r="BC323" s="90" t="n">
        <f aca="false">SUM(P323/2)+F323</f>
        <v>78.6666666666667</v>
      </c>
    </row>
    <row r="324" customFormat="false" ht="13.15" hidden="false" customHeight="false" outlineLevel="0" collapsed="false">
      <c r="A324" s="0" t="str">
        <f aca="false">[2]Sheet1!A324</f>
        <v>STGCD1_SYS_DCDB</v>
      </c>
      <c r="B324" s="0" t="str">
        <f aca="false">[2]Sheet1!B324</f>
        <v>STGCD1;DC SYS01</v>
      </c>
      <c r="C324" s="44" t="str">
        <f aca="false">[2]Sheet1!C324</f>
        <v>STGCD1</v>
      </c>
      <c r="D324" s="44" t="s">
        <v>782</v>
      </c>
      <c r="E324" s="0" t="n">
        <f aca="false">[2]Sheet1!D324</f>
        <v>0</v>
      </c>
      <c r="F324" s="0" t="n">
        <f aca="false">[2]Sheet1!E324</f>
        <v>0</v>
      </c>
      <c r="G324" s="45" t="n">
        <f aca="false">[2]Sheet1!F324</f>
        <v>0</v>
      </c>
      <c r="H324" s="0" t="n">
        <f aca="false">[2]Sheet1!G324</f>
        <v>300</v>
      </c>
      <c r="I324" s="0" t="n">
        <f aca="false">[2]Sheet1!H324</f>
        <v>300</v>
      </c>
      <c r="J324" s="0" t="n">
        <f aca="false">[2]Sheet1!I324</f>
        <v>0</v>
      </c>
      <c r="K324" s="0" t="n">
        <f aca="false">[2]Sheet1!J324</f>
        <v>1</v>
      </c>
      <c r="L324" s="0" t="n">
        <f aca="false">[2]Sheet1!K324</f>
        <v>2</v>
      </c>
      <c r="M324" s="0" t="n">
        <f aca="false">[2]Sheet1!L324</f>
        <v>0</v>
      </c>
      <c r="N324" s="0" t="n">
        <f aca="false">[2]Sheet1!M324</f>
        <v>0</v>
      </c>
      <c r="O324" s="0" t="n">
        <f aca="false">[2]Sheet1!N324</f>
        <v>0</v>
      </c>
      <c r="P324" s="226" t="n">
        <f aca="false">SUM(AY324+BA324)</f>
        <v>62.5</v>
      </c>
      <c r="Q324" s="170" t="s">
        <v>1524</v>
      </c>
      <c r="R324" s="234" t="n">
        <v>3</v>
      </c>
      <c r="S324" s="227"/>
      <c r="T324" s="71"/>
      <c r="U324" s="201"/>
      <c r="V324" s="71"/>
      <c r="W324" s="227"/>
      <c r="X324" s="71"/>
      <c r="Y324" s="201"/>
      <c r="Z324" s="71"/>
      <c r="AA324" s="227"/>
      <c r="AB324" s="71"/>
      <c r="AC324" s="201"/>
      <c r="AD324" s="71"/>
      <c r="AE324" s="227"/>
      <c r="AF324" s="71"/>
      <c r="AG324" s="201"/>
      <c r="AH324" s="71"/>
      <c r="AI324" s="227"/>
      <c r="AJ324" s="71"/>
      <c r="AK324" s="201"/>
      <c r="AL324" s="71"/>
      <c r="AM324" s="227"/>
      <c r="AN324" s="71"/>
      <c r="AO324" s="201"/>
      <c r="AP324" s="71"/>
      <c r="AQ324" s="227"/>
      <c r="AR324" s="71"/>
      <c r="AS324" s="227"/>
      <c r="AT324" s="228"/>
      <c r="AU324" s="227"/>
      <c r="AV324" s="228"/>
      <c r="AW324" s="227"/>
      <c r="AX324" s="229" t="n">
        <f aca="false">SUM(R324+T324+V324+X324+Z324+AB324+AD324+AF324+AH324+AJ324+AL324+AN324+AP324+AR324)</f>
        <v>3</v>
      </c>
      <c r="AY324" s="230" t="n">
        <f aca="false">SUM(AX324*1000)/48</f>
        <v>62.5</v>
      </c>
      <c r="AZ324" s="231" t="n">
        <f aca="false">IFERROR(VLOOKUP(A324,'Site check'!$A$14:$O$47,15,0),0)</f>
        <v>0</v>
      </c>
      <c r="BA324" s="232" t="n">
        <f aca="false">SUM(AZ324*1000)/48</f>
        <v>0</v>
      </c>
      <c r="BB324" s="90" t="n">
        <f aca="false">SUM(P324/2)+E324</f>
        <v>31.25</v>
      </c>
      <c r="BC324" s="90" t="n">
        <f aca="false">SUM(P324/2)+F324</f>
        <v>31.25</v>
      </c>
    </row>
    <row r="325" customFormat="false" ht="13.9" hidden="false" customHeight="false" outlineLevel="0" collapsed="false">
      <c r="A325" s="0" t="str">
        <f aca="false">[2]Sheet1!A325</f>
        <v>ASH_SEC_WALL_DCDB_01</v>
      </c>
      <c r="B325" s="0" t="str">
        <f aca="false">[2]Sheet1!B325</f>
        <v>ASH;DC SYS01</v>
      </c>
      <c r="C325" s="44" t="str">
        <f aca="false">[2]Sheet1!C325</f>
        <v>ASH</v>
      </c>
      <c r="D325" s="44" t="s">
        <v>357</v>
      </c>
      <c r="E325" s="0" t="n">
        <f aca="false">[2]Sheet1!D325</f>
        <v>0</v>
      </c>
      <c r="F325" s="0" t="n">
        <f aca="false">[2]Sheet1!E325</f>
        <v>0</v>
      </c>
      <c r="G325" s="45" t="n">
        <f aca="false">[2]Sheet1!F325</f>
        <v>0</v>
      </c>
      <c r="H325" s="0" t="n">
        <f aca="false">[2]Sheet1!G325</f>
        <v>300</v>
      </c>
      <c r="I325" s="252" t="n">
        <f aca="false">[2]Sheet1!H325</f>
        <v>300</v>
      </c>
      <c r="J325" s="0" t="n">
        <f aca="false">[2]Sheet1!I325</f>
        <v>0</v>
      </c>
      <c r="K325" s="0" t="n">
        <f aca="false">[2]Sheet1!J325</f>
        <v>0</v>
      </c>
      <c r="L325" s="0" t="n">
        <f aca="false">[2]Sheet1!K325</f>
        <v>0</v>
      </c>
      <c r="M325" s="0" t="n">
        <f aca="false">[2]Sheet1!L325</f>
        <v>0</v>
      </c>
      <c r="N325" s="0" t="n">
        <f aca="false">[2]Sheet1!M325</f>
        <v>0</v>
      </c>
      <c r="O325" s="0" t="n">
        <f aca="false">[2]Sheet1!N325</f>
        <v>0</v>
      </c>
      <c r="P325" s="226" t="n">
        <f aca="false">SUM(AY325+BA325)</f>
        <v>0</v>
      </c>
      <c r="Q325" s="201"/>
      <c r="R325" s="71"/>
      <c r="S325" s="227"/>
      <c r="T325" s="71"/>
      <c r="U325" s="201"/>
      <c r="V325" s="71"/>
      <c r="W325" s="227"/>
      <c r="X325" s="71"/>
      <c r="Y325" s="201"/>
      <c r="Z325" s="71"/>
      <c r="AA325" s="227"/>
      <c r="AB325" s="71"/>
      <c r="AC325" s="201"/>
      <c r="AD325" s="71"/>
      <c r="AE325" s="227"/>
      <c r="AF325" s="71"/>
      <c r="AG325" s="201"/>
      <c r="AH325" s="71"/>
      <c r="AI325" s="227"/>
      <c r="AJ325" s="71"/>
      <c r="AK325" s="201"/>
      <c r="AL325" s="71"/>
      <c r="AM325" s="227"/>
      <c r="AN325" s="71"/>
      <c r="AO325" s="201"/>
      <c r="AP325" s="71"/>
      <c r="AQ325" s="227"/>
      <c r="AR325" s="71"/>
      <c r="AS325" s="227"/>
      <c r="AT325" s="228"/>
      <c r="AU325" s="227"/>
      <c r="AV325" s="228"/>
      <c r="AW325" s="227"/>
      <c r="AX325" s="229" t="n">
        <f aca="false">SUM(R325+T325+V325+X325+Z325+AB325+AD325+AF325+AH325+AJ325+AL325+AN325+AP325+AR325)</f>
        <v>0</v>
      </c>
      <c r="AY325" s="230" t="n">
        <f aca="false">SUM(AX325*1000)/48</f>
        <v>0</v>
      </c>
      <c r="AZ325" s="231" t="n">
        <f aca="false">IFERROR(VLOOKUP(A325,'Site check'!$A$14:$O$47,15,0),0)</f>
        <v>0</v>
      </c>
      <c r="BA325" s="232" t="n">
        <f aca="false">SUM(AZ325*1000)/48</f>
        <v>0</v>
      </c>
      <c r="BB325" s="90" t="n">
        <f aca="false">SUM(P325/2)+E325</f>
        <v>0</v>
      </c>
      <c r="BC325" s="90" t="n">
        <f aca="false">SUM(P325/2)+F325</f>
        <v>0</v>
      </c>
    </row>
    <row r="326" customFormat="false" ht="13.15" hidden="false" customHeight="false" outlineLevel="0" collapsed="false">
      <c r="A326" s="0" t="str">
        <f aca="false">[2]Sheet1!A326</f>
        <v>ASH_SEC_WALL_DCDB_02</v>
      </c>
      <c r="B326" s="0" t="str">
        <f aca="false">[2]Sheet1!B326</f>
        <v>ASH;DC SYS01</v>
      </c>
      <c r="C326" s="44" t="str">
        <f aca="false">[2]Sheet1!C326</f>
        <v>ASH</v>
      </c>
      <c r="D326" s="44" t="s">
        <v>357</v>
      </c>
      <c r="E326" s="0" t="n">
        <f aca="false">[2]Sheet1!D326</f>
        <v>0</v>
      </c>
      <c r="F326" s="0" t="n">
        <f aca="false">[2]Sheet1!E326</f>
        <v>0</v>
      </c>
      <c r="G326" s="45" t="n">
        <f aca="false">[2]Sheet1!F326</f>
        <v>0</v>
      </c>
      <c r="H326" s="0" t="n">
        <f aca="false">[2]Sheet1!G326</f>
        <v>160</v>
      </c>
      <c r="I326" s="0" t="n">
        <f aca="false">[2]Sheet1!H326</f>
        <v>300</v>
      </c>
      <c r="J326" s="0" t="n">
        <f aca="false">[2]Sheet1!I326</f>
        <v>0</v>
      </c>
      <c r="K326" s="0" t="n">
        <f aca="false">[2]Sheet1!J326</f>
        <v>1</v>
      </c>
      <c r="L326" s="0" t="n">
        <f aca="false">[2]Sheet1!K326</f>
        <v>1</v>
      </c>
      <c r="M326" s="0" t="n">
        <f aca="false">[2]Sheet1!L326</f>
        <v>0</v>
      </c>
      <c r="N326" s="0" t="n">
        <f aca="false">[2]Sheet1!M326</f>
        <v>0</v>
      </c>
      <c r="O326" s="0" t="n">
        <f aca="false">[2]Sheet1!N326</f>
        <v>1</v>
      </c>
      <c r="P326" s="226" t="n">
        <f aca="false">SUM(AY326+BA326)</f>
        <v>0</v>
      </c>
      <c r="Q326" s="201"/>
      <c r="R326" s="71"/>
      <c r="S326" s="227"/>
      <c r="T326" s="71"/>
      <c r="U326" s="201"/>
      <c r="V326" s="71"/>
      <c r="W326" s="227"/>
      <c r="X326" s="71"/>
      <c r="Y326" s="201"/>
      <c r="Z326" s="71"/>
      <c r="AA326" s="227"/>
      <c r="AB326" s="71"/>
      <c r="AC326" s="201"/>
      <c r="AD326" s="71"/>
      <c r="AE326" s="227"/>
      <c r="AF326" s="71"/>
      <c r="AG326" s="201"/>
      <c r="AH326" s="71"/>
      <c r="AI326" s="227"/>
      <c r="AJ326" s="71"/>
      <c r="AK326" s="201"/>
      <c r="AL326" s="71"/>
      <c r="AM326" s="227"/>
      <c r="AN326" s="71"/>
      <c r="AO326" s="201"/>
      <c r="AP326" s="71"/>
      <c r="AQ326" s="227"/>
      <c r="AR326" s="71"/>
      <c r="AS326" s="227"/>
      <c r="AT326" s="228"/>
      <c r="AU326" s="227"/>
      <c r="AV326" s="228"/>
      <c r="AW326" s="227"/>
      <c r="AX326" s="229" t="n">
        <f aca="false">SUM(R326+T326+V326+X326+Z326+AB326+AD326+AF326+AH326+AJ326+AL326+AN326+AP326+AR326)</f>
        <v>0</v>
      </c>
      <c r="AY326" s="230" t="n">
        <f aca="false">SUM(AX326*1000)/48</f>
        <v>0</v>
      </c>
      <c r="AZ326" s="231" t="n">
        <f aca="false">IFERROR(VLOOKUP(A326,'Site check'!$A$14:$O$47,15,0),0)</f>
        <v>0</v>
      </c>
      <c r="BA326" s="232" t="n">
        <f aca="false">SUM(AZ326*1000)/48</f>
        <v>0</v>
      </c>
      <c r="BB326" s="90" t="n">
        <f aca="false">SUM(P326/2)+E326</f>
        <v>0</v>
      </c>
      <c r="BC326" s="90" t="n">
        <f aca="false">SUM(P326/2)+F326</f>
        <v>0</v>
      </c>
    </row>
    <row r="327" customFormat="false" ht="13.15" hidden="false" customHeight="false" outlineLevel="0" collapsed="false">
      <c r="A327" s="0" t="str">
        <f aca="false">[2]Sheet1!A327</f>
        <v>CBY_SEC_DD770_JK05</v>
      </c>
      <c r="B327" s="0" t="str">
        <f aca="false">[2]Sheet1!B327</f>
        <v>CBY;DC SYS01</v>
      </c>
      <c r="C327" s="44" t="str">
        <f aca="false">[2]Sheet1!C327</f>
        <v>CBY</v>
      </c>
      <c r="D327" s="44" t="s">
        <v>485</v>
      </c>
      <c r="E327" s="0" t="n">
        <f aca="false">[2]Sheet1!D327</f>
        <v>60</v>
      </c>
      <c r="F327" s="0" t="n">
        <f aca="false">[2]Sheet1!E327</f>
        <v>70</v>
      </c>
      <c r="G327" s="45" t="n">
        <f aca="false">[2]Sheet1!F327</f>
        <v>45097</v>
      </c>
      <c r="H327" s="0" t="n">
        <f aca="false">[2]Sheet1!G327</f>
        <v>300</v>
      </c>
      <c r="I327" s="0" t="n">
        <f aca="false">[2]Sheet1!H327</f>
        <v>300</v>
      </c>
      <c r="J327" s="0" t="n">
        <f aca="false">[2]Sheet1!I327</f>
        <v>4</v>
      </c>
      <c r="K327" s="0" t="n">
        <f aca="false">[2]Sheet1!J327</f>
        <v>6</v>
      </c>
      <c r="L327" s="0" t="n">
        <f aca="false">[2]Sheet1!K327</f>
        <v>0</v>
      </c>
      <c r="M327" s="0" t="n">
        <f aca="false">[2]Sheet1!L327</f>
        <v>13</v>
      </c>
      <c r="N327" s="0" t="n">
        <f aca="false">[2]Sheet1!M327</f>
        <v>11</v>
      </c>
      <c r="O327" s="0" t="n">
        <f aca="false">[2]Sheet1!N327</f>
        <v>1</v>
      </c>
      <c r="P327" s="226" t="n">
        <f aca="false">SUM(AY327+BA327)</f>
        <v>20.8333333333333</v>
      </c>
      <c r="Q327" s="186" t="s">
        <v>1109</v>
      </c>
      <c r="R327" s="240" t="n">
        <v>1</v>
      </c>
      <c r="S327" s="227"/>
      <c r="T327" s="71"/>
      <c r="U327" s="201"/>
      <c r="V327" s="71"/>
      <c r="W327" s="227"/>
      <c r="X327" s="71"/>
      <c r="Y327" s="201"/>
      <c r="Z327" s="71"/>
      <c r="AA327" s="227"/>
      <c r="AB327" s="71"/>
      <c r="AC327" s="201"/>
      <c r="AD327" s="71"/>
      <c r="AE327" s="227"/>
      <c r="AF327" s="71"/>
      <c r="AG327" s="201"/>
      <c r="AH327" s="71"/>
      <c r="AI327" s="227"/>
      <c r="AJ327" s="71"/>
      <c r="AK327" s="201"/>
      <c r="AL327" s="71"/>
      <c r="AM327" s="227"/>
      <c r="AN327" s="71"/>
      <c r="AO327" s="201"/>
      <c r="AP327" s="71"/>
      <c r="AQ327" s="227"/>
      <c r="AR327" s="71"/>
      <c r="AS327" s="227"/>
      <c r="AT327" s="228"/>
      <c r="AU327" s="227"/>
      <c r="AV327" s="228"/>
      <c r="AW327" s="227"/>
      <c r="AX327" s="229" t="n">
        <f aca="false">SUM(R327+T327+V327+X327+Z327+AB327+AD327+AF327+AH327+AJ327+AL327+AN327+AP327+AR327)</f>
        <v>1</v>
      </c>
      <c r="AY327" s="230" t="n">
        <f aca="false">SUM(AX327*1000)/48</f>
        <v>20.8333333333333</v>
      </c>
      <c r="AZ327" s="231" t="n">
        <f aca="false">IFERROR(VLOOKUP(A327,'Site check'!$A$14:$O$47,15,0),0)</f>
        <v>0</v>
      </c>
      <c r="BA327" s="232" t="n">
        <f aca="false">SUM(AZ327*1000)/48</f>
        <v>0</v>
      </c>
      <c r="BB327" s="90" t="n">
        <f aca="false">SUM(P327/2)+E327</f>
        <v>70.4166666666667</v>
      </c>
      <c r="BC327" s="90" t="n">
        <f aca="false">SUM(P327/2)+F327</f>
        <v>80.4166666666667</v>
      </c>
    </row>
    <row r="328" customFormat="false" ht="13.15" hidden="false" customHeight="false" outlineLevel="0" collapsed="false">
      <c r="A328" s="0" t="str">
        <f aca="false">[2]Sheet1!A328</f>
        <v>CBY_SEC_WALL_CBDB</v>
      </c>
      <c r="B328" s="0" t="str">
        <f aca="false">[2]Sheet1!B328</f>
        <v>CBY;DC SYS01</v>
      </c>
      <c r="C328" s="44" t="str">
        <f aca="false">[2]Sheet1!C328</f>
        <v>CBY</v>
      </c>
      <c r="D328" s="44" t="s">
        <v>485</v>
      </c>
      <c r="E328" s="0" t="n">
        <f aca="false">[2]Sheet1!D328</f>
        <v>15</v>
      </c>
      <c r="F328" s="0" t="n">
        <f aca="false">[2]Sheet1!E328</f>
        <v>0</v>
      </c>
      <c r="G328" s="45" t="n">
        <f aca="false">[2]Sheet1!F328</f>
        <v>45097</v>
      </c>
      <c r="H328" s="0" t="n">
        <f aca="false">[2]Sheet1!G328</f>
        <v>300</v>
      </c>
      <c r="I328" s="0" t="n">
        <f aca="false">[2]Sheet1!H328</f>
        <v>300</v>
      </c>
      <c r="J328" s="0" t="n">
        <f aca="false">[2]Sheet1!I328</f>
        <v>0</v>
      </c>
      <c r="K328" s="0" t="n">
        <f aca="false">[2]Sheet1!J328</f>
        <v>0</v>
      </c>
      <c r="L328" s="0" t="n">
        <f aca="false">[2]Sheet1!K328</f>
        <v>0</v>
      </c>
      <c r="M328" s="0" t="n">
        <f aca="false">[2]Sheet1!L328</f>
        <v>0</v>
      </c>
      <c r="N328" s="0" t="n">
        <f aca="false">[2]Sheet1!M328</f>
        <v>0</v>
      </c>
      <c r="O328" s="0" t="n">
        <f aca="false">[2]Sheet1!N328</f>
        <v>0</v>
      </c>
      <c r="P328" s="226" t="n">
        <f aca="false">SUM(AY328+BA328)</f>
        <v>0</v>
      </c>
      <c r="Q328" s="201"/>
      <c r="R328" s="71"/>
      <c r="S328" s="227"/>
      <c r="T328" s="71"/>
      <c r="U328" s="201"/>
      <c r="V328" s="71"/>
      <c r="W328" s="227"/>
      <c r="X328" s="71"/>
      <c r="Y328" s="201"/>
      <c r="Z328" s="71"/>
      <c r="AA328" s="227"/>
      <c r="AB328" s="71"/>
      <c r="AC328" s="201"/>
      <c r="AD328" s="71"/>
      <c r="AE328" s="227"/>
      <c r="AF328" s="71"/>
      <c r="AG328" s="201"/>
      <c r="AH328" s="71"/>
      <c r="AI328" s="227"/>
      <c r="AJ328" s="71"/>
      <c r="AK328" s="201"/>
      <c r="AL328" s="71"/>
      <c r="AM328" s="227"/>
      <c r="AN328" s="71"/>
      <c r="AO328" s="201"/>
      <c r="AP328" s="71"/>
      <c r="AQ328" s="227"/>
      <c r="AR328" s="71"/>
      <c r="AS328" s="227"/>
      <c r="AT328" s="228"/>
      <c r="AU328" s="227"/>
      <c r="AV328" s="228"/>
      <c r="AW328" s="227"/>
      <c r="AX328" s="229" t="n">
        <f aca="false">SUM(R328+T328+V328+X328+Z328+AB328+AD328+AF328+AH328+AJ328+AL328+AN328+AP328+AR328)</f>
        <v>0</v>
      </c>
      <c r="AY328" s="230" t="n">
        <f aca="false">SUM(AX328*1000)/48</f>
        <v>0</v>
      </c>
      <c r="AZ328" s="231" t="n">
        <f aca="false">IFERROR(VLOOKUP(A328,'Site check'!$A$14:$O$47,15,0),0)</f>
        <v>0</v>
      </c>
      <c r="BA328" s="232" t="n">
        <f aca="false">SUM(AZ328*1000)/48</f>
        <v>0</v>
      </c>
      <c r="BB328" s="90" t="n">
        <f aca="false">SUM(P328/2)+E328</f>
        <v>15</v>
      </c>
      <c r="BC328" s="90" t="n">
        <f aca="false">SUM(P328/2)+F328</f>
        <v>0</v>
      </c>
    </row>
    <row r="329" customFormat="false" ht="13.15" hidden="false" customHeight="false" outlineLevel="0" collapsed="false">
      <c r="A329" s="0" t="str">
        <f aca="false">[2]Sheet1!A329</f>
        <v>FKE_SEC_DD770_AB0.</v>
      </c>
      <c r="B329" s="0" t="str">
        <f aca="false">[2]Sheet1!B329</f>
        <v>FKE;DC SYS01</v>
      </c>
      <c r="C329" s="44" t="str">
        <f aca="false">[2]Sheet1!C329</f>
        <v>FKE</v>
      </c>
      <c r="D329" s="44" t="s">
        <v>581</v>
      </c>
      <c r="E329" s="0" t="n">
        <f aca="false">[2]Sheet1!D329</f>
        <v>20</v>
      </c>
      <c r="F329" s="0" t="n">
        <f aca="false">[2]Sheet1!E329</f>
        <v>20</v>
      </c>
      <c r="G329" s="45" t="n">
        <f aca="false">[2]Sheet1!F329</f>
        <v>45097</v>
      </c>
      <c r="H329" s="0" t="n">
        <f aca="false">[2]Sheet1!G329</f>
        <v>300</v>
      </c>
      <c r="I329" s="0" t="n">
        <f aca="false">[2]Sheet1!H329</f>
        <v>300</v>
      </c>
      <c r="J329" s="0" t="n">
        <f aca="false">[2]Sheet1!I329</f>
        <v>6</v>
      </c>
      <c r="K329" s="0" t="n">
        <f aca="false">[2]Sheet1!J329</f>
        <v>6</v>
      </c>
      <c r="L329" s="0" t="n">
        <f aca="false">[2]Sheet1!K329</f>
        <v>0</v>
      </c>
      <c r="M329" s="0" t="n">
        <f aca="false">[2]Sheet1!L329</f>
        <v>19</v>
      </c>
      <c r="N329" s="0" t="n">
        <f aca="false">[2]Sheet1!M329</f>
        <v>11</v>
      </c>
      <c r="O329" s="0" t="n">
        <f aca="false">[2]Sheet1!N329</f>
        <v>0</v>
      </c>
      <c r="P329" s="226" t="n">
        <f aca="false">SUM(AY329+BA329)</f>
        <v>0</v>
      </c>
      <c r="Q329" s="201"/>
      <c r="R329" s="71"/>
      <c r="S329" s="227"/>
      <c r="T329" s="71"/>
      <c r="U329" s="201"/>
      <c r="V329" s="71"/>
      <c r="W329" s="227"/>
      <c r="X329" s="71"/>
      <c r="Y329" s="201"/>
      <c r="Z329" s="71"/>
      <c r="AA329" s="227"/>
      <c r="AB329" s="71"/>
      <c r="AC329" s="201"/>
      <c r="AD329" s="71"/>
      <c r="AE329" s="227"/>
      <c r="AF329" s="71"/>
      <c r="AG329" s="201"/>
      <c r="AH329" s="71"/>
      <c r="AI329" s="227"/>
      <c r="AJ329" s="71"/>
      <c r="AK329" s="201"/>
      <c r="AL329" s="71"/>
      <c r="AM329" s="227"/>
      <c r="AN329" s="71"/>
      <c r="AO329" s="201"/>
      <c r="AP329" s="71"/>
      <c r="AQ329" s="227"/>
      <c r="AR329" s="71"/>
      <c r="AS329" s="227"/>
      <c r="AT329" s="228"/>
      <c r="AU329" s="227"/>
      <c r="AV329" s="228"/>
      <c r="AW329" s="227"/>
      <c r="AX329" s="229" t="n">
        <f aca="false">SUM(R329+T329+V329+X329+Z329+AB329+AD329+AF329+AH329+AJ329+AL329+AN329+AP329+AR329)</f>
        <v>0</v>
      </c>
      <c r="AY329" s="230" t="n">
        <f aca="false">SUM(AX329*1000)/48</f>
        <v>0</v>
      </c>
      <c r="AZ329" s="231" t="n">
        <f aca="false">IFERROR(VLOOKUP(A329,'Site check'!$A$14:$O$47,15,0),0)</f>
        <v>0</v>
      </c>
      <c r="BA329" s="232" t="n">
        <f aca="false">SUM(AZ329*1000)/48</f>
        <v>0</v>
      </c>
      <c r="BB329" s="90" t="n">
        <f aca="false">SUM(P329/2)+E329</f>
        <v>20</v>
      </c>
      <c r="BC329" s="90" t="n">
        <f aca="false">SUM(P329/2)+F329</f>
        <v>20</v>
      </c>
    </row>
    <row r="330" customFormat="false" ht="13.15" hidden="false" customHeight="false" outlineLevel="0" collapsed="false">
      <c r="A330" s="0" t="str">
        <f aca="false">[2]Sheet1!A330</f>
        <v>HLWN02_SEC_DD770_EF01_01</v>
      </c>
      <c r="B330" s="0" t="str">
        <f aca="false">[2]Sheet1!B330</f>
        <v>HLWN02;DC SYS01</v>
      </c>
      <c r="C330" s="44" t="str">
        <f aca="false">[2]Sheet1!C330</f>
        <v>HLWN02</v>
      </c>
      <c r="D330" s="44" t="s">
        <v>610</v>
      </c>
      <c r="E330" s="0" t="n">
        <f aca="false">[2]Sheet1!D330</f>
        <v>80</v>
      </c>
      <c r="F330" s="0" t="n">
        <f aca="false">[2]Sheet1!E330</f>
        <v>70</v>
      </c>
      <c r="G330" s="45" t="n">
        <f aca="false">[2]Sheet1!F330</f>
        <v>44880</v>
      </c>
      <c r="H330" s="0" t="n">
        <f aca="false">[2]Sheet1!G330</f>
        <v>300</v>
      </c>
      <c r="I330" s="0" t="n">
        <f aca="false">[2]Sheet1!H330</f>
        <v>300</v>
      </c>
      <c r="J330" s="0" t="n">
        <f aca="false">[2]Sheet1!I330</f>
        <v>5</v>
      </c>
      <c r="K330" s="0" t="n">
        <f aca="false">[2]Sheet1!J330</f>
        <v>6</v>
      </c>
      <c r="L330" s="0" t="n">
        <f aca="false">[2]Sheet1!K330</f>
        <v>4</v>
      </c>
      <c r="M330" s="0" t="n">
        <f aca="false">[2]Sheet1!L330</f>
        <v>8</v>
      </c>
      <c r="N330" s="0" t="n">
        <f aca="false">[2]Sheet1!M330</f>
        <v>9</v>
      </c>
      <c r="O330" s="0" t="n">
        <f aca="false">[2]Sheet1!N330</f>
        <v>0</v>
      </c>
      <c r="P330" s="226" t="n">
        <f aca="false">SUM(AY330+BA330)</f>
        <v>20.8333333333333</v>
      </c>
      <c r="Q330" s="177" t="s">
        <v>1216</v>
      </c>
      <c r="R330" s="235" t="n">
        <v>1</v>
      </c>
      <c r="S330" s="227"/>
      <c r="T330" s="71"/>
      <c r="U330" s="201"/>
      <c r="V330" s="71"/>
      <c r="W330" s="227"/>
      <c r="X330" s="71"/>
      <c r="Y330" s="201"/>
      <c r="Z330" s="71"/>
      <c r="AA330" s="227"/>
      <c r="AB330" s="71"/>
      <c r="AC330" s="201"/>
      <c r="AD330" s="71"/>
      <c r="AE330" s="227"/>
      <c r="AF330" s="71"/>
      <c r="AG330" s="201"/>
      <c r="AH330" s="71"/>
      <c r="AI330" s="227"/>
      <c r="AJ330" s="71"/>
      <c r="AK330" s="201"/>
      <c r="AL330" s="71"/>
      <c r="AM330" s="227"/>
      <c r="AN330" s="71"/>
      <c r="AO330" s="201"/>
      <c r="AP330" s="71"/>
      <c r="AQ330" s="227"/>
      <c r="AR330" s="71"/>
      <c r="AS330" s="227"/>
      <c r="AT330" s="228"/>
      <c r="AU330" s="227"/>
      <c r="AV330" s="228"/>
      <c r="AW330" s="227"/>
      <c r="AX330" s="229" t="n">
        <f aca="false">SUM(R330+T330+V330+X330+Z330+AB330+AD330+AF330+AH330+AJ330+AL330+AN330+AP330+AR330)</f>
        <v>1</v>
      </c>
      <c r="AY330" s="230" t="n">
        <f aca="false">SUM(AX330*1000)/48</f>
        <v>20.8333333333333</v>
      </c>
      <c r="AZ330" s="231" t="n">
        <f aca="false">IFERROR(VLOOKUP(A330,'Site check'!$A$14:$O$47,15,0),0)</f>
        <v>0</v>
      </c>
      <c r="BA330" s="232" t="n">
        <f aca="false">SUM(AZ330*1000)/48</f>
        <v>0</v>
      </c>
      <c r="BB330" s="90" t="n">
        <f aca="false">SUM(P330/2)+E330</f>
        <v>90.4166666666667</v>
      </c>
      <c r="BC330" s="90" t="n">
        <f aca="false">SUM(P330/2)+F330</f>
        <v>80.4166666666667</v>
      </c>
    </row>
    <row r="331" customFormat="false" ht="13.15" hidden="false" customHeight="false" outlineLevel="0" collapsed="false">
      <c r="A331" s="0" t="str">
        <f aca="false">[2]Sheet1!A331</f>
        <v>HLWN02_SEC_DD770_JK01_02</v>
      </c>
      <c r="B331" s="0" t="str">
        <f aca="false">[2]Sheet1!B331</f>
        <v>HLWN02;DC SYS01</v>
      </c>
      <c r="C331" s="44" t="str">
        <f aca="false">[2]Sheet1!C331</f>
        <v>HLWN02</v>
      </c>
      <c r="D331" s="44" t="s">
        <v>610</v>
      </c>
      <c r="E331" s="0" t="n">
        <f aca="false">[2]Sheet1!D331</f>
        <v>32</v>
      </c>
      <c r="F331" s="0" t="n">
        <f aca="false">[2]Sheet1!E331</f>
        <v>38</v>
      </c>
      <c r="G331" s="45" t="n">
        <f aca="false">[2]Sheet1!F331</f>
        <v>44880</v>
      </c>
      <c r="H331" s="0" t="n">
        <f aca="false">[2]Sheet1!G331</f>
        <v>300</v>
      </c>
      <c r="I331" s="0" t="n">
        <f aca="false">[2]Sheet1!H331</f>
        <v>300</v>
      </c>
      <c r="J331" s="0" t="n">
        <f aca="false">[2]Sheet1!I331</f>
        <v>6</v>
      </c>
      <c r="K331" s="0" t="n">
        <f aca="false">[2]Sheet1!J331</f>
        <v>6</v>
      </c>
      <c r="L331" s="0" t="n">
        <f aca="false">[2]Sheet1!K331</f>
        <v>0</v>
      </c>
      <c r="M331" s="0" t="n">
        <f aca="false">[2]Sheet1!L331</f>
        <v>19</v>
      </c>
      <c r="N331" s="0" t="n">
        <f aca="false">[2]Sheet1!M331</f>
        <v>11</v>
      </c>
      <c r="O331" s="0" t="n">
        <f aca="false">[2]Sheet1!N331</f>
        <v>0</v>
      </c>
      <c r="P331" s="226" t="n">
        <f aca="false">SUM(AY331+BA331)</f>
        <v>0</v>
      </c>
      <c r="Q331" s="201"/>
      <c r="R331" s="71"/>
      <c r="S331" s="227"/>
      <c r="T331" s="71"/>
      <c r="U331" s="201"/>
      <c r="V331" s="71"/>
      <c r="W331" s="227"/>
      <c r="X331" s="71"/>
      <c r="Y331" s="201"/>
      <c r="Z331" s="71"/>
      <c r="AA331" s="227"/>
      <c r="AB331" s="71"/>
      <c r="AC331" s="201"/>
      <c r="AD331" s="71"/>
      <c r="AE331" s="227"/>
      <c r="AF331" s="71"/>
      <c r="AG331" s="201"/>
      <c r="AH331" s="71"/>
      <c r="AI331" s="227"/>
      <c r="AJ331" s="71"/>
      <c r="AK331" s="201"/>
      <c r="AL331" s="71"/>
      <c r="AM331" s="227"/>
      <c r="AN331" s="71"/>
      <c r="AO331" s="201"/>
      <c r="AP331" s="71"/>
      <c r="AQ331" s="227"/>
      <c r="AR331" s="71"/>
      <c r="AS331" s="227"/>
      <c r="AT331" s="228"/>
      <c r="AU331" s="227"/>
      <c r="AV331" s="228"/>
      <c r="AW331" s="227"/>
      <c r="AX331" s="229" t="n">
        <f aca="false">SUM(R331+T331+V331+X331+Z331+AB331+AD331+AF331+AH331+AJ331+AL331+AN331+AP331+AR331)</f>
        <v>0</v>
      </c>
      <c r="AY331" s="230" t="n">
        <f aca="false">SUM(AX331*1000)/48</f>
        <v>0</v>
      </c>
      <c r="AZ331" s="231" t="n">
        <f aca="false">IFERROR(VLOOKUP(A331,'Site check'!$A$14:$O$47,15,0),0)</f>
        <v>0</v>
      </c>
      <c r="BA331" s="232" t="n">
        <f aca="false">SUM(AZ331*1000)/48</f>
        <v>0</v>
      </c>
      <c r="BB331" s="90" t="n">
        <f aca="false">SUM(P331/2)+E331</f>
        <v>32</v>
      </c>
      <c r="BC331" s="90" t="n">
        <f aca="false">SUM(P331/2)+F331</f>
        <v>38</v>
      </c>
    </row>
    <row r="332" customFormat="false" ht="13.15" hidden="false" customHeight="false" outlineLevel="0" collapsed="false">
      <c r="A332" s="0" t="str">
        <f aca="false">[2]Sheet1!A332</f>
        <v>HHD_SEC_DD770_F0</v>
      </c>
      <c r="B332" s="0" t="str">
        <f aca="false">[2]Sheet1!B332</f>
        <v>HHD;DC SYS01</v>
      </c>
      <c r="C332" s="44" t="str">
        <f aca="false">[2]Sheet1!C332</f>
        <v>HHD</v>
      </c>
      <c r="D332" s="44" t="s">
        <v>604</v>
      </c>
      <c r="E332" s="0" t="n">
        <f aca="false">[2]Sheet1!D332</f>
        <v>135</v>
      </c>
      <c r="F332" s="0" t="n">
        <f aca="false">[2]Sheet1!E332</f>
        <v>140</v>
      </c>
      <c r="G332" s="45" t="n">
        <f aca="false">[2]Sheet1!F332</f>
        <v>45090</v>
      </c>
      <c r="H332" s="0" t="n">
        <f aca="false">[2]Sheet1!G332</f>
        <v>300</v>
      </c>
      <c r="I332" s="0" t="n">
        <f aca="false">[2]Sheet1!H332</f>
        <v>300</v>
      </c>
      <c r="J332" s="0" t="n">
        <f aca="false">[2]Sheet1!I332</f>
        <v>5</v>
      </c>
      <c r="K332" s="0" t="n">
        <f aca="false">[2]Sheet1!J332</f>
        <v>1</v>
      </c>
      <c r="L332" s="0" t="n">
        <f aca="false">[2]Sheet1!K332</f>
        <v>0</v>
      </c>
      <c r="M332" s="0" t="n">
        <f aca="false">[2]Sheet1!L332</f>
        <v>10</v>
      </c>
      <c r="N332" s="0" t="n">
        <f aca="false">[2]Sheet1!M332</f>
        <v>2</v>
      </c>
      <c r="O332" s="0" t="n">
        <f aca="false">[2]Sheet1!N332</f>
        <v>0</v>
      </c>
      <c r="P332" s="226" t="n">
        <f aca="false">SUM(AY332+BA332)</f>
        <v>41.6666666666667</v>
      </c>
      <c r="Q332" s="177" t="s">
        <v>1214</v>
      </c>
      <c r="R332" s="235" t="n">
        <v>1</v>
      </c>
      <c r="S332" s="212" t="s">
        <v>1215</v>
      </c>
      <c r="T332" s="221" t="n">
        <v>1</v>
      </c>
      <c r="U332" s="201"/>
      <c r="V332" s="71"/>
      <c r="W332" s="227"/>
      <c r="X332" s="71"/>
      <c r="Y332" s="201"/>
      <c r="Z332" s="71"/>
      <c r="AA332" s="227"/>
      <c r="AB332" s="71"/>
      <c r="AC332" s="201"/>
      <c r="AD332" s="71"/>
      <c r="AE332" s="227"/>
      <c r="AF332" s="71"/>
      <c r="AG332" s="201"/>
      <c r="AH332" s="71"/>
      <c r="AI332" s="227"/>
      <c r="AJ332" s="71"/>
      <c r="AK332" s="201"/>
      <c r="AL332" s="71"/>
      <c r="AM332" s="227"/>
      <c r="AN332" s="71"/>
      <c r="AO332" s="201"/>
      <c r="AP332" s="71"/>
      <c r="AQ332" s="227"/>
      <c r="AR332" s="71"/>
      <c r="AS332" s="227"/>
      <c r="AT332" s="228"/>
      <c r="AU332" s="227"/>
      <c r="AV332" s="228"/>
      <c r="AW332" s="227"/>
      <c r="AX332" s="229" t="n">
        <f aca="false">SUM(R332+T332+V332+X332+Z332+AB332+AD332+AF332+AH332+AJ332+AL332+AN332+AP332+AR332)</f>
        <v>2</v>
      </c>
      <c r="AY332" s="230" t="n">
        <f aca="false">SUM(AX332*1000)/48</f>
        <v>41.6666666666667</v>
      </c>
      <c r="AZ332" s="231" t="n">
        <f aca="false">IFERROR(VLOOKUP(A332,'Site check'!$A$14:$O$47,15,0),0)</f>
        <v>0</v>
      </c>
      <c r="BA332" s="232" t="n">
        <f aca="false">SUM(AZ332*1000)/48</f>
        <v>0</v>
      </c>
      <c r="BB332" s="90" t="n">
        <f aca="false">SUM(P332/2)+E332</f>
        <v>155.833333333333</v>
      </c>
      <c r="BC332" s="90" t="n">
        <f aca="false">SUM(P332/2)+F332</f>
        <v>160.833333333333</v>
      </c>
    </row>
    <row r="333" customFormat="false" ht="13.15" hidden="false" customHeight="false" outlineLevel="0" collapsed="false">
      <c r="A333" s="0" t="str">
        <f aca="false">[2]Sheet1!A333</f>
        <v>IPWTN1_DCDB _RQ12</v>
      </c>
      <c r="B333" s="0" t="str">
        <f aca="false">[2]Sheet1!B333</f>
        <v>IPWTN1;DC SYS01</v>
      </c>
      <c r="C333" s="44" t="str">
        <f aca="false">[2]Sheet1!C333</f>
        <v>IPWTN1</v>
      </c>
      <c r="D333" s="44" t="s">
        <v>627</v>
      </c>
      <c r="E333" s="0" t="n">
        <f aca="false">[2]Sheet1!D333</f>
        <v>60</v>
      </c>
      <c r="F333" s="0" t="n">
        <f aca="false">[2]Sheet1!E333</f>
        <v>60</v>
      </c>
      <c r="G333" s="45" t="n">
        <f aca="false">[2]Sheet1!F333</f>
        <v>45007</v>
      </c>
      <c r="H333" s="0" t="n">
        <f aca="false">[2]Sheet1!G333</f>
        <v>300</v>
      </c>
      <c r="I333" s="0" t="n">
        <f aca="false">[2]Sheet1!H333</f>
        <v>300</v>
      </c>
      <c r="J333" s="0" t="n">
        <f aca="false">[2]Sheet1!I333</f>
        <v>3</v>
      </c>
      <c r="K333" s="0" t="n">
        <f aca="false">[2]Sheet1!J333</f>
        <v>0</v>
      </c>
      <c r="L333" s="0" t="n">
        <f aca="false">[2]Sheet1!K333</f>
        <v>3</v>
      </c>
      <c r="M333" s="0" t="n">
        <f aca="false">[2]Sheet1!L333</f>
        <v>0</v>
      </c>
      <c r="N333" s="0" t="n">
        <f aca="false">[2]Sheet1!M333</f>
        <v>0</v>
      </c>
      <c r="O333" s="0" t="n">
        <f aca="false">[2]Sheet1!N333</f>
        <v>33</v>
      </c>
      <c r="P333" s="226" t="n">
        <f aca="false">SUM(AY333+BA333)</f>
        <v>166.666666666667</v>
      </c>
      <c r="Q333" s="170" t="s">
        <v>1235</v>
      </c>
      <c r="R333" s="234" t="n">
        <v>3</v>
      </c>
      <c r="S333" s="212" t="s">
        <v>1236</v>
      </c>
      <c r="T333" s="221" t="n">
        <v>1</v>
      </c>
      <c r="U333" s="177" t="s">
        <v>1525</v>
      </c>
      <c r="V333" s="235" t="n">
        <v>4</v>
      </c>
      <c r="W333" s="227"/>
      <c r="X333" s="71"/>
      <c r="Y333" s="201"/>
      <c r="Z333" s="71"/>
      <c r="AA333" s="227"/>
      <c r="AB333" s="71"/>
      <c r="AC333" s="201"/>
      <c r="AD333" s="71"/>
      <c r="AE333" s="227"/>
      <c r="AF333" s="71"/>
      <c r="AG333" s="201"/>
      <c r="AH333" s="71"/>
      <c r="AI333" s="227"/>
      <c r="AJ333" s="71"/>
      <c r="AK333" s="201"/>
      <c r="AL333" s="71"/>
      <c r="AM333" s="227"/>
      <c r="AN333" s="71"/>
      <c r="AO333" s="201"/>
      <c r="AP333" s="71"/>
      <c r="AQ333" s="227"/>
      <c r="AR333" s="71"/>
      <c r="AS333" s="227"/>
      <c r="AT333" s="228"/>
      <c r="AU333" s="227"/>
      <c r="AV333" s="228"/>
      <c r="AW333" s="227"/>
      <c r="AX333" s="229" t="n">
        <f aca="false">SUM(R333+T333+V333+X333+Z333+AB333+AD333+AF333+AH333+AJ333+AL333+AN333+AP333+AR333)</f>
        <v>8</v>
      </c>
      <c r="AY333" s="230" t="n">
        <f aca="false">SUM(AX333*1000)/48</f>
        <v>166.666666666667</v>
      </c>
      <c r="AZ333" s="231" t="n">
        <f aca="false">IFERROR(VLOOKUP(A333,'Site check'!$A$14:$O$47,15,0),0)</f>
        <v>0</v>
      </c>
      <c r="BA333" s="232" t="n">
        <f aca="false">SUM(AZ333*1000)/48</f>
        <v>0</v>
      </c>
      <c r="BB333" s="90" t="n">
        <f aca="false">SUM(P333/2)+E333</f>
        <v>143.333333333333</v>
      </c>
      <c r="BC333" s="90" t="n">
        <f aca="false">SUM(P333/2)+F333</f>
        <v>143.333333333333</v>
      </c>
    </row>
    <row r="334" customFormat="false" ht="13.15" hidden="false" customHeight="false" outlineLevel="0" collapsed="false">
      <c r="A334" s="0" t="str">
        <f aca="false">[2]Sheet1!A334</f>
        <v>IPWTN1_SEC_DCDB_01</v>
      </c>
      <c r="B334" s="0" t="str">
        <f aca="false">[2]Sheet1!B334</f>
        <v>IPWTN1;DC SYS01</v>
      </c>
      <c r="C334" s="44" t="str">
        <f aca="false">[2]Sheet1!C334</f>
        <v>IPWTN1</v>
      </c>
      <c r="D334" s="44" t="s">
        <v>627</v>
      </c>
      <c r="E334" s="0" t="str">
        <f aca="false">[2]Sheet1!D334</f>
        <v>N/A</v>
      </c>
      <c r="F334" s="0" t="str">
        <f aca="false">[2]Sheet1!E334</f>
        <v>N/A</v>
      </c>
      <c r="G334" s="45" t="n">
        <f aca="false">[2]Sheet1!F334</f>
        <v>45007</v>
      </c>
      <c r="H334" s="0" t="n">
        <f aca="false">[2]Sheet1!G334</f>
        <v>300</v>
      </c>
      <c r="I334" s="0" t="n">
        <f aca="false">[2]Sheet1!H334</f>
        <v>300</v>
      </c>
      <c r="J334" s="0" t="n">
        <f aca="false">[2]Sheet1!I334</f>
        <v>0</v>
      </c>
      <c r="K334" s="0" t="n">
        <f aca="false">[2]Sheet1!J334</f>
        <v>3</v>
      </c>
      <c r="L334" s="0" t="n">
        <f aca="false">[2]Sheet1!K334</f>
        <v>0</v>
      </c>
      <c r="M334" s="0" t="n">
        <f aca="false">[2]Sheet1!L334</f>
        <v>0</v>
      </c>
      <c r="N334" s="0" t="n">
        <f aca="false">[2]Sheet1!M334</f>
        <v>0</v>
      </c>
      <c r="O334" s="0" t="n">
        <f aca="false">[2]Sheet1!N334</f>
        <v>0</v>
      </c>
      <c r="P334" s="226" t="n">
        <f aca="false">SUM(AY334+BA334)</f>
        <v>0</v>
      </c>
      <c r="Q334" s="201"/>
      <c r="R334" s="71"/>
      <c r="S334" s="227"/>
      <c r="T334" s="71"/>
      <c r="U334" s="201"/>
      <c r="V334" s="71"/>
      <c r="W334" s="227"/>
      <c r="X334" s="71"/>
      <c r="Y334" s="201"/>
      <c r="Z334" s="71"/>
      <c r="AA334" s="227"/>
      <c r="AB334" s="71"/>
      <c r="AC334" s="201"/>
      <c r="AD334" s="71"/>
      <c r="AE334" s="227"/>
      <c r="AF334" s="71"/>
      <c r="AG334" s="201"/>
      <c r="AH334" s="71"/>
      <c r="AI334" s="227"/>
      <c r="AJ334" s="71"/>
      <c r="AK334" s="201"/>
      <c r="AL334" s="71"/>
      <c r="AM334" s="227"/>
      <c r="AN334" s="71"/>
      <c r="AO334" s="201"/>
      <c r="AP334" s="71"/>
      <c r="AQ334" s="227"/>
      <c r="AR334" s="71"/>
      <c r="AS334" s="227"/>
      <c r="AT334" s="228"/>
      <c r="AU334" s="227"/>
      <c r="AV334" s="228"/>
      <c r="AW334" s="227"/>
      <c r="AX334" s="229" t="n">
        <f aca="false">SUM(R334+T334+V334+X334+Z334+AB334+AD334+AF334+AH334+AJ334+AL334+AN334+AP334+AR334)</f>
        <v>0</v>
      </c>
      <c r="AY334" s="230" t="n">
        <f aca="false">SUM(AX334*1000)/48</f>
        <v>0</v>
      </c>
      <c r="AZ334" s="231" t="n">
        <f aca="false">IFERROR(VLOOKUP(A334,'Site check'!$A$14:$O$47,15,0),0)</f>
        <v>0</v>
      </c>
      <c r="BA334" s="232" t="n">
        <f aca="false">SUM(AZ334*1000)/48</f>
        <v>0</v>
      </c>
      <c r="BB334" s="90" t="e">
        <f aca="false">SUM(P334/2)+E334</f>
        <v>#VALUE!</v>
      </c>
      <c r="BC334" s="90" t="e">
        <f aca="false">SUM(P334/2)+F334</f>
        <v>#VALUE!</v>
      </c>
    </row>
    <row r="335" customFormat="false" ht="13.15" hidden="false" customHeight="false" outlineLevel="0" collapsed="false">
      <c r="A335" s="0" t="str">
        <f aca="false">[2]Sheet1!A335</f>
        <v>IPWTN1_SEC_DCDB_04</v>
      </c>
      <c r="B335" s="0" t="str">
        <f aca="false">[2]Sheet1!B335</f>
        <v>IPWTN1;DC SYS01</v>
      </c>
      <c r="C335" s="44" t="str">
        <f aca="false">[2]Sheet1!C335</f>
        <v>IPWTN1</v>
      </c>
      <c r="D335" s="44" t="s">
        <v>627</v>
      </c>
      <c r="E335" s="0" t="str">
        <f aca="false">[2]Sheet1!D335</f>
        <v>N/A</v>
      </c>
      <c r="F335" s="0" t="str">
        <f aca="false">[2]Sheet1!E335</f>
        <v>N/A</v>
      </c>
      <c r="G335" s="45" t="n">
        <f aca="false">[2]Sheet1!F335</f>
        <v>45007</v>
      </c>
      <c r="H335" s="0" t="n">
        <f aca="false">[2]Sheet1!G335</f>
        <v>200</v>
      </c>
      <c r="I335" s="0" t="n">
        <f aca="false">[2]Sheet1!H335</f>
        <v>200</v>
      </c>
      <c r="J335" s="0" t="n">
        <f aca="false">[2]Sheet1!I335</f>
        <v>0</v>
      </c>
      <c r="K335" s="0" t="n">
        <f aca="false">[2]Sheet1!J335</f>
        <v>0</v>
      </c>
      <c r="L335" s="0" t="n">
        <f aca="false">[2]Sheet1!K335</f>
        <v>0</v>
      </c>
      <c r="M335" s="0" t="n">
        <f aca="false">[2]Sheet1!L335</f>
        <v>0</v>
      </c>
      <c r="N335" s="0" t="n">
        <f aca="false">[2]Sheet1!M335</f>
        <v>0</v>
      </c>
      <c r="O335" s="0" t="n">
        <f aca="false">[2]Sheet1!N335</f>
        <v>0</v>
      </c>
      <c r="P335" s="226" t="n">
        <f aca="false">SUM(AY335+BA335)</f>
        <v>0</v>
      </c>
      <c r="Q335" s="201"/>
      <c r="R335" s="71"/>
      <c r="S335" s="227"/>
      <c r="T335" s="71"/>
      <c r="U335" s="201"/>
      <c r="V335" s="71"/>
      <c r="W335" s="227"/>
      <c r="X335" s="71"/>
      <c r="Y335" s="201"/>
      <c r="Z335" s="71"/>
      <c r="AA335" s="227"/>
      <c r="AB335" s="71"/>
      <c r="AC335" s="201"/>
      <c r="AD335" s="71"/>
      <c r="AE335" s="227"/>
      <c r="AF335" s="71"/>
      <c r="AG335" s="201"/>
      <c r="AH335" s="71"/>
      <c r="AI335" s="227"/>
      <c r="AJ335" s="71"/>
      <c r="AK335" s="201"/>
      <c r="AL335" s="71"/>
      <c r="AM335" s="227"/>
      <c r="AN335" s="71"/>
      <c r="AO335" s="201"/>
      <c r="AP335" s="71"/>
      <c r="AQ335" s="227"/>
      <c r="AR335" s="71"/>
      <c r="AS335" s="227"/>
      <c r="AT335" s="228"/>
      <c r="AU335" s="227"/>
      <c r="AV335" s="228"/>
      <c r="AW335" s="227"/>
      <c r="AX335" s="229" t="n">
        <f aca="false">SUM(R335+T335+V335+X335+Z335+AB335+AD335+AF335+AH335+AJ335+AL335+AN335+AP335+AR335)</f>
        <v>0</v>
      </c>
      <c r="AY335" s="230" t="n">
        <f aca="false">SUM(AX335*1000)/48</f>
        <v>0</v>
      </c>
      <c r="AZ335" s="231" t="n">
        <f aca="false">IFERROR(VLOOKUP(A335,'Site check'!$A$14:$O$47,15,0),0)</f>
        <v>0</v>
      </c>
      <c r="BA335" s="232" t="n">
        <f aca="false">SUM(AZ335*1000)/48</f>
        <v>0</v>
      </c>
      <c r="BB335" s="90" t="e">
        <f aca="false">SUM(P335/2)+E335</f>
        <v>#VALUE!</v>
      </c>
      <c r="BC335" s="90" t="e">
        <f aca="false">SUM(P335/2)+F335</f>
        <v>#VALUE!</v>
      </c>
    </row>
    <row r="336" customFormat="false" ht="13.15" hidden="false" customHeight="false" outlineLevel="0" collapsed="false">
      <c r="A336" s="0" t="str">
        <f aca="false">[2]Sheet1!A336</f>
        <v>IPWTN1_SYS_DCDB_WALL</v>
      </c>
      <c r="B336" s="0" t="str">
        <f aca="false">[2]Sheet1!B336</f>
        <v>IPWTN1;DC SYS01</v>
      </c>
      <c r="C336" s="44" t="str">
        <f aca="false">[2]Sheet1!C336</f>
        <v>IPWTN1</v>
      </c>
      <c r="D336" s="44" t="s">
        <v>627</v>
      </c>
      <c r="E336" s="0" t="str">
        <f aca="false">[2]Sheet1!D336</f>
        <v>N/A</v>
      </c>
      <c r="F336" s="0" t="n">
        <f aca="false">[2]Sheet1!E336</f>
        <v>0</v>
      </c>
      <c r="G336" s="45" t="n">
        <f aca="false">[2]Sheet1!F336</f>
        <v>45007</v>
      </c>
      <c r="H336" s="0" t="n">
        <f aca="false">[2]Sheet1!G336</f>
        <v>300</v>
      </c>
      <c r="I336" s="0" t="n">
        <f aca="false">[2]Sheet1!H336</f>
        <v>0</v>
      </c>
      <c r="J336" s="0" t="n">
        <f aca="false">[2]Sheet1!I336</f>
        <v>0</v>
      </c>
      <c r="K336" s="0" t="n">
        <f aca="false">[2]Sheet1!J336</f>
        <v>5</v>
      </c>
      <c r="L336" s="0" t="n">
        <f aca="false">[2]Sheet1!K336</f>
        <v>0</v>
      </c>
      <c r="M336" s="0" t="n">
        <f aca="false">[2]Sheet1!L336</f>
        <v>0</v>
      </c>
      <c r="N336" s="0" t="n">
        <f aca="false">[2]Sheet1!M336</f>
        <v>0</v>
      </c>
      <c r="O336" s="0" t="n">
        <f aca="false">[2]Sheet1!N336</f>
        <v>0</v>
      </c>
      <c r="P336" s="226" t="n">
        <f aca="false">SUM(AY336+BA336)</f>
        <v>0</v>
      </c>
      <c r="Q336" s="201"/>
      <c r="R336" s="71"/>
      <c r="S336" s="227"/>
      <c r="T336" s="71"/>
      <c r="U336" s="201"/>
      <c r="V336" s="71"/>
      <c r="W336" s="227"/>
      <c r="X336" s="71"/>
      <c r="Y336" s="201"/>
      <c r="Z336" s="71"/>
      <c r="AA336" s="227"/>
      <c r="AB336" s="71"/>
      <c r="AC336" s="201"/>
      <c r="AD336" s="71"/>
      <c r="AE336" s="227"/>
      <c r="AF336" s="71"/>
      <c r="AG336" s="201"/>
      <c r="AH336" s="71"/>
      <c r="AI336" s="227"/>
      <c r="AJ336" s="71"/>
      <c r="AK336" s="201"/>
      <c r="AL336" s="71"/>
      <c r="AM336" s="227"/>
      <c r="AN336" s="71"/>
      <c r="AO336" s="201"/>
      <c r="AP336" s="71"/>
      <c r="AQ336" s="227"/>
      <c r="AR336" s="71"/>
      <c r="AS336" s="227"/>
      <c r="AT336" s="228"/>
      <c r="AU336" s="227"/>
      <c r="AV336" s="228"/>
      <c r="AW336" s="227"/>
      <c r="AX336" s="229" t="n">
        <f aca="false">SUM(R336+T336+V336+X336+Z336+AB336+AD336+AF336+AH336+AJ336+AL336+AN336+AP336+AR336)</f>
        <v>0</v>
      </c>
      <c r="AY336" s="230" t="n">
        <f aca="false">SUM(AX336*1000)/48</f>
        <v>0</v>
      </c>
      <c r="AZ336" s="231" t="n">
        <f aca="false">IFERROR(VLOOKUP(A336,'Site check'!$A$14:$O$47,15,0),0)</f>
        <v>0</v>
      </c>
      <c r="BA336" s="232" t="n">
        <f aca="false">SUM(AZ336*1000)/48</f>
        <v>0</v>
      </c>
      <c r="BB336" s="90" t="e">
        <f aca="false">SUM(P336/2)+E336</f>
        <v>#VALUE!</v>
      </c>
      <c r="BC336" s="90" t="n">
        <f aca="false">SUM(P336/2)+F336</f>
        <v>0</v>
      </c>
    </row>
    <row r="337" customFormat="false" ht="13.15" hidden="false" customHeight="false" outlineLevel="0" collapsed="false">
      <c r="A337" s="0" t="str">
        <f aca="false">[2]Sheet1!A337</f>
        <v>LTNDN1_SEC_DD770_BB_CC_05</v>
      </c>
      <c r="B337" s="0" t="str">
        <f aca="false">[2]Sheet1!B337</f>
        <v>LTNDN1;DC SYS01</v>
      </c>
      <c r="C337" s="44" t="str">
        <f aca="false">[2]Sheet1!C337</f>
        <v>LTNDN1</v>
      </c>
      <c r="D337" s="44" t="s">
        <v>664</v>
      </c>
      <c r="E337" s="0" t="n">
        <f aca="false">[2]Sheet1!D337</f>
        <v>120</v>
      </c>
      <c r="F337" s="0" t="n">
        <f aca="false">[2]Sheet1!E337</f>
        <v>170</v>
      </c>
      <c r="G337" s="45" t="n">
        <f aca="false">[2]Sheet1!F337</f>
        <v>44264</v>
      </c>
      <c r="H337" s="0" t="n">
        <f aca="false">[2]Sheet1!G337</f>
        <v>300</v>
      </c>
      <c r="I337" s="0" t="n">
        <f aca="false">[2]Sheet1!H337</f>
        <v>300</v>
      </c>
      <c r="J337" s="0" t="n">
        <f aca="false">[2]Sheet1!I337</f>
        <v>0</v>
      </c>
      <c r="K337" s="0" t="n">
        <f aca="false">[2]Sheet1!J337</f>
        <v>6</v>
      </c>
      <c r="L337" s="0" t="n">
        <f aca="false">[2]Sheet1!K337</f>
        <v>0</v>
      </c>
      <c r="M337" s="0" t="n">
        <f aca="false">[2]Sheet1!L337</f>
        <v>7</v>
      </c>
      <c r="N337" s="0" t="n">
        <f aca="false">[2]Sheet1!M337</f>
        <v>9</v>
      </c>
      <c r="O337" s="0" t="n">
        <f aca="false">[2]Sheet1!N337</f>
        <v>0</v>
      </c>
      <c r="P337" s="226" t="n">
        <f aca="false">SUM(AY337+BA337)</f>
        <v>20.8333333333333</v>
      </c>
      <c r="Q337" s="177" t="s">
        <v>1526</v>
      </c>
      <c r="R337" s="235" t="n">
        <v>1</v>
      </c>
      <c r="S337" s="204"/>
      <c r="T337" s="221"/>
      <c r="U337" s="201"/>
      <c r="V337" s="71"/>
      <c r="W337" s="227"/>
      <c r="X337" s="71"/>
      <c r="Y337" s="201"/>
      <c r="Z337" s="71"/>
      <c r="AA337" s="227"/>
      <c r="AB337" s="71"/>
      <c r="AC337" s="201"/>
      <c r="AD337" s="71"/>
      <c r="AE337" s="227"/>
      <c r="AF337" s="71"/>
      <c r="AG337" s="201"/>
      <c r="AH337" s="71"/>
      <c r="AI337" s="227"/>
      <c r="AJ337" s="71"/>
      <c r="AK337" s="201"/>
      <c r="AL337" s="71"/>
      <c r="AM337" s="227"/>
      <c r="AN337" s="71"/>
      <c r="AO337" s="201"/>
      <c r="AP337" s="71"/>
      <c r="AQ337" s="227"/>
      <c r="AR337" s="71"/>
      <c r="AS337" s="227"/>
      <c r="AT337" s="228"/>
      <c r="AU337" s="227"/>
      <c r="AV337" s="228"/>
      <c r="AW337" s="227"/>
      <c r="AX337" s="229" t="n">
        <f aca="false">SUM(R337+T337+V337+X337+Z337+AB337+AD337+AF337+AH337+AJ337+AL337+AN337+AP337+AR337)</f>
        <v>1</v>
      </c>
      <c r="AY337" s="230" t="n">
        <f aca="false">SUM(AX337*1000)/48</f>
        <v>20.8333333333333</v>
      </c>
      <c r="AZ337" s="231" t="n">
        <f aca="false">IFERROR(VLOOKUP(A337,'Site check'!$A$14:$O$47,15,0),0)</f>
        <v>0</v>
      </c>
      <c r="BA337" s="232" t="n">
        <f aca="false">SUM(AZ337*1000)/48</f>
        <v>0</v>
      </c>
      <c r="BB337" s="90" t="n">
        <f aca="false">SUM(P337/2)+E337</f>
        <v>130.416666666667</v>
      </c>
      <c r="BC337" s="90" t="n">
        <f aca="false">SUM(P337/2)+F337</f>
        <v>180.416666666667</v>
      </c>
    </row>
    <row r="338" customFormat="false" ht="13.15" hidden="false" customHeight="false" outlineLevel="0" collapsed="false">
      <c r="A338" s="0" t="str">
        <f aca="false">[2]Sheet1!A338</f>
        <v>MDE_SEC_DUVINE DCDB</v>
      </c>
      <c r="B338" s="0" t="str">
        <f aca="false">[2]Sheet1!B338</f>
        <v>MDE;DC SYS01</v>
      </c>
      <c r="C338" s="44" t="str">
        <f aca="false">[2]Sheet1!C338</f>
        <v>MDE</v>
      </c>
      <c r="D338" s="44" t="s">
        <v>677</v>
      </c>
      <c r="E338" s="0" t="str">
        <f aca="false">[2]Sheet1!D338</f>
        <v>N/A</v>
      </c>
      <c r="F338" s="0" t="str">
        <f aca="false">[2]Sheet1!E338</f>
        <v>N/A</v>
      </c>
      <c r="G338" s="45" t="n">
        <f aca="false">[2]Sheet1!F338</f>
        <v>45006</v>
      </c>
      <c r="H338" s="0" t="n">
        <f aca="false">[2]Sheet1!G338</f>
        <v>300</v>
      </c>
      <c r="I338" s="0" t="n">
        <f aca="false">[2]Sheet1!H338</f>
        <v>300</v>
      </c>
      <c r="J338" s="0" t="n">
        <f aca="false">[2]Sheet1!I338</f>
        <v>0</v>
      </c>
      <c r="K338" s="0" t="n">
        <f aca="false">[2]Sheet1!J338</f>
        <v>10</v>
      </c>
      <c r="L338" s="0" t="n">
        <f aca="false">[2]Sheet1!K338</f>
        <v>0</v>
      </c>
      <c r="M338" s="0" t="n">
        <f aca="false">[2]Sheet1!L338</f>
        <v>0</v>
      </c>
      <c r="N338" s="0" t="n">
        <f aca="false">[2]Sheet1!M338</f>
        <v>0</v>
      </c>
      <c r="O338" s="0" t="n">
        <f aca="false">[2]Sheet1!N338</f>
        <v>0</v>
      </c>
      <c r="P338" s="226" t="n">
        <f aca="false">SUM(AY338+BA338)</f>
        <v>0</v>
      </c>
      <c r="Q338" s="201"/>
      <c r="R338" s="71"/>
      <c r="S338" s="227"/>
      <c r="T338" s="71"/>
      <c r="U338" s="201"/>
      <c r="V338" s="71"/>
      <c r="W338" s="227"/>
      <c r="X338" s="71"/>
      <c r="Y338" s="201"/>
      <c r="Z338" s="71"/>
      <c r="AA338" s="227"/>
      <c r="AB338" s="71"/>
      <c r="AC338" s="201"/>
      <c r="AD338" s="71"/>
      <c r="AE338" s="227"/>
      <c r="AF338" s="71"/>
      <c r="AG338" s="201"/>
      <c r="AH338" s="71"/>
      <c r="AI338" s="227"/>
      <c r="AJ338" s="71"/>
      <c r="AK338" s="201"/>
      <c r="AL338" s="71"/>
      <c r="AM338" s="227"/>
      <c r="AN338" s="71"/>
      <c r="AO338" s="201"/>
      <c r="AP338" s="71"/>
      <c r="AQ338" s="227"/>
      <c r="AR338" s="71"/>
      <c r="AS338" s="227"/>
      <c r="AT338" s="228"/>
      <c r="AU338" s="227"/>
      <c r="AV338" s="228"/>
      <c r="AW338" s="227"/>
      <c r="AX338" s="229" t="n">
        <f aca="false">SUM(R338+T338+V338+X338+Z338+AB338+AD338+AF338+AH338+AJ338+AL338+AN338+AP338+AR338)</f>
        <v>0</v>
      </c>
      <c r="AY338" s="230" t="n">
        <f aca="false">SUM(AX338*1000)/48</f>
        <v>0</v>
      </c>
      <c r="AZ338" s="231" t="n">
        <f aca="false">IFERROR(VLOOKUP(A338,'Site check'!$A$14:$O$47,15,0),0)</f>
        <v>0</v>
      </c>
      <c r="BA338" s="232" t="n">
        <f aca="false">SUM(AZ338*1000)/48</f>
        <v>0</v>
      </c>
      <c r="BB338" s="90" t="e">
        <f aca="false">SUM(P338/2)+E338</f>
        <v>#VALUE!</v>
      </c>
      <c r="BC338" s="90" t="e">
        <f aca="false">SUM(P338/2)+F338</f>
        <v>#VALUE!</v>
      </c>
    </row>
    <row r="339" customFormat="false" ht="13.15" hidden="false" customHeight="false" outlineLevel="0" collapsed="false">
      <c r="A339" s="0" t="str">
        <f aca="false">[2]Sheet1!A339</f>
        <v>MDE_SEC_EATON DCDB</v>
      </c>
      <c r="B339" s="0" t="str">
        <f aca="false">[2]Sheet1!B339</f>
        <v>MDE;DC SYS01</v>
      </c>
      <c r="C339" s="44" t="str">
        <f aca="false">[2]Sheet1!C339</f>
        <v>MDE</v>
      </c>
      <c r="D339" s="44" t="s">
        <v>677</v>
      </c>
      <c r="E339" s="0" t="str">
        <f aca="false">[2]Sheet1!D339</f>
        <v>46A</v>
      </c>
      <c r="F339" s="0" t="str">
        <f aca="false">[2]Sheet1!E339</f>
        <v>46A</v>
      </c>
      <c r="G339" s="45" t="n">
        <f aca="false">[2]Sheet1!F339</f>
        <v>45006</v>
      </c>
      <c r="H339" s="0" t="n">
        <f aca="false">[2]Sheet1!G339</f>
        <v>300</v>
      </c>
      <c r="I339" s="0" t="n">
        <f aca="false">[2]Sheet1!H339</f>
        <v>300</v>
      </c>
      <c r="J339" s="0" t="n">
        <f aca="false">[2]Sheet1!I339</f>
        <v>0</v>
      </c>
      <c r="K339" s="0" t="n">
        <f aca="false">[2]Sheet1!J339</f>
        <v>0</v>
      </c>
      <c r="L339" s="0" t="n">
        <f aca="false">[2]Sheet1!K339</f>
        <v>0</v>
      </c>
      <c r="M339" s="0" t="n">
        <f aca="false">[2]Sheet1!L339</f>
        <v>0</v>
      </c>
      <c r="N339" s="0" t="n">
        <f aca="false">[2]Sheet1!M339</f>
        <v>0</v>
      </c>
      <c r="O339" s="0" t="n">
        <f aca="false">[2]Sheet1!N339</f>
        <v>44</v>
      </c>
      <c r="P339" s="226" t="n">
        <f aca="false">SUM(AY339+BA339)</f>
        <v>100</v>
      </c>
      <c r="Q339" s="179" t="s">
        <v>1310</v>
      </c>
      <c r="R339" s="180" t="n">
        <v>0.3</v>
      </c>
      <c r="S339" s="179" t="s">
        <v>1311</v>
      </c>
      <c r="T339" s="180" t="n">
        <v>0.3</v>
      </c>
      <c r="U339" s="181" t="s">
        <v>1312</v>
      </c>
      <c r="V339" s="175" t="n">
        <v>4.2</v>
      </c>
      <c r="W339" s="227"/>
      <c r="X339" s="71"/>
      <c r="Y339" s="201"/>
      <c r="Z339" s="71"/>
      <c r="AA339" s="227"/>
      <c r="AB339" s="71"/>
      <c r="AC339" s="201"/>
      <c r="AD339" s="71"/>
      <c r="AE339" s="227"/>
      <c r="AF339" s="71"/>
      <c r="AG339" s="201"/>
      <c r="AH339" s="71"/>
      <c r="AI339" s="227"/>
      <c r="AJ339" s="71"/>
      <c r="AK339" s="201"/>
      <c r="AL339" s="71"/>
      <c r="AM339" s="227"/>
      <c r="AN339" s="71"/>
      <c r="AO339" s="201"/>
      <c r="AP339" s="71"/>
      <c r="AQ339" s="227"/>
      <c r="AR339" s="71"/>
      <c r="AS339" s="227"/>
      <c r="AT339" s="228"/>
      <c r="AU339" s="227"/>
      <c r="AV339" s="228"/>
      <c r="AW339" s="227"/>
      <c r="AX339" s="229" t="n">
        <f aca="false">SUM(R339+T339+V339+X339+Z339+AB339+AD339+AF339+AH339+AJ339+AL339+AN339+AP339+AR339)</f>
        <v>4.8</v>
      </c>
      <c r="AY339" s="230" t="n">
        <f aca="false">SUM(AX339*1000)/48</f>
        <v>100</v>
      </c>
      <c r="AZ339" s="231" t="n">
        <f aca="false">IFERROR(VLOOKUP(A339,'Site check'!$A$14:$O$47,15,0),0)</f>
        <v>0</v>
      </c>
      <c r="BA339" s="232" t="n">
        <f aca="false">SUM(AZ339*1000)/48</f>
        <v>0</v>
      </c>
      <c r="BB339" s="90" t="e">
        <f aca="false">SUM(P339/2)+E339</f>
        <v>#VALUE!</v>
      </c>
      <c r="BC339" s="90" t="e">
        <f aca="false">SUM(P339/2)+F339</f>
        <v>#VALUE!</v>
      </c>
    </row>
    <row r="340" customFormat="false" ht="13.15" hidden="false" customHeight="false" outlineLevel="0" collapsed="false">
      <c r="A340" s="0" t="str">
        <f aca="false">[2]Sheet1!A340</f>
        <v>RCR_SEC_CBDB_GH08</v>
      </c>
      <c r="B340" s="0" t="str">
        <f aca="false">[2]Sheet1!B340</f>
        <v>RCR;DC SYS01</v>
      </c>
      <c r="C340" s="44" t="str">
        <f aca="false">[2]Sheet1!C340</f>
        <v>RCR</v>
      </c>
      <c r="D340" s="44" t="s">
        <v>738</v>
      </c>
      <c r="E340" s="0" t="n">
        <f aca="false">[2]Sheet1!D340</f>
        <v>90</v>
      </c>
      <c r="F340" s="0" t="n">
        <f aca="false">[2]Sheet1!E340</f>
        <v>95</v>
      </c>
      <c r="G340" s="45" t="n">
        <f aca="false">[2]Sheet1!F340</f>
        <v>45006</v>
      </c>
      <c r="H340" s="0" t="n">
        <f aca="false">[2]Sheet1!G340</f>
        <v>300</v>
      </c>
      <c r="I340" s="0" t="n">
        <f aca="false">[2]Sheet1!H340</f>
        <v>300</v>
      </c>
      <c r="J340" s="0" t="n">
        <f aca="false">[2]Sheet1!I340</f>
        <v>3</v>
      </c>
      <c r="K340" s="0" t="n">
        <f aca="false">[2]Sheet1!J340</f>
        <v>0</v>
      </c>
      <c r="L340" s="0" t="n">
        <f aca="false">[2]Sheet1!K340</f>
        <v>0</v>
      </c>
      <c r="M340" s="0" t="n">
        <f aca="false">[2]Sheet1!L340</f>
        <v>0</v>
      </c>
      <c r="N340" s="0" t="n">
        <f aca="false">[2]Sheet1!M340</f>
        <v>0</v>
      </c>
      <c r="O340" s="0" t="n">
        <f aca="false">[2]Sheet1!N340</f>
        <v>31</v>
      </c>
      <c r="P340" s="226" t="n">
        <f aca="false">SUM(AY340+BA340)</f>
        <v>125</v>
      </c>
      <c r="Q340" s="170" t="s">
        <v>1350</v>
      </c>
      <c r="R340" s="234" t="n">
        <v>5</v>
      </c>
      <c r="S340" s="202" t="s">
        <v>1351</v>
      </c>
      <c r="T340" s="235" t="n">
        <v>1</v>
      </c>
      <c r="U340" s="201"/>
      <c r="V340" s="71"/>
      <c r="W340" s="227"/>
      <c r="X340" s="71"/>
      <c r="Y340" s="201"/>
      <c r="Z340" s="71"/>
      <c r="AA340" s="227"/>
      <c r="AB340" s="71"/>
      <c r="AC340" s="201"/>
      <c r="AD340" s="71"/>
      <c r="AE340" s="227"/>
      <c r="AF340" s="71"/>
      <c r="AG340" s="201"/>
      <c r="AH340" s="71"/>
      <c r="AI340" s="227"/>
      <c r="AJ340" s="71"/>
      <c r="AK340" s="201"/>
      <c r="AL340" s="71"/>
      <c r="AM340" s="227"/>
      <c r="AN340" s="71"/>
      <c r="AO340" s="201"/>
      <c r="AP340" s="71"/>
      <c r="AQ340" s="227"/>
      <c r="AR340" s="71"/>
      <c r="AS340" s="227"/>
      <c r="AT340" s="228"/>
      <c r="AU340" s="227"/>
      <c r="AV340" s="228"/>
      <c r="AW340" s="227"/>
      <c r="AX340" s="229" t="n">
        <f aca="false">SUM(R340+T340+V340+X340+Z340+AB340+AD340+AF340+AH340+AJ340+AL340+AN340+AP340+AR340)</f>
        <v>6</v>
      </c>
      <c r="AY340" s="230" t="n">
        <f aca="false">SUM(AX340*1000)/48</f>
        <v>125</v>
      </c>
      <c r="AZ340" s="231" t="n">
        <f aca="false">IFERROR(VLOOKUP(A340,'Site check'!$A$14:$O$47,15,0),0)</f>
        <v>0</v>
      </c>
      <c r="BA340" s="232" t="n">
        <f aca="false">SUM(AZ340*1000)/48</f>
        <v>0</v>
      </c>
      <c r="BB340" s="90" t="n">
        <f aca="false">SUM(P340/2)+E340</f>
        <v>152.5</v>
      </c>
      <c r="BC340" s="90" t="n">
        <f aca="false">SUM(P340/2)+F340</f>
        <v>157.5</v>
      </c>
    </row>
    <row r="341" customFormat="false" ht="13.15" hidden="false" customHeight="false" outlineLevel="0" collapsed="false">
      <c r="A341" s="0" t="str">
        <f aca="false">[2]Sheet1!A341</f>
        <v>RCR_SEC_WALL_CBDB</v>
      </c>
      <c r="B341" s="0" t="str">
        <f aca="false">[2]Sheet1!B341</f>
        <v>RCR;DC SYS01</v>
      </c>
      <c r="C341" s="44" t="str">
        <f aca="false">[2]Sheet1!C341</f>
        <v>RCR</v>
      </c>
      <c r="D341" s="44" t="s">
        <v>738</v>
      </c>
      <c r="E341" s="0" t="n">
        <f aca="false">[2]Sheet1!D341</f>
        <v>65</v>
      </c>
      <c r="F341" s="0" t="str">
        <f aca="false">[2]Sheet1!E341</f>
        <v>N/A</v>
      </c>
      <c r="G341" s="45" t="n">
        <f aca="false">[2]Sheet1!F341</f>
        <v>45006</v>
      </c>
      <c r="H341" s="0" t="n">
        <f aca="false">[2]Sheet1!G341</f>
        <v>300</v>
      </c>
      <c r="I341" s="0" t="n">
        <f aca="false">[2]Sheet1!H341</f>
        <v>300</v>
      </c>
      <c r="J341" s="0" t="n">
        <f aca="false">[2]Sheet1!I341</f>
        <v>4</v>
      </c>
      <c r="K341" s="0" t="n">
        <f aca="false">[2]Sheet1!J341</f>
        <v>0</v>
      </c>
      <c r="L341" s="0" t="n">
        <f aca="false">[2]Sheet1!K341</f>
        <v>0</v>
      </c>
      <c r="M341" s="0" t="n">
        <f aca="false">[2]Sheet1!L341</f>
        <v>0</v>
      </c>
      <c r="N341" s="0" t="n">
        <f aca="false">[2]Sheet1!M341</f>
        <v>0</v>
      </c>
      <c r="O341" s="0" t="n">
        <f aca="false">[2]Sheet1!N341</f>
        <v>0</v>
      </c>
      <c r="P341" s="226" t="n">
        <f aca="false">SUM(AY341+BA341)</f>
        <v>0</v>
      </c>
      <c r="Q341" s="201"/>
      <c r="R341" s="71"/>
      <c r="S341" s="227"/>
      <c r="T341" s="71"/>
      <c r="U341" s="201"/>
      <c r="V341" s="71"/>
      <c r="W341" s="227"/>
      <c r="X341" s="71"/>
      <c r="Y341" s="201"/>
      <c r="Z341" s="71"/>
      <c r="AA341" s="227"/>
      <c r="AB341" s="71"/>
      <c r="AC341" s="201"/>
      <c r="AD341" s="71"/>
      <c r="AE341" s="227"/>
      <c r="AF341" s="71"/>
      <c r="AG341" s="201"/>
      <c r="AH341" s="71"/>
      <c r="AI341" s="227"/>
      <c r="AJ341" s="71"/>
      <c r="AK341" s="201"/>
      <c r="AL341" s="71"/>
      <c r="AM341" s="227"/>
      <c r="AN341" s="71"/>
      <c r="AO341" s="201"/>
      <c r="AP341" s="71"/>
      <c r="AQ341" s="227"/>
      <c r="AR341" s="71"/>
      <c r="AS341" s="227"/>
      <c r="AT341" s="228"/>
      <c r="AU341" s="227"/>
      <c r="AV341" s="228"/>
      <c r="AW341" s="227"/>
      <c r="AX341" s="229" t="n">
        <f aca="false">SUM(R341+T341+V341+X341+Z341+AB341+AD341+AF341+AH341+AJ341+AL341+AN341+AP341+AR341)</f>
        <v>0</v>
      </c>
      <c r="AY341" s="230" t="n">
        <f aca="false">SUM(AX341*1000)/48</f>
        <v>0</v>
      </c>
      <c r="AZ341" s="231" t="n">
        <f aca="false">IFERROR(VLOOKUP(A341,'Site check'!$A$14:$O$47,15,0),0)</f>
        <v>0</v>
      </c>
      <c r="BA341" s="232" t="n">
        <f aca="false">SUM(AZ341*1000)/48</f>
        <v>0</v>
      </c>
      <c r="BB341" s="90" t="n">
        <f aca="false">SUM(P341/2)+E341</f>
        <v>65</v>
      </c>
      <c r="BC341" s="90" t="e">
        <f aca="false">SUM(P341/2)+F341</f>
        <v>#VALUE!</v>
      </c>
    </row>
    <row r="342" customFormat="false" ht="13.15" hidden="false" customHeight="false" outlineLevel="0" collapsed="false">
      <c r="A342" s="0" t="str">
        <f aca="false">[2]Sheet1!A342</f>
        <v>SOSTN1_SEC_DD770_WALL</v>
      </c>
      <c r="B342" s="0" t="str">
        <f aca="false">[2]Sheet1!B342</f>
        <v>SOSTN1;DC SYS01</v>
      </c>
      <c r="C342" s="44" t="str">
        <f aca="false">[2]Sheet1!C342</f>
        <v>SOSTN1</v>
      </c>
      <c r="D342" s="44" t="s">
        <v>770</v>
      </c>
      <c r="E342" s="0" t="n">
        <f aca="false">[2]Sheet1!D342</f>
        <v>55</v>
      </c>
      <c r="F342" s="0" t="n">
        <f aca="false">[2]Sheet1!E342</f>
        <v>45</v>
      </c>
      <c r="G342" s="45" t="n">
        <f aca="false">[2]Sheet1!F342</f>
        <v>45055</v>
      </c>
      <c r="H342" s="0" t="n">
        <f aca="false">[2]Sheet1!G342</f>
        <v>300</v>
      </c>
      <c r="I342" s="0" t="n">
        <f aca="false">[2]Sheet1!H342</f>
        <v>300</v>
      </c>
      <c r="J342" s="0" t="n">
        <f aca="false">[2]Sheet1!I342</f>
        <v>5</v>
      </c>
      <c r="K342" s="0" t="n">
        <f aca="false">[2]Sheet1!J342</f>
        <v>0</v>
      </c>
      <c r="L342" s="0" t="n">
        <f aca="false">[2]Sheet1!K342</f>
        <v>0</v>
      </c>
      <c r="M342" s="0" t="n">
        <f aca="false">[2]Sheet1!L342</f>
        <v>15</v>
      </c>
      <c r="N342" s="0" t="n">
        <f aca="false">[2]Sheet1!M342</f>
        <v>11</v>
      </c>
      <c r="O342" s="0" t="n">
        <f aca="false">[2]Sheet1!N342</f>
        <v>0</v>
      </c>
      <c r="P342" s="226" t="n">
        <f aca="false">SUM(AY342+BA342)</f>
        <v>20.8333333333333</v>
      </c>
      <c r="Q342" s="177" t="s">
        <v>1384</v>
      </c>
      <c r="R342" s="235" t="n">
        <v>1</v>
      </c>
      <c r="S342" s="212"/>
      <c r="T342" s="221"/>
      <c r="U342" s="201"/>
      <c r="V342" s="71"/>
      <c r="W342" s="227"/>
      <c r="X342" s="71"/>
      <c r="Y342" s="201"/>
      <c r="Z342" s="71"/>
      <c r="AA342" s="227"/>
      <c r="AB342" s="71"/>
      <c r="AC342" s="201"/>
      <c r="AD342" s="71"/>
      <c r="AE342" s="227"/>
      <c r="AF342" s="71"/>
      <c r="AG342" s="201"/>
      <c r="AH342" s="71"/>
      <c r="AI342" s="227"/>
      <c r="AJ342" s="71"/>
      <c r="AK342" s="201"/>
      <c r="AL342" s="71"/>
      <c r="AM342" s="227"/>
      <c r="AN342" s="71"/>
      <c r="AO342" s="201"/>
      <c r="AP342" s="71"/>
      <c r="AQ342" s="227"/>
      <c r="AR342" s="71"/>
      <c r="AS342" s="227"/>
      <c r="AT342" s="228"/>
      <c r="AU342" s="227"/>
      <c r="AV342" s="228"/>
      <c r="AW342" s="227"/>
      <c r="AX342" s="229" t="n">
        <f aca="false">SUM(R342+T342+V342+X342+Z342+AB342+AD342+AF342+AH342+AJ342+AL342+AN342+AP342+AR342)</f>
        <v>1</v>
      </c>
      <c r="AY342" s="230" t="n">
        <f aca="false">SUM(AX342*1000)/48</f>
        <v>20.8333333333333</v>
      </c>
      <c r="AZ342" s="231" t="n">
        <f aca="false">IFERROR(VLOOKUP(A342,'Site check'!$A$14:$O$47,15,0),0)</f>
        <v>0</v>
      </c>
      <c r="BA342" s="232" t="n">
        <f aca="false">SUM(AZ342*1000)/48</f>
        <v>0</v>
      </c>
      <c r="BB342" s="90" t="n">
        <f aca="false">SUM(P342/2)+E342</f>
        <v>65.4166666666667</v>
      </c>
      <c r="BC342" s="90" t="n">
        <f aca="false">SUM(P342/2)+F342</f>
        <v>55.4166666666667</v>
      </c>
    </row>
    <row r="343" customFormat="false" ht="13.15" hidden="false" customHeight="false" outlineLevel="0" collapsed="false">
      <c r="A343" s="0" t="str">
        <f aca="false">[2]Sheet1!A343</f>
        <v>AZTCD1 POWER SYSTEM 2 DIST</v>
      </c>
      <c r="B343" s="0" t="str">
        <f aca="false">[2]Sheet1!B343</f>
        <v>AZTCD1&amp;2;DC SYS01</v>
      </c>
      <c r="C343" s="44" t="str">
        <f aca="false">[2]Sheet1!C343</f>
        <v>AZTCD1</v>
      </c>
      <c r="D343" s="44" t="s">
        <v>373</v>
      </c>
      <c r="E343" s="0" t="n">
        <f aca="false">[2]Sheet1!D343</f>
        <v>87.8</v>
      </c>
      <c r="F343" s="0" t="n">
        <f aca="false">[2]Sheet1!E343</f>
        <v>0</v>
      </c>
      <c r="G343" s="45" t="n">
        <f aca="false">[2]Sheet1!F343</f>
        <v>40554</v>
      </c>
      <c r="H343" s="0" t="n">
        <f aca="false">[2]Sheet1!G343</f>
        <v>300</v>
      </c>
      <c r="I343" s="0" t="n">
        <f aca="false">[2]Sheet1!H343</f>
        <v>300</v>
      </c>
      <c r="J343" s="0" t="n">
        <f aca="false">[2]Sheet1!I343</f>
        <v>0</v>
      </c>
      <c r="K343" s="0" t="n">
        <f aca="false">[2]Sheet1!J343</f>
        <v>0</v>
      </c>
      <c r="L343" s="0" t="n">
        <f aca="false">[2]Sheet1!K343</f>
        <v>7</v>
      </c>
      <c r="M343" s="0" t="n">
        <f aca="false">[2]Sheet1!L343</f>
        <v>4</v>
      </c>
      <c r="N343" s="0" t="n">
        <f aca="false">[2]Sheet1!M343</f>
        <v>11</v>
      </c>
      <c r="O343" s="0" t="n">
        <f aca="false">[2]Sheet1!N343</f>
        <v>12</v>
      </c>
      <c r="P343" s="226" t="n">
        <f aca="false">SUM(AY343+BA343)</f>
        <v>0</v>
      </c>
      <c r="Q343" s="201"/>
      <c r="R343" s="71"/>
      <c r="S343" s="227"/>
      <c r="T343" s="71"/>
      <c r="U343" s="201"/>
      <c r="V343" s="71"/>
      <c r="W343" s="227"/>
      <c r="X343" s="71"/>
      <c r="Y343" s="201"/>
      <c r="Z343" s="71"/>
      <c r="AA343" s="227"/>
      <c r="AB343" s="71"/>
      <c r="AC343" s="201"/>
      <c r="AD343" s="71"/>
      <c r="AE343" s="227"/>
      <c r="AF343" s="71"/>
      <c r="AG343" s="201"/>
      <c r="AH343" s="71"/>
      <c r="AI343" s="227"/>
      <c r="AJ343" s="71"/>
      <c r="AK343" s="201"/>
      <c r="AL343" s="71"/>
      <c r="AM343" s="227"/>
      <c r="AN343" s="71"/>
      <c r="AO343" s="201"/>
      <c r="AP343" s="71"/>
      <c r="AQ343" s="227"/>
      <c r="AR343" s="71"/>
      <c r="AS343" s="227"/>
      <c r="AT343" s="228"/>
      <c r="AU343" s="227"/>
      <c r="AV343" s="228"/>
      <c r="AW343" s="227"/>
      <c r="AX343" s="229" t="n">
        <f aca="false">SUM(R343+T343+V343+X343+Z343+AB343+AD343+AF343+AH343+AJ343+AL343+AN343+AP343+AR343)</f>
        <v>0</v>
      </c>
      <c r="AY343" s="230" t="n">
        <f aca="false">SUM(AX343*1000)/48</f>
        <v>0</v>
      </c>
      <c r="AZ343" s="231" t="n">
        <f aca="false">IFERROR(VLOOKUP(A343,'Site check'!$A$14:$O$47,15,0),0)</f>
        <v>0</v>
      </c>
      <c r="BA343" s="232" t="n">
        <f aca="false">SUM(AZ343*1000)/48</f>
        <v>0</v>
      </c>
      <c r="BB343" s="90" t="n">
        <f aca="false">SUM(P343/2)+E343</f>
        <v>87.8</v>
      </c>
      <c r="BC343" s="90" t="n">
        <f aca="false">SUM(P343/2)+F343</f>
        <v>0</v>
      </c>
    </row>
    <row r="344" customFormat="false" ht="13.15" hidden="false" customHeight="false" outlineLevel="0" collapsed="false">
      <c r="A344" s="0" t="str">
        <f aca="false">[2]Sheet1!A344</f>
        <v>AZTCD1_SEC_EATON DCDB_01_FG07</v>
      </c>
      <c r="B344" s="0" t="str">
        <f aca="false">[2]Sheet1!B344</f>
        <v>AZTCD1&amp;2;DC SYS01</v>
      </c>
      <c r="C344" s="44" t="str">
        <f aca="false">[2]Sheet1!C344</f>
        <v>AZTCD1</v>
      </c>
      <c r="D344" s="44" t="s">
        <v>373</v>
      </c>
      <c r="E344" s="0" t="n">
        <f aca="false">[2]Sheet1!D344</f>
        <v>200</v>
      </c>
      <c r="F344" s="0" t="n">
        <f aca="false">[2]Sheet1!E344</f>
        <v>200</v>
      </c>
      <c r="G344" s="45" t="n">
        <f aca="false">[2]Sheet1!F344</f>
        <v>44041</v>
      </c>
      <c r="H344" s="0" t="n">
        <f aca="false">[2]Sheet1!G344</f>
        <v>300</v>
      </c>
      <c r="I344" s="0" t="n">
        <f aca="false">[2]Sheet1!H344</f>
        <v>300</v>
      </c>
      <c r="J344" s="0" t="n">
        <f aca="false">[2]Sheet1!I344</f>
        <v>0</v>
      </c>
      <c r="K344" s="0" t="n">
        <f aca="false">[2]Sheet1!J344</f>
        <v>0</v>
      </c>
      <c r="L344" s="0" t="n">
        <f aca="false">[2]Sheet1!K344</f>
        <v>4</v>
      </c>
      <c r="M344" s="0" t="n">
        <f aca="false">[2]Sheet1!L344</f>
        <v>3</v>
      </c>
      <c r="N344" s="0" t="n">
        <f aca="false">[2]Sheet1!M344</f>
        <v>0</v>
      </c>
      <c r="O344" s="0" t="n">
        <f aca="false">[2]Sheet1!N344</f>
        <v>28</v>
      </c>
      <c r="P344" s="226" t="n">
        <f aca="false">SUM(AY344+BA344)</f>
        <v>177.083333333333</v>
      </c>
      <c r="Q344" s="170" t="s">
        <v>968</v>
      </c>
      <c r="R344" s="234" t="n">
        <v>0.5</v>
      </c>
      <c r="S344" s="170" t="s">
        <v>967</v>
      </c>
      <c r="T344" s="234" t="n">
        <v>5</v>
      </c>
      <c r="U344" s="204" t="s">
        <v>969</v>
      </c>
      <c r="V344" s="221" t="n">
        <v>2</v>
      </c>
      <c r="W344" s="179" t="s">
        <v>971</v>
      </c>
      <c r="X344" s="233" t="n">
        <v>1</v>
      </c>
      <c r="Y344" s="201"/>
      <c r="Z344" s="71"/>
      <c r="AA344" s="227"/>
      <c r="AB344" s="71"/>
      <c r="AC344" s="201"/>
      <c r="AD344" s="71"/>
      <c r="AE344" s="227"/>
      <c r="AF344" s="71"/>
      <c r="AG344" s="201"/>
      <c r="AH344" s="71"/>
      <c r="AI344" s="227"/>
      <c r="AJ344" s="71"/>
      <c r="AK344" s="201"/>
      <c r="AL344" s="71"/>
      <c r="AM344" s="227"/>
      <c r="AN344" s="71"/>
      <c r="AO344" s="201"/>
      <c r="AP344" s="71"/>
      <c r="AQ344" s="227"/>
      <c r="AR344" s="71"/>
      <c r="AS344" s="227"/>
      <c r="AT344" s="228"/>
      <c r="AU344" s="227"/>
      <c r="AV344" s="228"/>
      <c r="AW344" s="227"/>
      <c r="AX344" s="229" t="n">
        <f aca="false">SUM(R344+T344+V344+X344+Z344+AB344+AD344+AF344+AH344+AJ344+AL344+AN344+AP344+AR344)</f>
        <v>8.5</v>
      </c>
      <c r="AY344" s="230" t="n">
        <f aca="false">SUM(AX344*1000)/48</f>
        <v>177.083333333333</v>
      </c>
      <c r="AZ344" s="231" t="n">
        <f aca="false">IFERROR(VLOOKUP(A344,'Site check'!$A$14:$O$47,15,0),0)</f>
        <v>0</v>
      </c>
      <c r="BA344" s="232" t="n">
        <f aca="false">SUM(AZ344*1000)/48</f>
        <v>0</v>
      </c>
      <c r="BB344" s="90" t="n">
        <f aca="false">SUM(P344/2)+E344</f>
        <v>288.541666666667</v>
      </c>
      <c r="BC344" s="90" t="n">
        <f aca="false">SUM(P344/2)+F344</f>
        <v>288.541666666667</v>
      </c>
    </row>
    <row r="345" customFormat="false" ht="13.15" hidden="false" customHeight="false" outlineLevel="0" collapsed="false">
      <c r="A345" s="0" t="str">
        <f aca="false">[2]Sheet1!A345</f>
        <v>AZTCD2_SEC_DD770_TU11</v>
      </c>
      <c r="B345" s="0" t="str">
        <f aca="false">[2]Sheet1!B345</f>
        <v>AZTCD1&amp;2;DC SYS01</v>
      </c>
      <c r="C345" s="44" t="str">
        <f aca="false">[2]Sheet1!C345</f>
        <v>AZTCD2</v>
      </c>
      <c r="D345" s="44" t="s">
        <v>856</v>
      </c>
      <c r="E345" s="0" t="n">
        <f aca="false">[2]Sheet1!D345</f>
        <v>89</v>
      </c>
      <c r="F345" s="0" t="n">
        <f aca="false">[2]Sheet1!E345</f>
        <v>78</v>
      </c>
      <c r="G345" s="45" t="n">
        <f aca="false">[2]Sheet1!F345</f>
        <v>44977</v>
      </c>
      <c r="H345" s="0" t="n">
        <f aca="false">[2]Sheet1!G345</f>
        <v>300</v>
      </c>
      <c r="I345" s="0" t="n">
        <f aca="false">[2]Sheet1!H345</f>
        <v>300</v>
      </c>
      <c r="J345" s="0" t="n">
        <f aca="false">[2]Sheet1!I345</f>
        <v>4</v>
      </c>
      <c r="K345" s="0" t="n">
        <f aca="false">[2]Sheet1!J345</f>
        <v>1</v>
      </c>
      <c r="L345" s="0" t="n">
        <f aca="false">[2]Sheet1!K345</f>
        <v>1</v>
      </c>
      <c r="M345" s="0" t="n">
        <f aca="false">[2]Sheet1!L345</f>
        <v>12</v>
      </c>
      <c r="N345" s="0" t="n">
        <f aca="false">[2]Sheet1!M345</f>
        <v>11</v>
      </c>
      <c r="O345" s="0" t="n">
        <f aca="false">[2]Sheet1!N345</f>
        <v>0</v>
      </c>
      <c r="P345" s="226" t="n">
        <f aca="false">SUM(AY345+BA345)</f>
        <v>20.8333333333333</v>
      </c>
      <c r="Q345" s="201"/>
      <c r="R345" s="71"/>
      <c r="S345" s="227"/>
      <c r="T345" s="71"/>
      <c r="U345" s="204" t="s">
        <v>1527</v>
      </c>
      <c r="V345" s="221" t="n">
        <v>1</v>
      </c>
      <c r="W345" s="227"/>
      <c r="X345" s="71"/>
      <c r="Y345" s="201"/>
      <c r="Z345" s="71"/>
      <c r="AA345" s="227"/>
      <c r="AB345" s="71"/>
      <c r="AC345" s="201"/>
      <c r="AD345" s="71"/>
      <c r="AE345" s="227"/>
      <c r="AF345" s="71"/>
      <c r="AG345" s="201"/>
      <c r="AH345" s="71"/>
      <c r="AI345" s="227"/>
      <c r="AJ345" s="71"/>
      <c r="AK345" s="201"/>
      <c r="AL345" s="71"/>
      <c r="AM345" s="227"/>
      <c r="AN345" s="71"/>
      <c r="AO345" s="201"/>
      <c r="AP345" s="71"/>
      <c r="AQ345" s="227"/>
      <c r="AR345" s="71"/>
      <c r="AS345" s="227"/>
      <c r="AT345" s="228"/>
      <c r="AU345" s="227"/>
      <c r="AV345" s="228"/>
      <c r="AW345" s="227"/>
      <c r="AX345" s="229" t="n">
        <f aca="false">SUM(R345+T345+V345+X345+Z345+AB345+AD345+AF345+AH345+AJ345+AL345+AN345+AP345+AR345)</f>
        <v>1</v>
      </c>
      <c r="AY345" s="230" t="n">
        <f aca="false">SUM(AX345*1000)/48</f>
        <v>20.8333333333333</v>
      </c>
      <c r="AZ345" s="231" t="n">
        <f aca="false">IFERROR(VLOOKUP(A345,'Site check'!$A$14:$O$47,15,0),0)</f>
        <v>0</v>
      </c>
      <c r="BA345" s="232" t="n">
        <f aca="false">SUM(AZ345*1000)/48</f>
        <v>0</v>
      </c>
      <c r="BB345" s="90" t="n">
        <f aca="false">SUM(P345/2)+E345</f>
        <v>99.4166666666667</v>
      </c>
      <c r="BC345" s="90" t="n">
        <f aca="false">SUM(P345/2)+F345</f>
        <v>88.4166666666667</v>
      </c>
    </row>
    <row r="346" customFormat="false" ht="13.15" hidden="false" customHeight="false" outlineLevel="0" collapsed="false">
      <c r="A346" s="0" t="str">
        <f aca="false">[2]Sheet1!A346</f>
        <v>AZTCD2_SEC_DD770_Q1</v>
      </c>
      <c r="B346" s="0" t="str">
        <f aca="false">[2]Sheet1!B346</f>
        <v>AZTCD1&amp;2;DC SYS01</v>
      </c>
      <c r="C346" s="44" t="str">
        <f aca="false">[2]Sheet1!C346</f>
        <v>AZTCD2</v>
      </c>
      <c r="D346" s="44" t="s">
        <v>856</v>
      </c>
      <c r="E346" s="0" t="n">
        <f aca="false">[2]Sheet1!D346</f>
        <v>126</v>
      </c>
      <c r="F346" s="0" t="n">
        <f aca="false">[2]Sheet1!E346</f>
        <v>122</v>
      </c>
      <c r="G346" s="45" t="n">
        <f aca="false">[2]Sheet1!F346</f>
        <v>44977</v>
      </c>
      <c r="H346" s="0" t="n">
        <f aca="false">[2]Sheet1!G346</f>
        <v>300</v>
      </c>
      <c r="I346" s="0" t="n">
        <f aca="false">[2]Sheet1!H346</f>
        <v>300</v>
      </c>
      <c r="J346" s="0" t="n">
        <f aca="false">[2]Sheet1!I346</f>
        <v>4</v>
      </c>
      <c r="K346" s="0" t="n">
        <f aca="false">[2]Sheet1!J346</f>
        <v>5</v>
      </c>
      <c r="L346" s="0" t="n">
        <f aca="false">[2]Sheet1!K346</f>
        <v>0</v>
      </c>
      <c r="M346" s="0" t="n">
        <f aca="false">[2]Sheet1!L346</f>
        <v>7</v>
      </c>
      <c r="N346" s="0" t="n">
        <f aca="false">[2]Sheet1!M346</f>
        <v>10</v>
      </c>
      <c r="O346" s="0" t="n">
        <f aca="false">[2]Sheet1!N346</f>
        <v>0</v>
      </c>
      <c r="P346" s="226" t="n">
        <f aca="false">SUM(AY346+BA346)</f>
        <v>0</v>
      </c>
      <c r="Q346" s="201"/>
      <c r="R346" s="71"/>
      <c r="S346" s="227"/>
      <c r="T346" s="71"/>
      <c r="U346" s="201"/>
      <c r="V346" s="71"/>
      <c r="W346" s="227"/>
      <c r="X346" s="71"/>
      <c r="Y346" s="201"/>
      <c r="Z346" s="71"/>
      <c r="AA346" s="227"/>
      <c r="AB346" s="71"/>
      <c r="AC346" s="201"/>
      <c r="AD346" s="71"/>
      <c r="AE346" s="227"/>
      <c r="AF346" s="71"/>
      <c r="AG346" s="201"/>
      <c r="AH346" s="71"/>
      <c r="AI346" s="227"/>
      <c r="AJ346" s="71"/>
      <c r="AK346" s="201"/>
      <c r="AL346" s="71"/>
      <c r="AM346" s="227"/>
      <c r="AN346" s="71"/>
      <c r="AO346" s="201"/>
      <c r="AP346" s="71"/>
      <c r="AQ346" s="227"/>
      <c r="AR346" s="71"/>
      <c r="AS346" s="227"/>
      <c r="AT346" s="228"/>
      <c r="AU346" s="227"/>
      <c r="AV346" s="228"/>
      <c r="AW346" s="227"/>
      <c r="AX346" s="229" t="n">
        <f aca="false">SUM(R346+T346+V346+X346+Z346+AB346+AD346+AF346+AH346+AJ346+AL346+AN346+AP346+AR346)</f>
        <v>0</v>
      </c>
      <c r="AY346" s="230" t="n">
        <f aca="false">SUM(AX346*1000)/48</f>
        <v>0</v>
      </c>
      <c r="AZ346" s="231" t="n">
        <f aca="false">IFERROR(VLOOKUP(A346,'Site check'!$A$14:$O$47,15,0),0)</f>
        <v>0</v>
      </c>
      <c r="BA346" s="232" t="n">
        <f aca="false">SUM(AZ346*1000)/48</f>
        <v>0</v>
      </c>
      <c r="BB346" s="90" t="n">
        <f aca="false">SUM(P346/2)+E346</f>
        <v>126</v>
      </c>
      <c r="BC346" s="90" t="n">
        <f aca="false">SUM(P346/2)+F346</f>
        <v>122</v>
      </c>
    </row>
    <row r="347" customFormat="false" ht="13.15" hidden="false" customHeight="false" outlineLevel="0" collapsed="false">
      <c r="A347" s="0" t="str">
        <f aca="false">[2]Sheet1!A347</f>
        <v>BTLCD1_SYS_H &amp; S Control cubical - ignore line</v>
      </c>
      <c r="B347" s="0" t="str">
        <f aca="false">[2]Sheet1!B347</f>
        <v>BTLCD1;DC SYS01</v>
      </c>
      <c r="C347" s="44" t="str">
        <f aca="false">[2]Sheet1!C347</f>
        <v>BTLCD1</v>
      </c>
      <c r="D347" s="44" t="s">
        <v>463</v>
      </c>
      <c r="E347" s="0" t="n">
        <f aca="false">[2]Sheet1!D347</f>
        <v>0</v>
      </c>
      <c r="F347" s="0" t="n">
        <f aca="false">[2]Sheet1!E347</f>
        <v>0</v>
      </c>
      <c r="G347" s="45" t="n">
        <f aca="false">[2]Sheet1!F347</f>
        <v>0</v>
      </c>
      <c r="H347" s="0" t="n">
        <f aca="false">[2]Sheet1!G347</f>
        <v>300</v>
      </c>
      <c r="I347" s="0" t="n">
        <f aca="false">[2]Sheet1!H347</f>
        <v>300</v>
      </c>
      <c r="J347" s="0" t="n">
        <f aca="false">[2]Sheet1!I347</f>
        <v>0</v>
      </c>
      <c r="K347" s="0" t="n">
        <f aca="false">[2]Sheet1!J347</f>
        <v>4</v>
      </c>
      <c r="L347" s="0" t="n">
        <f aca="false">[2]Sheet1!K347</f>
        <v>0</v>
      </c>
      <c r="M347" s="0" t="n">
        <f aca="false">[2]Sheet1!L347</f>
        <v>0</v>
      </c>
      <c r="N347" s="0" t="n">
        <f aca="false">[2]Sheet1!M347</f>
        <v>0</v>
      </c>
      <c r="O347" s="0" t="n">
        <f aca="false">[2]Sheet1!N347</f>
        <v>0</v>
      </c>
      <c r="P347" s="226" t="n">
        <f aca="false">SUM(AY347+BA347)</f>
        <v>0</v>
      </c>
      <c r="Q347" s="201"/>
      <c r="R347" s="71"/>
      <c r="S347" s="227"/>
      <c r="T347" s="71"/>
      <c r="U347" s="201"/>
      <c r="V347" s="71"/>
      <c r="W347" s="227"/>
      <c r="X347" s="71"/>
      <c r="Y347" s="201"/>
      <c r="Z347" s="71"/>
      <c r="AA347" s="227"/>
      <c r="AB347" s="71"/>
      <c r="AC347" s="201"/>
      <c r="AD347" s="71"/>
      <c r="AE347" s="227"/>
      <c r="AF347" s="71"/>
      <c r="AG347" s="201"/>
      <c r="AH347" s="71"/>
      <c r="AI347" s="227"/>
      <c r="AJ347" s="71"/>
      <c r="AK347" s="201"/>
      <c r="AL347" s="71"/>
      <c r="AM347" s="227"/>
      <c r="AN347" s="71"/>
      <c r="AO347" s="201"/>
      <c r="AP347" s="71"/>
      <c r="AQ347" s="227"/>
      <c r="AR347" s="71"/>
      <c r="AS347" s="227"/>
      <c r="AT347" s="228"/>
      <c r="AU347" s="227"/>
      <c r="AV347" s="228"/>
      <c r="AW347" s="227"/>
      <c r="AX347" s="229" t="n">
        <f aca="false">SUM(R347+T347+V347+X347+Z347+AB347+AD347+AF347+AH347+AJ347+AL347+AN347+AP347+AR347)</f>
        <v>0</v>
      </c>
      <c r="AY347" s="230" t="n">
        <f aca="false">SUM(AX347*1000)/48</f>
        <v>0</v>
      </c>
      <c r="AZ347" s="231" t="n">
        <f aca="false">IFERROR(VLOOKUP(A347,'Site check'!$A$14:$O$47,15,0),0)</f>
        <v>0</v>
      </c>
      <c r="BA347" s="232" t="n">
        <f aca="false">SUM(AZ347*1000)/48</f>
        <v>0</v>
      </c>
      <c r="BB347" s="90" t="n">
        <f aca="false">SUM(P347/2)+E347</f>
        <v>0</v>
      </c>
      <c r="BC347" s="90" t="n">
        <f aca="false">SUM(P347/2)+F347</f>
        <v>0</v>
      </c>
    </row>
    <row r="348" customFormat="false" ht="13.15" hidden="false" customHeight="false" outlineLevel="0" collapsed="false">
      <c r="A348" s="0" t="str">
        <f aca="false">[2]Sheet1!A348</f>
        <v>BTLCD1 EOS Z</v>
      </c>
      <c r="B348" s="0" t="str">
        <f aca="false">[2]Sheet1!B348</f>
        <v>BTLCD1;DC SYS01</v>
      </c>
      <c r="C348" s="44" t="str">
        <f aca="false">[2]Sheet1!C348</f>
        <v>BTLCD1</v>
      </c>
      <c r="D348" s="44" t="s">
        <v>463</v>
      </c>
      <c r="E348" s="0" t="n">
        <f aca="false">[2]Sheet1!D348</f>
        <v>0</v>
      </c>
      <c r="F348" s="0" t="n">
        <f aca="false">[2]Sheet1!E348</f>
        <v>0</v>
      </c>
      <c r="G348" s="45" t="n">
        <f aca="false">[2]Sheet1!F348</f>
        <v>44977</v>
      </c>
      <c r="H348" s="0" t="n">
        <f aca="false">[2]Sheet1!G348</f>
        <v>80</v>
      </c>
      <c r="I348" s="0" t="n">
        <f aca="false">[2]Sheet1!H348</f>
        <v>80</v>
      </c>
      <c r="J348" s="0" t="n">
        <f aca="false">[2]Sheet1!I348</f>
        <v>0</v>
      </c>
      <c r="K348" s="0" t="n">
        <f aca="false">[2]Sheet1!J348</f>
        <v>0</v>
      </c>
      <c r="L348" s="0" t="n">
        <f aca="false">[2]Sheet1!K348</f>
        <v>0</v>
      </c>
      <c r="M348" s="0" t="n">
        <f aca="false">[2]Sheet1!L348</f>
        <v>0</v>
      </c>
      <c r="N348" s="0" t="n">
        <f aca="false">[2]Sheet1!M348</f>
        <v>0</v>
      </c>
      <c r="O348" s="0" t="n">
        <f aca="false">[2]Sheet1!N348</f>
        <v>0</v>
      </c>
      <c r="P348" s="226" t="n">
        <f aca="false">SUM(AY348+BA348)</f>
        <v>0</v>
      </c>
      <c r="Q348" s="201"/>
      <c r="R348" s="71"/>
      <c r="S348" s="227"/>
      <c r="T348" s="71"/>
      <c r="U348" s="201"/>
      <c r="V348" s="71"/>
      <c r="W348" s="227"/>
      <c r="X348" s="71"/>
      <c r="Y348" s="201"/>
      <c r="Z348" s="71"/>
      <c r="AA348" s="227"/>
      <c r="AB348" s="71"/>
      <c r="AC348" s="201"/>
      <c r="AD348" s="71"/>
      <c r="AE348" s="227"/>
      <c r="AF348" s="71"/>
      <c r="AG348" s="201"/>
      <c r="AH348" s="71"/>
      <c r="AI348" s="227"/>
      <c r="AJ348" s="71"/>
      <c r="AK348" s="201"/>
      <c r="AL348" s="71"/>
      <c r="AM348" s="227"/>
      <c r="AN348" s="71"/>
      <c r="AO348" s="201"/>
      <c r="AP348" s="71"/>
      <c r="AQ348" s="227"/>
      <c r="AR348" s="71"/>
      <c r="AS348" s="227"/>
      <c r="AT348" s="228"/>
      <c r="AU348" s="227"/>
      <c r="AV348" s="228"/>
      <c r="AW348" s="227"/>
      <c r="AX348" s="229" t="n">
        <f aca="false">SUM(R348+T348+V348+X348+Z348+AB348+AD348+AF348+AH348+AJ348+AL348+AN348+AP348+AR348)</f>
        <v>0</v>
      </c>
      <c r="AY348" s="230" t="n">
        <f aca="false">SUM(AX348*1000)/48</f>
        <v>0</v>
      </c>
      <c r="AZ348" s="231" t="n">
        <f aca="false">IFERROR(VLOOKUP(A348,'Site check'!$A$14:$O$47,15,0),0)</f>
        <v>0</v>
      </c>
      <c r="BA348" s="232" t="n">
        <f aca="false">SUM(AZ348*1000)/48</f>
        <v>0</v>
      </c>
      <c r="BB348" s="90" t="n">
        <f aca="false">SUM(P348/2)+E348</f>
        <v>0</v>
      </c>
      <c r="BC348" s="90" t="n">
        <f aca="false">SUM(P348/2)+F348</f>
        <v>0</v>
      </c>
    </row>
    <row r="349" customFormat="false" ht="13.15" hidden="false" customHeight="false" outlineLevel="0" collapsed="false">
      <c r="A349" s="0" t="str">
        <f aca="false">[2]Sheet1!A349</f>
        <v>BTLCD1_SEC_DCDB 2_Trident room - Ignore line</v>
      </c>
      <c r="B349" s="0" t="str">
        <f aca="false">[2]Sheet1!B349</f>
        <v>BTLCD1;DC SYS01</v>
      </c>
      <c r="C349" s="44" t="str">
        <f aca="false">[2]Sheet1!C349</f>
        <v>BTLCD1</v>
      </c>
      <c r="D349" s="44" t="s">
        <v>463</v>
      </c>
      <c r="E349" s="0" t="n">
        <f aca="false">[2]Sheet1!D349</f>
        <v>0</v>
      </c>
      <c r="F349" s="0" t="n">
        <f aca="false">[2]Sheet1!E349</f>
        <v>0</v>
      </c>
      <c r="G349" s="45" t="n">
        <f aca="false">[2]Sheet1!F349</f>
        <v>0</v>
      </c>
      <c r="H349" s="0" t="n">
        <f aca="false">[2]Sheet1!G349</f>
        <v>300</v>
      </c>
      <c r="I349" s="0" t="n">
        <f aca="false">[2]Sheet1!H349</f>
        <v>300</v>
      </c>
      <c r="J349" s="0" t="n">
        <f aca="false">[2]Sheet1!I349</f>
        <v>0</v>
      </c>
      <c r="K349" s="0" t="n">
        <f aca="false">[2]Sheet1!J349</f>
        <v>0</v>
      </c>
      <c r="L349" s="0" t="n">
        <f aca="false">[2]Sheet1!K349</f>
        <v>0</v>
      </c>
      <c r="M349" s="0" t="n">
        <f aca="false">[2]Sheet1!L349</f>
        <v>0</v>
      </c>
      <c r="N349" s="0" t="n">
        <f aca="false">[2]Sheet1!M349</f>
        <v>0</v>
      </c>
      <c r="O349" s="0" t="n">
        <f aca="false">[2]Sheet1!N349</f>
        <v>0</v>
      </c>
      <c r="P349" s="226" t="n">
        <f aca="false">SUM(AY349+BA349)</f>
        <v>0</v>
      </c>
      <c r="Q349" s="201"/>
      <c r="R349" s="71"/>
      <c r="S349" s="227"/>
      <c r="T349" s="71"/>
      <c r="U349" s="201"/>
      <c r="V349" s="71"/>
      <c r="W349" s="227"/>
      <c r="X349" s="71"/>
      <c r="Y349" s="201"/>
      <c r="Z349" s="71"/>
      <c r="AA349" s="227"/>
      <c r="AB349" s="71"/>
      <c r="AC349" s="201"/>
      <c r="AD349" s="71"/>
      <c r="AE349" s="227"/>
      <c r="AF349" s="71"/>
      <c r="AG349" s="201"/>
      <c r="AH349" s="71"/>
      <c r="AI349" s="227"/>
      <c r="AJ349" s="71"/>
      <c r="AK349" s="201"/>
      <c r="AL349" s="71"/>
      <c r="AM349" s="227"/>
      <c r="AN349" s="71"/>
      <c r="AO349" s="201"/>
      <c r="AP349" s="71"/>
      <c r="AQ349" s="227"/>
      <c r="AR349" s="71"/>
      <c r="AS349" s="227"/>
      <c r="AT349" s="228"/>
      <c r="AU349" s="227"/>
      <c r="AV349" s="228"/>
      <c r="AW349" s="227"/>
      <c r="AX349" s="229" t="n">
        <f aca="false">SUM(R349+T349+V349+X349+Z349+AB349+AD349+AF349+AH349+AJ349+AL349+AN349+AP349+AR349)</f>
        <v>0</v>
      </c>
      <c r="AY349" s="230" t="n">
        <f aca="false">SUM(AX349*1000)/48</f>
        <v>0</v>
      </c>
      <c r="AZ349" s="231" t="n">
        <f aca="false">IFERROR(VLOOKUP(A349,'Site check'!$A$14:$O$47,15,0),0)</f>
        <v>0</v>
      </c>
      <c r="BA349" s="232" t="n">
        <f aca="false">SUM(AZ349*1000)/48</f>
        <v>0</v>
      </c>
      <c r="BB349" s="90" t="n">
        <f aca="false">SUM(P349/2)+E349</f>
        <v>0</v>
      </c>
      <c r="BC349" s="90" t="n">
        <f aca="false">SUM(P349/2)+F349</f>
        <v>0</v>
      </c>
    </row>
    <row r="350" customFormat="false" ht="13.15" hidden="false" customHeight="false" outlineLevel="0" collapsed="false">
      <c r="A350" s="0" t="str">
        <f aca="false">[2]Sheet1!A350</f>
        <v>BTLCD1_SEC_DCDB_B</v>
      </c>
      <c r="B350" s="0" t="str">
        <f aca="false">[2]Sheet1!B350</f>
        <v>BTLCD1;DC SYS01</v>
      </c>
      <c r="C350" s="44" t="str">
        <f aca="false">[2]Sheet1!C350</f>
        <v>BTLCD1</v>
      </c>
      <c r="D350" s="44" t="s">
        <v>463</v>
      </c>
      <c r="E350" s="0" t="n">
        <f aca="false">[2]Sheet1!D350</f>
        <v>110</v>
      </c>
      <c r="F350" s="0" t="n">
        <f aca="false">[2]Sheet1!E350</f>
        <v>100</v>
      </c>
      <c r="G350" s="45" t="n">
        <f aca="false">[2]Sheet1!F350</f>
        <v>44978</v>
      </c>
      <c r="H350" s="0" t="n">
        <f aca="false">[2]Sheet1!G350</f>
        <v>300</v>
      </c>
      <c r="I350" s="0" t="n">
        <f aca="false">[2]Sheet1!H350</f>
        <v>300</v>
      </c>
      <c r="J350" s="0" t="n">
        <f aca="false">[2]Sheet1!I350</f>
        <v>0</v>
      </c>
      <c r="K350" s="0" t="n">
        <f aca="false">[2]Sheet1!J350</f>
        <v>1</v>
      </c>
      <c r="L350" s="0" t="n">
        <f aca="false">[2]Sheet1!K350</f>
        <v>0</v>
      </c>
      <c r="M350" s="0" t="n">
        <f aca="false">[2]Sheet1!L350</f>
        <v>0</v>
      </c>
      <c r="N350" s="0" t="n">
        <f aca="false">[2]Sheet1!M350</f>
        <v>1</v>
      </c>
      <c r="O350" s="0" t="n">
        <f aca="false">[2]Sheet1!N350</f>
        <v>0</v>
      </c>
      <c r="P350" s="226" t="n">
        <f aca="false">SUM(AY350+BA350)</f>
        <v>5.20833333333333</v>
      </c>
      <c r="Q350" s="170" t="s">
        <v>1084</v>
      </c>
      <c r="R350" s="234" t="n">
        <v>0.25</v>
      </c>
      <c r="S350" s="227"/>
      <c r="T350" s="71"/>
      <c r="U350" s="201"/>
      <c r="V350" s="71"/>
      <c r="W350" s="227"/>
      <c r="X350" s="71"/>
      <c r="Y350" s="201"/>
      <c r="Z350" s="71"/>
      <c r="AA350" s="227"/>
      <c r="AB350" s="71"/>
      <c r="AC350" s="201"/>
      <c r="AD350" s="71"/>
      <c r="AE350" s="227"/>
      <c r="AF350" s="71"/>
      <c r="AG350" s="201"/>
      <c r="AH350" s="71"/>
      <c r="AI350" s="227"/>
      <c r="AJ350" s="71"/>
      <c r="AK350" s="201"/>
      <c r="AL350" s="71"/>
      <c r="AM350" s="227"/>
      <c r="AN350" s="71"/>
      <c r="AO350" s="201"/>
      <c r="AP350" s="71"/>
      <c r="AQ350" s="227"/>
      <c r="AR350" s="71"/>
      <c r="AS350" s="227"/>
      <c r="AT350" s="228"/>
      <c r="AU350" s="227"/>
      <c r="AV350" s="228"/>
      <c r="AW350" s="227"/>
      <c r="AX350" s="229" t="n">
        <f aca="false">SUM(R350+T350+V350+X350+Z350+AB350+AD350+AF350+AH350+AJ350+AL350+AN350+AP350+AR350)</f>
        <v>0.25</v>
      </c>
      <c r="AY350" s="230" t="n">
        <f aca="false">SUM(AX350*1000)/48</f>
        <v>5.20833333333333</v>
      </c>
      <c r="AZ350" s="231" t="n">
        <f aca="false">IFERROR(VLOOKUP(A350,'Site check'!$A$14:$O$47,15,0),0)</f>
        <v>0</v>
      </c>
      <c r="BA350" s="232" t="n">
        <f aca="false">SUM(AZ350*1000)/48</f>
        <v>0</v>
      </c>
      <c r="BB350" s="90" t="n">
        <f aca="false">SUM(P350/2)+E350</f>
        <v>112.604166666667</v>
      </c>
      <c r="BC350" s="90" t="n">
        <f aca="false">SUM(P350/2)+F350</f>
        <v>102.604166666667</v>
      </c>
    </row>
    <row r="351" customFormat="false" ht="13.15" hidden="false" customHeight="false" outlineLevel="0" collapsed="false">
      <c r="A351" s="0" t="str">
        <f aca="false">[2]Sheet1!A351</f>
        <v>BTLCD1_SEC_DD770_BB1</v>
      </c>
      <c r="B351" s="0" t="str">
        <f aca="false">[2]Sheet1!B351</f>
        <v>BTLCD1;DC SYS01</v>
      </c>
      <c r="C351" s="44" t="str">
        <f aca="false">[2]Sheet1!C351</f>
        <v>BTLCD1</v>
      </c>
      <c r="D351" s="44" t="s">
        <v>463</v>
      </c>
      <c r="E351" s="0" t="n">
        <f aca="false">[2]Sheet1!D351</f>
        <v>20</v>
      </c>
      <c r="F351" s="0" t="n">
        <f aca="false">[2]Sheet1!E351</f>
        <v>20</v>
      </c>
      <c r="G351" s="45" t="n">
        <f aca="false">[2]Sheet1!F351</f>
        <v>44978</v>
      </c>
      <c r="H351" s="0" t="n">
        <f aca="false">[2]Sheet1!G351</f>
        <v>300</v>
      </c>
      <c r="I351" s="0" t="n">
        <f aca="false">[2]Sheet1!H351</f>
        <v>300</v>
      </c>
      <c r="J351" s="0" t="n">
        <f aca="false">[2]Sheet1!I351</f>
        <v>5</v>
      </c>
      <c r="K351" s="0" t="n">
        <f aca="false">[2]Sheet1!J351</f>
        <v>4</v>
      </c>
      <c r="L351" s="0" t="n">
        <f aca="false">[2]Sheet1!K351</f>
        <v>0</v>
      </c>
      <c r="M351" s="0" t="n">
        <f aca="false">[2]Sheet1!L351</f>
        <v>23</v>
      </c>
      <c r="N351" s="0" t="n">
        <f aca="false">[2]Sheet1!M351</f>
        <v>5</v>
      </c>
      <c r="O351" s="0" t="n">
        <f aca="false">[2]Sheet1!N351</f>
        <v>0</v>
      </c>
      <c r="P351" s="226" t="n">
        <f aca="false">SUM(AY351+BA351)</f>
        <v>0</v>
      </c>
      <c r="Q351" s="201"/>
      <c r="R351" s="71"/>
      <c r="S351" s="227"/>
      <c r="T351" s="71"/>
      <c r="U351" s="201"/>
      <c r="V351" s="71"/>
      <c r="W351" s="227"/>
      <c r="X351" s="71"/>
      <c r="Y351" s="201"/>
      <c r="Z351" s="71"/>
      <c r="AA351" s="227"/>
      <c r="AB351" s="71"/>
      <c r="AC351" s="201"/>
      <c r="AD351" s="71"/>
      <c r="AE351" s="227"/>
      <c r="AF351" s="71"/>
      <c r="AG351" s="201"/>
      <c r="AH351" s="71"/>
      <c r="AI351" s="227"/>
      <c r="AJ351" s="71"/>
      <c r="AK351" s="201"/>
      <c r="AL351" s="71"/>
      <c r="AM351" s="227"/>
      <c r="AN351" s="71"/>
      <c r="AO351" s="201"/>
      <c r="AP351" s="71"/>
      <c r="AQ351" s="227"/>
      <c r="AR351" s="71"/>
      <c r="AS351" s="227"/>
      <c r="AT351" s="228"/>
      <c r="AU351" s="227"/>
      <c r="AV351" s="228"/>
      <c r="AW351" s="227"/>
      <c r="AX351" s="229" t="n">
        <f aca="false">SUM(R351+T351+V351+X351+Z351+AB351+AD351+AF351+AH351+AJ351+AL351+AN351+AP351+AR351)</f>
        <v>0</v>
      </c>
      <c r="AY351" s="230" t="n">
        <f aca="false">SUM(AX351*1000)/48</f>
        <v>0</v>
      </c>
      <c r="AZ351" s="231" t="n">
        <f aca="false">IFERROR(VLOOKUP(A351,'Site check'!$A$14:$O$47,15,0),0)</f>
        <v>0</v>
      </c>
      <c r="BA351" s="232" t="n">
        <f aca="false">SUM(AZ351*1000)/48</f>
        <v>0</v>
      </c>
      <c r="BB351" s="90" t="n">
        <f aca="false">SUM(P351/2)+E351</f>
        <v>20</v>
      </c>
      <c r="BC351" s="90" t="n">
        <f aca="false">SUM(P351/2)+F351</f>
        <v>20</v>
      </c>
    </row>
    <row r="352" customFormat="false" ht="13.15" hidden="false" customHeight="false" outlineLevel="0" collapsed="false">
      <c r="A352" s="0" t="str">
        <f aca="false">[2]Sheet1!A352</f>
        <v>BTLCD1_SYS _N2K DCDB</v>
      </c>
      <c r="B352" s="0" t="str">
        <f aca="false">[2]Sheet1!B352</f>
        <v>BTLCD1;DC SYS01</v>
      </c>
      <c r="C352" s="44" t="str">
        <f aca="false">[2]Sheet1!C352</f>
        <v>BTLCD1</v>
      </c>
      <c r="D352" s="44" t="s">
        <v>463</v>
      </c>
      <c r="E352" s="0" t="str">
        <f aca="false">[2]Sheet1!D352</f>
        <v>NA</v>
      </c>
      <c r="F352" s="0" t="str">
        <f aca="false">[2]Sheet1!E352</f>
        <v>N/A</v>
      </c>
      <c r="G352" s="45" t="n">
        <f aca="false">[2]Sheet1!F352</f>
        <v>44978</v>
      </c>
      <c r="H352" s="0" t="n">
        <f aca="false">[2]Sheet1!G352</f>
        <v>100</v>
      </c>
      <c r="I352" s="0" t="n">
        <f aca="false">[2]Sheet1!H352</f>
        <v>0</v>
      </c>
      <c r="J352" s="0" t="n">
        <f aca="false">[2]Sheet1!I352</f>
        <v>0</v>
      </c>
      <c r="K352" s="0" t="n">
        <f aca="false">[2]Sheet1!J352</f>
        <v>0</v>
      </c>
      <c r="L352" s="0" t="n">
        <f aca="false">[2]Sheet1!K352</f>
        <v>0</v>
      </c>
      <c r="M352" s="0" t="n">
        <f aca="false">[2]Sheet1!L352</f>
        <v>0</v>
      </c>
      <c r="N352" s="0" t="n">
        <f aca="false">[2]Sheet1!M352</f>
        <v>0</v>
      </c>
      <c r="O352" s="0" t="n">
        <f aca="false">[2]Sheet1!N352</f>
        <v>5</v>
      </c>
      <c r="P352" s="226" t="n">
        <f aca="false">SUM(AY352+BA352)</f>
        <v>0</v>
      </c>
      <c r="Q352" s="201"/>
      <c r="R352" s="71"/>
      <c r="S352" s="227"/>
      <c r="T352" s="71"/>
      <c r="U352" s="201"/>
      <c r="V352" s="71"/>
      <c r="W352" s="227"/>
      <c r="X352" s="71"/>
      <c r="Y352" s="201"/>
      <c r="Z352" s="71"/>
      <c r="AA352" s="227"/>
      <c r="AB352" s="71"/>
      <c r="AC352" s="201"/>
      <c r="AD352" s="71"/>
      <c r="AE352" s="227"/>
      <c r="AF352" s="71"/>
      <c r="AG352" s="201"/>
      <c r="AH352" s="71"/>
      <c r="AI352" s="227"/>
      <c r="AJ352" s="71"/>
      <c r="AK352" s="201"/>
      <c r="AL352" s="71"/>
      <c r="AM352" s="227"/>
      <c r="AN352" s="71"/>
      <c r="AO352" s="201"/>
      <c r="AP352" s="71"/>
      <c r="AQ352" s="227"/>
      <c r="AR352" s="71"/>
      <c r="AS352" s="227"/>
      <c r="AT352" s="228"/>
      <c r="AU352" s="227"/>
      <c r="AV352" s="228"/>
      <c r="AW352" s="227"/>
      <c r="AX352" s="229" t="n">
        <f aca="false">SUM(R352+T352+V352+X352+Z352+AB352+AD352+AF352+AH352+AJ352+AL352+AN352+AP352+AR352)</f>
        <v>0</v>
      </c>
      <c r="AY352" s="230" t="n">
        <f aca="false">SUM(AX352*1000)/48</f>
        <v>0</v>
      </c>
      <c r="AZ352" s="231" t="n">
        <f aca="false">IFERROR(VLOOKUP(A352,'Site check'!$A$14:$O$47,15,0),0)</f>
        <v>0</v>
      </c>
      <c r="BA352" s="232" t="n">
        <f aca="false">SUM(AZ352*1000)/48</f>
        <v>0</v>
      </c>
      <c r="BB352" s="90" t="e">
        <f aca="false">SUM(P352/2)+E352</f>
        <v>#VALUE!</v>
      </c>
      <c r="BC352" s="90" t="e">
        <f aca="false">SUM(P352/2)+F352</f>
        <v>#VALUE!</v>
      </c>
    </row>
    <row r="353" customFormat="false" ht="13.15" hidden="false" customHeight="false" outlineLevel="0" collapsed="false">
      <c r="A353" s="0" t="str">
        <f aca="false">[2]Sheet1!A353</f>
        <v>BTLCD1_SYS 2_H &amp; S_DCDB 2B &amp; 2C - Ignore line</v>
      </c>
      <c r="B353" s="0" t="str">
        <f aca="false">[2]Sheet1!B353</f>
        <v>BTLCD1;DC SYS01</v>
      </c>
      <c r="C353" s="44" t="str">
        <f aca="false">[2]Sheet1!C353</f>
        <v>BTLCD1</v>
      </c>
      <c r="D353" s="44" t="s">
        <v>463</v>
      </c>
      <c r="E353" s="0" t="n">
        <f aca="false">[2]Sheet1!D353</f>
        <v>0</v>
      </c>
      <c r="F353" s="0" t="n">
        <f aca="false">[2]Sheet1!E353</f>
        <v>0</v>
      </c>
      <c r="G353" s="45" t="n">
        <f aca="false">[2]Sheet1!F353</f>
        <v>0</v>
      </c>
      <c r="H353" s="0" t="n">
        <f aca="false">[2]Sheet1!G353</f>
        <v>300</v>
      </c>
      <c r="I353" s="0" t="n">
        <f aca="false">[2]Sheet1!H353</f>
        <v>300</v>
      </c>
      <c r="J353" s="0" t="n">
        <f aca="false">[2]Sheet1!I353</f>
        <v>0</v>
      </c>
      <c r="K353" s="0" t="n">
        <f aca="false">[2]Sheet1!J353</f>
        <v>0</v>
      </c>
      <c r="L353" s="0" t="n">
        <f aca="false">[2]Sheet1!K353</f>
        <v>0</v>
      </c>
      <c r="M353" s="0" t="n">
        <f aca="false">[2]Sheet1!L353</f>
        <v>0</v>
      </c>
      <c r="N353" s="0" t="n">
        <f aca="false">[2]Sheet1!M353</f>
        <v>0</v>
      </c>
      <c r="O353" s="0" t="n">
        <f aca="false">[2]Sheet1!N353</f>
        <v>0</v>
      </c>
      <c r="P353" s="226" t="n">
        <f aca="false">SUM(AY353+BA353)</f>
        <v>0</v>
      </c>
      <c r="Q353" s="201"/>
      <c r="R353" s="71"/>
      <c r="S353" s="227"/>
      <c r="T353" s="71"/>
      <c r="U353" s="201"/>
      <c r="V353" s="71"/>
      <c r="W353" s="227"/>
      <c r="X353" s="71"/>
      <c r="Y353" s="201"/>
      <c r="Z353" s="71"/>
      <c r="AA353" s="227"/>
      <c r="AB353" s="71"/>
      <c r="AC353" s="201"/>
      <c r="AD353" s="71"/>
      <c r="AE353" s="227"/>
      <c r="AF353" s="71"/>
      <c r="AG353" s="201"/>
      <c r="AH353" s="71"/>
      <c r="AI353" s="227"/>
      <c r="AJ353" s="71"/>
      <c r="AK353" s="201"/>
      <c r="AL353" s="71"/>
      <c r="AM353" s="227"/>
      <c r="AN353" s="71"/>
      <c r="AO353" s="201"/>
      <c r="AP353" s="71"/>
      <c r="AQ353" s="227"/>
      <c r="AR353" s="71"/>
      <c r="AS353" s="227"/>
      <c r="AT353" s="228"/>
      <c r="AU353" s="227"/>
      <c r="AV353" s="228"/>
      <c r="AW353" s="227"/>
      <c r="AX353" s="229" t="n">
        <f aca="false">SUM(R353+T353+V353+X353+Z353+AB353+AD353+AF353+AH353+AJ353+AL353+AN353+AP353+AR353)</f>
        <v>0</v>
      </c>
      <c r="AY353" s="230" t="n">
        <f aca="false">SUM(AX353*1000)/48</f>
        <v>0</v>
      </c>
      <c r="AZ353" s="231" t="n">
        <f aca="false">IFERROR(VLOOKUP(A353,'Site check'!$A$14:$O$47,15,0),0)</f>
        <v>0</v>
      </c>
      <c r="BA353" s="232" t="n">
        <f aca="false">SUM(AZ353*1000)/48</f>
        <v>0</v>
      </c>
      <c r="BB353" s="90" t="n">
        <f aca="false">SUM(P353/2)+E353</f>
        <v>0</v>
      </c>
      <c r="BC353" s="90" t="n">
        <f aca="false">SUM(P353/2)+F353</f>
        <v>0</v>
      </c>
    </row>
    <row r="354" customFormat="false" ht="13.15" hidden="false" customHeight="false" outlineLevel="0" collapsed="false">
      <c r="A354" s="0" t="str">
        <f aca="false">[2]Sheet1!A354</f>
        <v>BTLCD1_SYS 3_DCDB_A</v>
      </c>
      <c r="B354" s="0" t="str">
        <f aca="false">[2]Sheet1!B354</f>
        <v>BTLCD1;DC SYS01</v>
      </c>
      <c r="C354" s="44" t="str">
        <f aca="false">[2]Sheet1!C354</f>
        <v>BTLCD1</v>
      </c>
      <c r="D354" s="44" t="s">
        <v>463</v>
      </c>
      <c r="E354" s="0" t="n">
        <f aca="false">[2]Sheet1!D354</f>
        <v>150</v>
      </c>
      <c r="F354" s="0" t="n">
        <f aca="false">[2]Sheet1!E354</f>
        <v>160</v>
      </c>
      <c r="G354" s="45" t="n">
        <f aca="false">[2]Sheet1!F354</f>
        <v>44978</v>
      </c>
      <c r="H354" s="0" t="n">
        <f aca="false">[2]Sheet1!G354</f>
        <v>300</v>
      </c>
      <c r="I354" s="0" t="n">
        <f aca="false">[2]Sheet1!H354</f>
        <v>300</v>
      </c>
      <c r="J354" s="0" t="n">
        <f aca="false">[2]Sheet1!I354</f>
        <v>0</v>
      </c>
      <c r="K354" s="0" t="n">
        <f aca="false">[2]Sheet1!J354</f>
        <v>0</v>
      </c>
      <c r="L354" s="0" t="n">
        <f aca="false">[2]Sheet1!K354</f>
        <v>0</v>
      </c>
      <c r="M354" s="0" t="n">
        <f aca="false">[2]Sheet1!L354</f>
        <v>0</v>
      </c>
      <c r="N354" s="0" t="n">
        <f aca="false">[2]Sheet1!M354</f>
        <v>0</v>
      </c>
      <c r="O354" s="0" t="n">
        <f aca="false">[2]Sheet1!N354</f>
        <v>0</v>
      </c>
      <c r="P354" s="226" t="n">
        <f aca="false">SUM(AY354+BA354)</f>
        <v>0</v>
      </c>
      <c r="Q354" s="201"/>
      <c r="R354" s="71"/>
      <c r="S354" s="227"/>
      <c r="T354" s="71"/>
      <c r="U354" s="201"/>
      <c r="V354" s="71"/>
      <c r="W354" s="227"/>
      <c r="X354" s="71"/>
      <c r="Y354" s="201"/>
      <c r="Z354" s="71"/>
      <c r="AA354" s="227"/>
      <c r="AB354" s="71"/>
      <c r="AC354" s="201"/>
      <c r="AD354" s="71"/>
      <c r="AE354" s="227"/>
      <c r="AF354" s="71"/>
      <c r="AG354" s="201"/>
      <c r="AH354" s="71"/>
      <c r="AI354" s="227"/>
      <c r="AJ354" s="71"/>
      <c r="AK354" s="201"/>
      <c r="AL354" s="71"/>
      <c r="AM354" s="227"/>
      <c r="AN354" s="71"/>
      <c r="AO354" s="201"/>
      <c r="AP354" s="71"/>
      <c r="AQ354" s="227"/>
      <c r="AR354" s="71"/>
      <c r="AS354" s="227"/>
      <c r="AT354" s="228"/>
      <c r="AU354" s="227"/>
      <c r="AV354" s="228"/>
      <c r="AW354" s="227"/>
      <c r="AX354" s="229" t="n">
        <f aca="false">SUM(R354+T354+V354+X354+Z354+AB354+AD354+AF354+AH354+AJ354+AL354+AN354+AP354+AR354)</f>
        <v>0</v>
      </c>
      <c r="AY354" s="230" t="n">
        <f aca="false">SUM(AX354*1000)/48</f>
        <v>0</v>
      </c>
      <c r="AZ354" s="231" t="n">
        <f aca="false">IFERROR(VLOOKUP(A354,'Site check'!$A$14:$O$47,15,0),0)</f>
        <v>0</v>
      </c>
      <c r="BA354" s="232" t="n">
        <f aca="false">SUM(AZ354*1000)/48</f>
        <v>0</v>
      </c>
      <c r="BB354" s="90" t="n">
        <f aca="false">SUM(P354/2)+E354</f>
        <v>150</v>
      </c>
      <c r="BC354" s="90" t="n">
        <f aca="false">SUM(P354/2)+F354</f>
        <v>160</v>
      </c>
    </row>
    <row r="355" customFormat="false" ht="13.15" hidden="false" customHeight="false" outlineLevel="0" collapsed="false">
      <c r="A355" s="0" t="str">
        <f aca="false">[2]Sheet1!A355</f>
        <v>BTLN08_SEC_CBDB_CT1</v>
      </c>
      <c r="B355" s="0" t="str">
        <f aca="false">[2]Sheet1!B355</f>
        <v>BTLN08;DC SYS01</v>
      </c>
      <c r="C355" s="44" t="str">
        <f aca="false">[2]Sheet1!C355</f>
        <v>BTLN08</v>
      </c>
      <c r="D355" s="44" t="s">
        <v>466</v>
      </c>
      <c r="E355" s="0" t="n">
        <f aca="false">[2]Sheet1!D355</f>
        <v>224</v>
      </c>
      <c r="F355" s="0" t="n">
        <f aca="false">[2]Sheet1!E355</f>
        <v>223</v>
      </c>
      <c r="G355" s="45" t="n">
        <f aca="false">[2]Sheet1!F355</f>
        <v>44977</v>
      </c>
      <c r="H355" s="0" t="n">
        <f aca="false">[2]Sheet1!G355</f>
        <v>300</v>
      </c>
      <c r="I355" s="0" t="n">
        <f aca="false">[2]Sheet1!H355</f>
        <v>300</v>
      </c>
      <c r="J355" s="0" t="n">
        <f aca="false">[2]Sheet1!I355</f>
        <v>0</v>
      </c>
      <c r="K355" s="0" t="n">
        <f aca="false">[2]Sheet1!J355</f>
        <v>0</v>
      </c>
      <c r="L355" s="0" t="n">
        <f aca="false">[2]Sheet1!K355</f>
        <v>0</v>
      </c>
      <c r="M355" s="0" t="n">
        <f aca="false">[2]Sheet1!L355</f>
        <v>0</v>
      </c>
      <c r="N355" s="0" t="n">
        <f aca="false">[2]Sheet1!M355</f>
        <v>3</v>
      </c>
      <c r="O355" s="0" t="n">
        <f aca="false">[2]Sheet1!N355</f>
        <v>0</v>
      </c>
      <c r="P355" s="226" t="n">
        <f aca="false">SUM(AY355+BA355)</f>
        <v>0</v>
      </c>
      <c r="Q355" s="201"/>
      <c r="R355" s="71"/>
      <c r="S355" s="227"/>
      <c r="T355" s="71"/>
      <c r="U355" s="201"/>
      <c r="V355" s="71"/>
      <c r="W355" s="227"/>
      <c r="X355" s="71"/>
      <c r="Y355" s="201"/>
      <c r="Z355" s="71"/>
      <c r="AA355" s="227"/>
      <c r="AB355" s="71"/>
      <c r="AC355" s="201"/>
      <c r="AD355" s="71"/>
      <c r="AE355" s="227"/>
      <c r="AF355" s="71"/>
      <c r="AG355" s="201"/>
      <c r="AH355" s="71"/>
      <c r="AI355" s="227"/>
      <c r="AJ355" s="71"/>
      <c r="AK355" s="201"/>
      <c r="AL355" s="71"/>
      <c r="AM355" s="227"/>
      <c r="AN355" s="71"/>
      <c r="AO355" s="201"/>
      <c r="AP355" s="71"/>
      <c r="AQ355" s="227"/>
      <c r="AR355" s="71"/>
      <c r="AS355" s="227"/>
      <c r="AT355" s="228"/>
      <c r="AU355" s="227"/>
      <c r="AV355" s="228"/>
      <c r="AW355" s="227"/>
      <c r="AX355" s="229" t="n">
        <f aca="false">SUM(R355+T355+V355+X355+Z355+AB355+AD355+AF355+AH355+AJ355+AL355+AN355+AP355+AR355)</f>
        <v>0</v>
      </c>
      <c r="AY355" s="230" t="n">
        <f aca="false">SUM(AX355*1000)/48</f>
        <v>0</v>
      </c>
      <c r="AZ355" s="231" t="n">
        <f aca="false">IFERROR(VLOOKUP(A355,'Site check'!$A$14:$O$47,15,0),0)</f>
        <v>0</v>
      </c>
      <c r="BA355" s="232" t="n">
        <f aca="false">SUM(AZ355*1000)/48</f>
        <v>0</v>
      </c>
      <c r="BB355" s="90" t="n">
        <f aca="false">SUM(P355/2)+E355</f>
        <v>224</v>
      </c>
      <c r="BC355" s="90" t="n">
        <f aca="false">SUM(P355/2)+F355</f>
        <v>223</v>
      </c>
    </row>
    <row r="356" customFormat="false" ht="13.15" hidden="false" customHeight="false" outlineLevel="0" collapsed="false">
      <c r="A356" s="0" t="str">
        <f aca="false">[2]Sheet1!A356</f>
        <v>BTLN08_SEC_DD770_CA1</v>
      </c>
      <c r="B356" s="0" t="str">
        <f aca="false">[2]Sheet1!B356</f>
        <v>BTLN08;DC SYS01</v>
      </c>
      <c r="C356" s="44" t="str">
        <f aca="false">[2]Sheet1!C356</f>
        <v>BTLN08</v>
      </c>
      <c r="D356" s="44" t="s">
        <v>466</v>
      </c>
      <c r="E356" s="0" t="n">
        <f aca="false">[2]Sheet1!D356</f>
        <v>150</v>
      </c>
      <c r="F356" s="0" t="n">
        <f aca="false">[2]Sheet1!E356</f>
        <v>160</v>
      </c>
      <c r="G356" s="45" t="n">
        <f aca="false">[2]Sheet1!F356</f>
        <v>44977</v>
      </c>
      <c r="H356" s="0" t="n">
        <f aca="false">[2]Sheet1!G356</f>
        <v>300</v>
      </c>
      <c r="I356" s="0" t="n">
        <f aca="false">[2]Sheet1!H356</f>
        <v>300</v>
      </c>
      <c r="J356" s="0" t="n">
        <f aca="false">[2]Sheet1!I356</f>
        <v>5</v>
      </c>
      <c r="K356" s="0" t="n">
        <f aca="false">[2]Sheet1!J356</f>
        <v>2</v>
      </c>
      <c r="L356" s="0" t="n">
        <f aca="false">[2]Sheet1!K356</f>
        <v>0</v>
      </c>
      <c r="M356" s="0" t="n">
        <f aca="false">[2]Sheet1!L356</f>
        <v>4</v>
      </c>
      <c r="N356" s="0" t="n">
        <f aca="false">[2]Sheet1!M356</f>
        <v>10</v>
      </c>
      <c r="O356" s="0" t="n">
        <f aca="false">[2]Sheet1!N356</f>
        <v>0</v>
      </c>
      <c r="P356" s="226" t="n">
        <f aca="false">SUM(AY356+BA356)</f>
        <v>0</v>
      </c>
      <c r="Q356" s="204"/>
      <c r="R356" s="221"/>
      <c r="S356" s="227"/>
      <c r="T356" s="71"/>
      <c r="U356" s="201"/>
      <c r="V356" s="71"/>
      <c r="W356" s="227"/>
      <c r="X356" s="71"/>
      <c r="Y356" s="201"/>
      <c r="Z356" s="71"/>
      <c r="AA356" s="227"/>
      <c r="AB356" s="71"/>
      <c r="AC356" s="201"/>
      <c r="AD356" s="71"/>
      <c r="AE356" s="227"/>
      <c r="AF356" s="71"/>
      <c r="AG356" s="201"/>
      <c r="AH356" s="71"/>
      <c r="AI356" s="227"/>
      <c r="AJ356" s="71"/>
      <c r="AK356" s="201"/>
      <c r="AL356" s="71"/>
      <c r="AM356" s="227"/>
      <c r="AN356" s="71"/>
      <c r="AO356" s="201"/>
      <c r="AP356" s="71"/>
      <c r="AQ356" s="227"/>
      <c r="AR356" s="71"/>
      <c r="AS356" s="227"/>
      <c r="AT356" s="228"/>
      <c r="AU356" s="227"/>
      <c r="AV356" s="228"/>
      <c r="AW356" s="227"/>
      <c r="AX356" s="229" t="n">
        <f aca="false">SUM(R356+T356+V356+X356+Z356+AB356+AD356+AF356+AH356+AJ356+AL356+AN356+AP356+AR356)</f>
        <v>0</v>
      </c>
      <c r="AY356" s="230" t="n">
        <f aca="false">SUM(AX356*1000)/48</f>
        <v>0</v>
      </c>
      <c r="AZ356" s="231" t="n">
        <f aca="false">IFERROR(VLOOKUP(A356,'Site check'!$A$14:$O$47,15,0),0)</f>
        <v>0</v>
      </c>
      <c r="BA356" s="232" t="n">
        <f aca="false">SUM(AZ356*1000)/48</f>
        <v>0</v>
      </c>
      <c r="BB356" s="90" t="n">
        <f aca="false">SUM(P356/2)+E356</f>
        <v>150</v>
      </c>
      <c r="BC356" s="90" t="n">
        <f aca="false">SUM(P356/2)+F356</f>
        <v>160</v>
      </c>
    </row>
    <row r="357" customFormat="false" ht="13.15" hidden="false" customHeight="false" outlineLevel="0" collapsed="false">
      <c r="A357" s="0" t="str">
        <f aca="false">[2]Sheet1!A357</f>
        <v>BTLN08_SEC_DD770_CJ02</v>
      </c>
      <c r="B357" s="0" t="str">
        <f aca="false">[2]Sheet1!B357</f>
        <v>BTLN08;DC SYS01</v>
      </c>
      <c r="C357" s="44" t="str">
        <f aca="false">[2]Sheet1!C357</f>
        <v>BTLN08</v>
      </c>
      <c r="D357" s="44" t="s">
        <v>466</v>
      </c>
      <c r="E357" s="0" t="n">
        <f aca="false">[2]Sheet1!D357</f>
        <v>160</v>
      </c>
      <c r="F357" s="0" t="n">
        <f aca="false">[2]Sheet1!E357</f>
        <v>160</v>
      </c>
      <c r="G357" s="45" t="n">
        <f aca="false">[2]Sheet1!F357</f>
        <v>44977</v>
      </c>
      <c r="H357" s="0" t="n">
        <f aca="false">[2]Sheet1!G357</f>
        <v>300</v>
      </c>
      <c r="I357" s="0" t="n">
        <f aca="false">[2]Sheet1!H357</f>
        <v>300</v>
      </c>
      <c r="J357" s="0" t="n">
        <f aca="false">[2]Sheet1!I357</f>
        <v>9</v>
      </c>
      <c r="K357" s="0" t="n">
        <f aca="false">[2]Sheet1!J357</f>
        <v>0</v>
      </c>
      <c r="L357" s="0" t="n">
        <f aca="false">[2]Sheet1!K357</f>
        <v>5</v>
      </c>
      <c r="M357" s="0" t="n">
        <f aca="false">[2]Sheet1!L357</f>
        <v>0</v>
      </c>
      <c r="N357" s="0" t="n">
        <f aca="false">[2]Sheet1!M357</f>
        <v>3</v>
      </c>
      <c r="O357" s="0" t="n">
        <f aca="false">[2]Sheet1!N357</f>
        <v>1</v>
      </c>
      <c r="P357" s="226" t="n">
        <f aca="false">SUM(AY357+BA357)</f>
        <v>125</v>
      </c>
      <c r="Q357" s="198" t="s">
        <v>1086</v>
      </c>
      <c r="R357" s="239" t="n">
        <v>3</v>
      </c>
      <c r="S357" s="198" t="s">
        <v>1086</v>
      </c>
      <c r="T357" s="239" t="n">
        <v>3</v>
      </c>
      <c r="U357" s="201"/>
      <c r="V357" s="71"/>
      <c r="W357" s="227"/>
      <c r="X357" s="71"/>
      <c r="Y357" s="201"/>
      <c r="Z357" s="71"/>
      <c r="AA357" s="227"/>
      <c r="AB357" s="71"/>
      <c r="AC357" s="201"/>
      <c r="AD357" s="71"/>
      <c r="AE357" s="227"/>
      <c r="AF357" s="71"/>
      <c r="AG357" s="201"/>
      <c r="AH357" s="71"/>
      <c r="AI357" s="227"/>
      <c r="AJ357" s="71"/>
      <c r="AK357" s="201"/>
      <c r="AL357" s="71"/>
      <c r="AM357" s="227"/>
      <c r="AN357" s="71"/>
      <c r="AO357" s="201"/>
      <c r="AP357" s="71"/>
      <c r="AQ357" s="227"/>
      <c r="AR357" s="71"/>
      <c r="AS357" s="227"/>
      <c r="AT357" s="228"/>
      <c r="AU357" s="227"/>
      <c r="AV357" s="228"/>
      <c r="AW357" s="227"/>
      <c r="AX357" s="229" t="n">
        <f aca="false">SUM(R357+T357+V357+X357+Z357+AB357+AD357+AF357+AH357+AJ357+AL357+AN357+AP357+AR357)</f>
        <v>6</v>
      </c>
      <c r="AY357" s="230" t="n">
        <f aca="false">SUM(AX357*1000)/48</f>
        <v>125</v>
      </c>
      <c r="AZ357" s="231" t="n">
        <f aca="false">IFERROR(VLOOKUP(A357,'Site check'!$A$14:$O$47,15,0),0)</f>
        <v>0</v>
      </c>
      <c r="BA357" s="232" t="n">
        <f aca="false">SUM(AZ357*1000)/48</f>
        <v>0</v>
      </c>
      <c r="BB357" s="90" t="n">
        <f aca="false">SUM(P357/2)+E357</f>
        <v>222.5</v>
      </c>
      <c r="BC357" s="90" t="n">
        <f aca="false">SUM(P357/2)+F357</f>
        <v>222.5</v>
      </c>
    </row>
    <row r="358" customFormat="false" ht="13.15" hidden="false" customHeight="false" outlineLevel="0" collapsed="false">
      <c r="A358" s="0" t="str">
        <f aca="false">[2]Sheet1!A358</f>
        <v>BTLCD2_ PRI_DD604_ WALL</v>
      </c>
      <c r="B358" s="0" t="str">
        <f aca="false">[2]Sheet1!B358</f>
        <v>BTLCD2;DC SYS01</v>
      </c>
      <c r="C358" s="44" t="str">
        <f aca="false">[2]Sheet1!C358</f>
        <v>BTLCD2</v>
      </c>
      <c r="D358" s="44" t="s">
        <v>1528</v>
      </c>
      <c r="E358" s="0" t="n">
        <f aca="false">[2]Sheet1!D358</f>
        <v>210</v>
      </c>
      <c r="F358" s="0" t="n">
        <f aca="false">[2]Sheet1!E358</f>
        <v>0</v>
      </c>
      <c r="G358" s="45" t="n">
        <f aca="false">[2]Sheet1!F358</f>
        <v>40634</v>
      </c>
      <c r="H358" s="0" t="n">
        <f aca="false">[2]Sheet1!G358</f>
        <v>0</v>
      </c>
      <c r="I358" s="0" t="n">
        <f aca="false">[2]Sheet1!H358</f>
        <v>0</v>
      </c>
      <c r="J358" s="0" t="n">
        <f aca="false">[2]Sheet1!I358</f>
        <v>0</v>
      </c>
      <c r="K358" s="0" t="n">
        <f aca="false">[2]Sheet1!J358</f>
        <v>0</v>
      </c>
      <c r="L358" s="0" t="n">
        <f aca="false">[2]Sheet1!K358</f>
        <v>15</v>
      </c>
      <c r="M358" s="0" t="n">
        <f aca="false">[2]Sheet1!L358</f>
        <v>2</v>
      </c>
      <c r="N358" s="0" t="n">
        <f aca="false">[2]Sheet1!M358</f>
        <v>0</v>
      </c>
      <c r="O358" s="0" t="n">
        <f aca="false">[2]Sheet1!N358</f>
        <v>0</v>
      </c>
      <c r="P358" s="226" t="n">
        <f aca="false">SUM(AY358+BA358)</f>
        <v>0</v>
      </c>
      <c r="Q358" s="201"/>
      <c r="R358" s="71"/>
      <c r="S358" s="227"/>
      <c r="T358" s="71"/>
      <c r="U358" s="201"/>
      <c r="V358" s="71"/>
      <c r="W358" s="227"/>
      <c r="X358" s="71"/>
      <c r="Y358" s="201"/>
      <c r="Z358" s="71"/>
      <c r="AA358" s="227"/>
      <c r="AB358" s="71"/>
      <c r="AC358" s="201"/>
      <c r="AD358" s="71"/>
      <c r="AE358" s="227"/>
      <c r="AF358" s="71"/>
      <c r="AG358" s="201"/>
      <c r="AH358" s="71"/>
      <c r="AI358" s="227"/>
      <c r="AJ358" s="71"/>
      <c r="AK358" s="201"/>
      <c r="AL358" s="71"/>
      <c r="AM358" s="227"/>
      <c r="AN358" s="71"/>
      <c r="AO358" s="201"/>
      <c r="AP358" s="71"/>
      <c r="AQ358" s="227"/>
      <c r="AR358" s="71"/>
      <c r="AS358" s="227"/>
      <c r="AT358" s="228"/>
      <c r="AU358" s="227"/>
      <c r="AV358" s="228"/>
      <c r="AW358" s="227"/>
      <c r="AX358" s="229" t="n">
        <f aca="false">SUM(R358+T358+V358+X358+Z358+AB358+AD358+AF358+AH358+AJ358+AL358+AN358+AP358+AR358)</f>
        <v>0</v>
      </c>
      <c r="AY358" s="230" t="n">
        <f aca="false">SUM(AX358*1000)/48</f>
        <v>0</v>
      </c>
      <c r="AZ358" s="231" t="n">
        <f aca="false">IFERROR(VLOOKUP(A358,'Site check'!$A$14:$O$47,15,0),0)</f>
        <v>0</v>
      </c>
      <c r="BA358" s="232" t="n">
        <f aca="false">SUM(AZ358*1000)/48</f>
        <v>0</v>
      </c>
      <c r="BB358" s="90" t="n">
        <f aca="false">SUM(P358/2)+E358</f>
        <v>210</v>
      </c>
      <c r="BC358" s="90" t="n">
        <f aca="false">SUM(P358/2)+F358</f>
        <v>0</v>
      </c>
    </row>
    <row r="359" customFormat="false" ht="13.15" hidden="false" customHeight="false" outlineLevel="0" collapsed="false">
      <c r="A359" s="0" t="str">
        <f aca="false">[2]Sheet1!A359</f>
        <v>BTLN09_PDU1A_B</v>
      </c>
      <c r="B359" s="0" t="str">
        <f aca="false">[2]Sheet1!B359</f>
        <v>BTLN09;DC SYS01 </v>
      </c>
      <c r="C359" s="44" t="str">
        <f aca="false">[2]Sheet1!C359</f>
        <v>BTLN09</v>
      </c>
      <c r="D359" s="44" t="s">
        <v>468</v>
      </c>
      <c r="E359" s="0" t="n">
        <f aca="false">[2]Sheet1!D359</f>
        <v>259.8</v>
      </c>
      <c r="F359" s="0" t="n">
        <f aca="false">[2]Sheet1!E359</f>
        <v>264.7</v>
      </c>
      <c r="G359" s="45" t="n">
        <f aca="false">[2]Sheet1!F359</f>
        <v>45631</v>
      </c>
      <c r="H359" s="0" t="n">
        <f aca="false">[2]Sheet1!G359</f>
        <v>600</v>
      </c>
      <c r="I359" s="0" t="n">
        <f aca="false">[2]Sheet1!H359</f>
        <v>600</v>
      </c>
      <c r="J359" s="0" t="n">
        <f aca="false">[2]Sheet1!I359</f>
        <v>0</v>
      </c>
      <c r="K359" s="0" t="n">
        <f aca="false">[2]Sheet1!J359</f>
        <v>0</v>
      </c>
      <c r="L359" s="0" t="n">
        <f aca="false">[2]Sheet1!K359</f>
        <v>0</v>
      </c>
      <c r="M359" s="0" t="n">
        <f aca="false">[2]Sheet1!L359</f>
        <v>0</v>
      </c>
      <c r="N359" s="0" t="n">
        <f aca="false">[2]Sheet1!M359</f>
        <v>0</v>
      </c>
      <c r="O359" s="0" t="n">
        <f aca="false">[2]Sheet1!N359</f>
        <v>0</v>
      </c>
      <c r="P359" s="226" t="n">
        <f aca="false">SUM(AY359+BA359)</f>
        <v>702.291666666667</v>
      </c>
      <c r="Q359" s="170" t="s">
        <v>1088</v>
      </c>
      <c r="R359" s="171" t="n">
        <v>1.7</v>
      </c>
      <c r="S359" s="170" t="s">
        <v>1089</v>
      </c>
      <c r="T359" s="171" t="n">
        <v>0.9</v>
      </c>
      <c r="U359" s="170" t="s">
        <v>1090</v>
      </c>
      <c r="V359" s="171" t="n">
        <v>4.2</v>
      </c>
      <c r="W359" s="170" t="s">
        <v>1091</v>
      </c>
      <c r="X359" s="171" t="n">
        <v>1.7</v>
      </c>
      <c r="Y359" s="170" t="s">
        <v>1092</v>
      </c>
      <c r="Z359" s="171" t="n">
        <v>1.8</v>
      </c>
      <c r="AA359" s="170" t="s">
        <v>1093</v>
      </c>
      <c r="AB359" s="171" t="n">
        <v>8</v>
      </c>
      <c r="AC359" s="181" t="s">
        <v>1094</v>
      </c>
      <c r="AD359" s="175" t="n">
        <v>1.8</v>
      </c>
      <c r="AE359" s="181"/>
      <c r="AF359" s="175"/>
      <c r="AG359" s="181" t="s">
        <v>1095</v>
      </c>
      <c r="AH359" s="175" t="n">
        <v>1.2</v>
      </c>
      <c r="AI359" s="212" t="s">
        <v>1529</v>
      </c>
      <c r="AJ359" s="221" t="n">
        <v>0.88</v>
      </c>
      <c r="AK359" s="177" t="s">
        <v>1100</v>
      </c>
      <c r="AL359" s="200" t="n">
        <v>0.93</v>
      </c>
      <c r="AM359" s="201" t="s">
        <v>1530</v>
      </c>
      <c r="AN359" s="253" t="n">
        <v>4</v>
      </c>
      <c r="AO359" s="179" t="s">
        <v>1103</v>
      </c>
      <c r="AP359" s="194" t="n">
        <v>6.6</v>
      </c>
      <c r="AQ359" s="227"/>
      <c r="AR359" s="71"/>
      <c r="AS359" s="227"/>
      <c r="AT359" s="228"/>
      <c r="AU359" s="227"/>
      <c r="AV359" s="228"/>
      <c r="AW359" s="227"/>
      <c r="AX359" s="229" t="n">
        <f aca="false">SUM(R359+T359+V359+X359+Z359+AB359+AD359+AF359+AH359+AJ359+AL359+AN359+AP359+AR359)</f>
        <v>33.71</v>
      </c>
      <c r="AY359" s="230" t="n">
        <f aca="false">SUM(AX359*1000)/48</f>
        <v>702.291666666667</v>
      </c>
      <c r="AZ359" s="231" t="n">
        <f aca="false">IFERROR(VLOOKUP(A359,'Site check'!$A$14:$O$47,15,0),0)</f>
        <v>0</v>
      </c>
      <c r="BA359" s="232" t="n">
        <f aca="false">SUM(AZ359*1000)/48</f>
        <v>0</v>
      </c>
      <c r="BB359" s="90" t="n">
        <f aca="false">SUM(P359/2)+E359</f>
        <v>610.945833333333</v>
      </c>
      <c r="BC359" s="90" t="n">
        <f aca="false">SUM(P359/2)+F359</f>
        <v>615.845833333333</v>
      </c>
    </row>
    <row r="360" customFormat="false" ht="13.15" hidden="false" customHeight="false" outlineLevel="0" collapsed="false">
      <c r="A360" s="0" t="str">
        <f aca="false">[2]Sheet1!A360</f>
        <v>BDEN02_SEC_DD770_CD01</v>
      </c>
      <c r="B360" s="0" t="str">
        <f aca="false">[2]Sheet1!B360</f>
        <v>BDEN02;DC SYS01</v>
      </c>
      <c r="C360" s="44" t="str">
        <f aca="false">[2]Sheet1!C360</f>
        <v>BDEN02</v>
      </c>
      <c r="D360" s="44" t="s">
        <v>382</v>
      </c>
      <c r="E360" s="0" t="n">
        <f aca="false">[2]Sheet1!D360</f>
        <v>45</v>
      </c>
      <c r="F360" s="0" t="n">
        <f aca="false">[2]Sheet1!E360</f>
        <v>55</v>
      </c>
      <c r="G360" s="45" t="n">
        <f aca="false">[2]Sheet1!F360</f>
        <v>44404</v>
      </c>
      <c r="H360" s="0" t="n">
        <f aca="false">[2]Sheet1!G360</f>
        <v>300</v>
      </c>
      <c r="I360" s="0" t="n">
        <f aca="false">[2]Sheet1!H360</f>
        <v>300</v>
      </c>
      <c r="J360" s="0" t="n">
        <f aca="false">[2]Sheet1!I360</f>
        <v>6</v>
      </c>
      <c r="K360" s="0" t="n">
        <f aca="false">[2]Sheet1!J360</f>
        <v>1</v>
      </c>
      <c r="L360" s="0" t="n">
        <f aca="false">[2]Sheet1!K360</f>
        <v>0</v>
      </c>
      <c r="M360" s="0" t="n">
        <f aca="false">[2]Sheet1!L360</f>
        <v>9</v>
      </c>
      <c r="N360" s="0" t="n">
        <f aca="false">[2]Sheet1!M360</f>
        <v>0</v>
      </c>
      <c r="O360" s="0" t="n">
        <f aca="false">[2]Sheet1!N360</f>
        <v>0</v>
      </c>
      <c r="P360" s="226" t="n">
        <f aca="false">SUM(AY360+BA360)</f>
        <v>0</v>
      </c>
      <c r="Q360" s="170"/>
      <c r="R360" s="234"/>
      <c r="S360" s="227"/>
      <c r="T360" s="71"/>
      <c r="U360" s="201"/>
      <c r="V360" s="71"/>
      <c r="W360" s="227"/>
      <c r="X360" s="71"/>
      <c r="Y360" s="201"/>
      <c r="Z360" s="71"/>
      <c r="AA360" s="227"/>
      <c r="AB360" s="71"/>
      <c r="AC360" s="201"/>
      <c r="AD360" s="71"/>
      <c r="AE360" s="227"/>
      <c r="AF360" s="71"/>
      <c r="AG360" s="201"/>
      <c r="AH360" s="71"/>
      <c r="AI360" s="227"/>
      <c r="AJ360" s="71"/>
      <c r="AK360" s="201"/>
      <c r="AL360" s="71"/>
      <c r="AM360" s="227"/>
      <c r="AN360" s="71"/>
      <c r="AO360" s="201"/>
      <c r="AP360" s="71"/>
      <c r="AQ360" s="227"/>
      <c r="AR360" s="71"/>
      <c r="AS360" s="227"/>
      <c r="AT360" s="228"/>
      <c r="AU360" s="227"/>
      <c r="AV360" s="228"/>
      <c r="AW360" s="227"/>
      <c r="AX360" s="229" t="n">
        <f aca="false">SUM(R360+T360+V360+X360+Z360+AB360+AD360+AF360+AH360+AJ360+AL360+AN360+AP360+AR360)</f>
        <v>0</v>
      </c>
      <c r="AY360" s="230" t="n">
        <f aca="false">SUM(AX360*1000)/48</f>
        <v>0</v>
      </c>
      <c r="AZ360" s="231" t="n">
        <f aca="false">IFERROR(VLOOKUP(A360,'Site check'!$A$14:$O$47,15,0),0)</f>
        <v>0</v>
      </c>
      <c r="BA360" s="232" t="n">
        <f aca="false">SUM(AZ360*1000)/48</f>
        <v>0</v>
      </c>
      <c r="BB360" s="90" t="n">
        <f aca="false">SUM(P360/2)+E360</f>
        <v>45</v>
      </c>
      <c r="BC360" s="90" t="n">
        <f aca="false">SUM(P360/2)+F360</f>
        <v>55</v>
      </c>
    </row>
    <row r="361" customFormat="false" ht="13.15" hidden="false" customHeight="false" outlineLevel="0" collapsed="false">
      <c r="A361" s="0" t="str">
        <f aca="false">[2]Sheet1!A361</f>
        <v>BDEN02_SEC_DD770_QR01</v>
      </c>
      <c r="B361" s="0" t="str">
        <f aca="false">[2]Sheet1!B361</f>
        <v>BDEN02;DC SYS01</v>
      </c>
      <c r="C361" s="44" t="str">
        <f aca="false">[2]Sheet1!C361</f>
        <v>BDEN02</v>
      </c>
      <c r="D361" s="44" t="s">
        <v>382</v>
      </c>
      <c r="E361" s="0" t="n">
        <f aca="false">[2]Sheet1!D361</f>
        <v>10</v>
      </c>
      <c r="F361" s="0" t="n">
        <f aca="false">[2]Sheet1!E361</f>
        <v>10</v>
      </c>
      <c r="G361" s="45" t="n">
        <f aca="false">[2]Sheet1!F361</f>
        <v>44404</v>
      </c>
      <c r="H361" s="0" t="n">
        <f aca="false">[2]Sheet1!G361</f>
        <v>300</v>
      </c>
      <c r="I361" s="0" t="n">
        <f aca="false">[2]Sheet1!H361</f>
        <v>300</v>
      </c>
      <c r="J361" s="0" t="n">
        <f aca="false">[2]Sheet1!I361</f>
        <v>6</v>
      </c>
      <c r="K361" s="0" t="n">
        <f aca="false">[2]Sheet1!J361</f>
        <v>6</v>
      </c>
      <c r="L361" s="0" t="n">
        <f aca="false">[2]Sheet1!K361</f>
        <v>0</v>
      </c>
      <c r="M361" s="0" t="n">
        <f aca="false">[2]Sheet1!L361</f>
        <v>23</v>
      </c>
      <c r="N361" s="0" t="n">
        <f aca="false">[2]Sheet1!M361</f>
        <v>9</v>
      </c>
      <c r="O361" s="0" t="n">
        <f aca="false">[2]Sheet1!N361</f>
        <v>0</v>
      </c>
      <c r="P361" s="226" t="n">
        <f aca="false">SUM(AY361+BA361)</f>
        <v>0</v>
      </c>
      <c r="Q361" s="170"/>
      <c r="R361" s="234"/>
      <c r="S361" s="227"/>
      <c r="T361" s="71"/>
      <c r="U361" s="201"/>
      <c r="V361" s="71"/>
      <c r="W361" s="227"/>
      <c r="X361" s="71"/>
      <c r="Y361" s="201"/>
      <c r="Z361" s="71"/>
      <c r="AA361" s="227"/>
      <c r="AB361" s="71"/>
      <c r="AC361" s="201"/>
      <c r="AD361" s="71"/>
      <c r="AE361" s="227"/>
      <c r="AF361" s="71"/>
      <c r="AG361" s="201"/>
      <c r="AH361" s="71"/>
      <c r="AI361" s="227"/>
      <c r="AJ361" s="71"/>
      <c r="AK361" s="201"/>
      <c r="AL361" s="71"/>
      <c r="AM361" s="227"/>
      <c r="AN361" s="71"/>
      <c r="AO361" s="201"/>
      <c r="AP361" s="71"/>
      <c r="AQ361" s="227"/>
      <c r="AR361" s="71"/>
      <c r="AS361" s="227"/>
      <c r="AT361" s="228"/>
      <c r="AU361" s="227"/>
      <c r="AV361" s="228"/>
      <c r="AW361" s="227"/>
      <c r="AX361" s="229" t="n">
        <f aca="false">SUM(R361+T361+V361+X361+Z361+AB361+AD361+AF361+AH361+AJ361+AL361+AN361+AP361+AR361)</f>
        <v>0</v>
      </c>
      <c r="AY361" s="230" t="n">
        <f aca="false">SUM(AX361*1000)/48</f>
        <v>0</v>
      </c>
      <c r="AZ361" s="231" t="n">
        <f aca="false">IFERROR(VLOOKUP(A361,'Site check'!$A$14:$O$47,15,0),0)</f>
        <v>0</v>
      </c>
      <c r="BA361" s="232" t="n">
        <f aca="false">SUM(AZ361*1000)/48</f>
        <v>0</v>
      </c>
      <c r="BB361" s="90" t="n">
        <f aca="false">SUM(P361/2)+E361</f>
        <v>10</v>
      </c>
      <c r="BC361" s="90" t="n">
        <f aca="false">SUM(P361/2)+F361</f>
        <v>10</v>
      </c>
    </row>
    <row r="362" customFormat="false" ht="13.15" hidden="false" customHeight="false" outlineLevel="0" collapsed="false">
      <c r="A362" s="0" t="str">
        <f aca="false">[2]Sheet1!A362</f>
        <v>BDEN06 AB01 DD770</v>
      </c>
      <c r="B362" s="0" t="str">
        <f aca="false">[2]Sheet1!B362</f>
        <v>BDEN06;DC SYS01</v>
      </c>
      <c r="C362" s="44" t="str">
        <f aca="false">[2]Sheet1!C362</f>
        <v>BDEN06</v>
      </c>
      <c r="D362" s="44" t="s">
        <v>384</v>
      </c>
      <c r="E362" s="0" t="n">
        <f aca="false">[2]Sheet1!D362</f>
        <v>170</v>
      </c>
      <c r="F362" s="0" t="n">
        <f aca="false">[2]Sheet1!E362</f>
        <v>179</v>
      </c>
      <c r="G362" s="45" t="n">
        <f aca="false">[2]Sheet1!F362</f>
        <v>45048</v>
      </c>
      <c r="H362" s="0" t="n">
        <f aca="false">[2]Sheet1!G362</f>
        <v>300</v>
      </c>
      <c r="I362" s="0" t="n">
        <f aca="false">[2]Sheet1!H362</f>
        <v>300</v>
      </c>
      <c r="J362" s="0" t="n">
        <f aca="false">[2]Sheet1!I362</f>
        <v>4</v>
      </c>
      <c r="K362" s="0" t="n">
        <f aca="false">[2]Sheet1!J362</f>
        <v>2</v>
      </c>
      <c r="L362" s="0" t="n">
        <f aca="false">[2]Sheet1!K362</f>
        <v>0</v>
      </c>
      <c r="M362" s="0" t="n">
        <f aca="false">[2]Sheet1!L362</f>
        <v>24</v>
      </c>
      <c r="N362" s="0" t="n">
        <f aca="false">[2]Sheet1!M362</f>
        <v>11</v>
      </c>
      <c r="O362" s="0" t="n">
        <f aca="false">[2]Sheet1!N362</f>
        <v>0</v>
      </c>
      <c r="P362" s="226" t="n">
        <f aca="false">SUM(AY362+BA362)</f>
        <v>83.3333333333333</v>
      </c>
      <c r="Q362" s="179" t="s">
        <v>973</v>
      </c>
      <c r="R362" s="233" t="n">
        <v>2</v>
      </c>
      <c r="S362" s="181" t="s">
        <v>974</v>
      </c>
      <c r="T362" s="237" t="n">
        <v>2</v>
      </c>
      <c r="U362" s="201"/>
      <c r="V362" s="71"/>
      <c r="W362" s="227"/>
      <c r="X362" s="71"/>
      <c r="Y362" s="201"/>
      <c r="Z362" s="71"/>
      <c r="AA362" s="227"/>
      <c r="AB362" s="71"/>
      <c r="AC362" s="201"/>
      <c r="AD362" s="71"/>
      <c r="AE362" s="227"/>
      <c r="AF362" s="71"/>
      <c r="AG362" s="201"/>
      <c r="AH362" s="71"/>
      <c r="AI362" s="227"/>
      <c r="AJ362" s="71"/>
      <c r="AK362" s="201"/>
      <c r="AL362" s="71"/>
      <c r="AM362" s="227"/>
      <c r="AN362" s="71"/>
      <c r="AO362" s="201"/>
      <c r="AP362" s="71"/>
      <c r="AQ362" s="227"/>
      <c r="AR362" s="71"/>
      <c r="AS362" s="227"/>
      <c r="AT362" s="228"/>
      <c r="AU362" s="227"/>
      <c r="AV362" s="228"/>
      <c r="AW362" s="227"/>
      <c r="AX362" s="229" t="n">
        <f aca="false">SUM(R362+T362+V362+X362+Z362+AB362+AD362+AF362+AH362+AJ362+AL362+AN362+AP362+AR362)</f>
        <v>4</v>
      </c>
      <c r="AY362" s="230" t="n">
        <f aca="false">SUM(AX362*1000)/48</f>
        <v>83.3333333333333</v>
      </c>
      <c r="AZ362" s="231" t="n">
        <f aca="false">IFERROR(VLOOKUP(A362,'Site check'!$A$14:$O$47,15,0),0)</f>
        <v>0</v>
      </c>
      <c r="BA362" s="232" t="n">
        <f aca="false">SUM(AZ362*1000)/48</f>
        <v>0</v>
      </c>
      <c r="BB362" s="90" t="n">
        <f aca="false">SUM(P362/2)+E362</f>
        <v>211.666666666667</v>
      </c>
      <c r="BC362" s="90" t="n">
        <f aca="false">SUM(P362/2)+F362</f>
        <v>220.666666666667</v>
      </c>
    </row>
    <row r="363" customFormat="false" ht="13.15" hidden="false" customHeight="false" outlineLevel="0" collapsed="false">
      <c r="A363" s="0" t="str">
        <f aca="false">[2]Sheet1!A363</f>
        <v>BDEN06 JK01 DD770</v>
      </c>
      <c r="B363" s="0" t="str">
        <f aca="false">[2]Sheet1!B363</f>
        <v>BDEN06;DC SYS01</v>
      </c>
      <c r="C363" s="44" t="str">
        <f aca="false">[2]Sheet1!C363</f>
        <v>BDEN06</v>
      </c>
      <c r="D363" s="44" t="s">
        <v>384</v>
      </c>
      <c r="E363" s="0" t="n">
        <f aca="false">[2]Sheet1!D363</f>
        <v>80</v>
      </c>
      <c r="F363" s="0" t="n">
        <f aca="false">[2]Sheet1!E363</f>
        <v>90</v>
      </c>
      <c r="G363" s="45" t="n">
        <f aca="false">[2]Sheet1!F363</f>
        <v>45048</v>
      </c>
      <c r="H363" s="0" t="n">
        <f aca="false">[2]Sheet1!G363</f>
        <v>600</v>
      </c>
      <c r="I363" s="0" t="n">
        <f aca="false">[2]Sheet1!H363</f>
        <v>600</v>
      </c>
      <c r="J363" s="0" t="n">
        <f aca="false">[2]Sheet1!I363</f>
        <v>1</v>
      </c>
      <c r="K363" s="0" t="n">
        <f aca="false">[2]Sheet1!J363</f>
        <v>0</v>
      </c>
      <c r="L363" s="0" t="n">
        <f aca="false">[2]Sheet1!K363</f>
        <v>2</v>
      </c>
      <c r="M363" s="0" t="n">
        <f aca="false">[2]Sheet1!L363</f>
        <v>17</v>
      </c>
      <c r="N363" s="0" t="n">
        <f aca="false">[2]Sheet1!M363</f>
        <v>12</v>
      </c>
      <c r="O363" s="0" t="n">
        <f aca="false">[2]Sheet1!N363</f>
        <v>0</v>
      </c>
      <c r="P363" s="226" t="n">
        <f aca="false">SUM(AY363+BA363)</f>
        <v>72.9166666666667</v>
      </c>
      <c r="Q363" s="182" t="s">
        <v>975</v>
      </c>
      <c r="R363" s="254" t="n">
        <v>1.5</v>
      </c>
      <c r="S363" s="179" t="s">
        <v>974</v>
      </c>
      <c r="T363" s="233" t="n">
        <v>2</v>
      </c>
      <c r="U363" s="201"/>
      <c r="V363" s="71"/>
      <c r="W363" s="227"/>
      <c r="X363" s="71"/>
      <c r="Y363" s="201"/>
      <c r="Z363" s="71"/>
      <c r="AA363" s="227"/>
      <c r="AB363" s="71"/>
      <c r="AC363" s="201"/>
      <c r="AD363" s="71"/>
      <c r="AE363" s="227"/>
      <c r="AF363" s="71"/>
      <c r="AG363" s="201"/>
      <c r="AH363" s="71"/>
      <c r="AI363" s="227"/>
      <c r="AJ363" s="71"/>
      <c r="AK363" s="201"/>
      <c r="AL363" s="71"/>
      <c r="AM363" s="227"/>
      <c r="AN363" s="71"/>
      <c r="AO363" s="201"/>
      <c r="AP363" s="71"/>
      <c r="AQ363" s="227"/>
      <c r="AR363" s="71"/>
      <c r="AS363" s="227"/>
      <c r="AT363" s="228"/>
      <c r="AU363" s="227"/>
      <c r="AV363" s="228"/>
      <c r="AW363" s="227"/>
      <c r="AX363" s="229" t="n">
        <f aca="false">SUM(R363+T363+V363+X363+Z363+AB363+AD363+AF363+AH363+AJ363+AL363+AN363+AP363+AR363)</f>
        <v>3.5</v>
      </c>
      <c r="AY363" s="230" t="n">
        <f aca="false">SUM(AX363*1000)/48</f>
        <v>72.9166666666667</v>
      </c>
      <c r="AZ363" s="231" t="n">
        <f aca="false">IFERROR(VLOOKUP(A363,'Site check'!$A$14:$O$47,15,0),0)</f>
        <v>0</v>
      </c>
      <c r="BA363" s="232" t="n">
        <f aca="false">SUM(AZ363*1000)/48</f>
        <v>0</v>
      </c>
      <c r="BB363" s="90" t="n">
        <f aca="false">SUM(P363/2)+E363</f>
        <v>116.458333333333</v>
      </c>
      <c r="BC363" s="90" t="n">
        <f aca="false">SUM(P363/2)+F363</f>
        <v>126.458333333333</v>
      </c>
    </row>
    <row r="364" customFormat="false" ht="13.15" hidden="false" customHeight="false" outlineLevel="0" collapsed="false">
      <c r="A364" s="0" t="str">
        <f aca="false">[2]Sheet1!A364</f>
        <v>BDEN06 QR01 DD770</v>
      </c>
      <c r="B364" s="0" t="str">
        <f aca="false">[2]Sheet1!B364</f>
        <v>BDEN06;DC SYS01</v>
      </c>
      <c r="C364" s="44" t="str">
        <f aca="false">[2]Sheet1!C364</f>
        <v>BDEN06</v>
      </c>
      <c r="D364" s="44" t="s">
        <v>384</v>
      </c>
      <c r="E364" s="0" t="n">
        <f aca="false">[2]Sheet1!D364</f>
        <v>10</v>
      </c>
      <c r="F364" s="0" t="n">
        <f aca="false">[2]Sheet1!E364</f>
        <v>10</v>
      </c>
      <c r="G364" s="45" t="n">
        <f aca="false">[2]Sheet1!F364</f>
        <v>45048</v>
      </c>
      <c r="H364" s="0" t="n">
        <f aca="false">[2]Sheet1!G364</f>
        <v>600</v>
      </c>
      <c r="I364" s="0" t="n">
        <f aca="false">[2]Sheet1!H364</f>
        <v>600</v>
      </c>
      <c r="J364" s="0" t="n">
        <f aca="false">[2]Sheet1!I364</f>
        <v>6</v>
      </c>
      <c r="K364" s="0" t="n">
        <f aca="false">[2]Sheet1!J364</f>
        <v>6</v>
      </c>
      <c r="L364" s="0" t="n">
        <f aca="false">[2]Sheet1!K364</f>
        <v>6</v>
      </c>
      <c r="M364" s="0" t="n">
        <f aca="false">[2]Sheet1!L364</f>
        <v>22</v>
      </c>
      <c r="N364" s="0" t="n">
        <f aca="false">[2]Sheet1!M364</f>
        <v>4</v>
      </c>
      <c r="O364" s="0" t="n">
        <f aca="false">[2]Sheet1!N364</f>
        <v>0</v>
      </c>
      <c r="P364" s="226" t="n">
        <f aca="false">SUM(AY364+BA364)</f>
        <v>0</v>
      </c>
      <c r="Q364" s="201"/>
      <c r="R364" s="71"/>
      <c r="S364" s="227"/>
      <c r="T364" s="71"/>
      <c r="U364" s="201"/>
      <c r="V364" s="71"/>
      <c r="W364" s="227"/>
      <c r="X364" s="71"/>
      <c r="Y364" s="201"/>
      <c r="Z364" s="71"/>
      <c r="AA364" s="227"/>
      <c r="AB364" s="71"/>
      <c r="AC364" s="201"/>
      <c r="AD364" s="71"/>
      <c r="AE364" s="227"/>
      <c r="AF364" s="71"/>
      <c r="AG364" s="201"/>
      <c r="AH364" s="71"/>
      <c r="AI364" s="227"/>
      <c r="AJ364" s="71"/>
      <c r="AK364" s="201"/>
      <c r="AL364" s="71"/>
      <c r="AM364" s="227"/>
      <c r="AN364" s="71"/>
      <c r="AO364" s="201"/>
      <c r="AP364" s="71"/>
      <c r="AQ364" s="227"/>
      <c r="AR364" s="71"/>
      <c r="AS364" s="227"/>
      <c r="AT364" s="228"/>
      <c r="AU364" s="227"/>
      <c r="AV364" s="228"/>
      <c r="AW364" s="227"/>
      <c r="AX364" s="229" t="n">
        <f aca="false">SUM(R364+T364+V364+X364+Z364+AB364+AD364+AF364+AH364+AJ364+AL364+AN364+AP364+AR364)</f>
        <v>0</v>
      </c>
      <c r="AY364" s="230" t="n">
        <f aca="false">SUM(AX364*1000)/48</f>
        <v>0</v>
      </c>
      <c r="AZ364" s="231" t="n">
        <f aca="false">IFERROR(VLOOKUP(A364,'Site check'!$A$14:$O$47,15,0),0)</f>
        <v>0</v>
      </c>
      <c r="BA364" s="232" t="n">
        <f aca="false">SUM(AZ364*1000)/48</f>
        <v>0</v>
      </c>
      <c r="BB364" s="90" t="n">
        <f aca="false">SUM(P364/2)+E364</f>
        <v>10</v>
      </c>
      <c r="BC364" s="90" t="n">
        <f aca="false">SUM(P364/2)+F364</f>
        <v>10</v>
      </c>
    </row>
    <row r="365" customFormat="false" ht="13.15" hidden="false" customHeight="false" outlineLevel="0" collapsed="false">
      <c r="A365" s="0" t="str">
        <f aca="false">[2]Sheet1!A365</f>
        <v>BDEN07_PDU1A_B</v>
      </c>
      <c r="B365" s="0" t="n">
        <f aca="false">[2]Sheet1!B365</f>
        <v>0</v>
      </c>
      <c r="C365" s="44" t="str">
        <f aca="false">[2]Sheet1!C365</f>
        <v>BDEN07</v>
      </c>
      <c r="D365" s="44" t="s">
        <v>1531</v>
      </c>
      <c r="E365" s="0" t="n">
        <f aca="false">[2]Sheet1!D365</f>
        <v>156.01</v>
      </c>
      <c r="F365" s="0" t="n">
        <f aca="false">[2]Sheet1!E365</f>
        <v>156.01</v>
      </c>
      <c r="G365" s="45" t="n">
        <f aca="false">[2]Sheet1!F365</f>
        <v>45631</v>
      </c>
      <c r="H365" s="0" t="n">
        <f aca="false">[2]Sheet1!G365</f>
        <v>600</v>
      </c>
      <c r="I365" s="0" t="n">
        <f aca="false">[2]Sheet1!H365</f>
        <v>600</v>
      </c>
      <c r="J365" s="0" t="n">
        <f aca="false">[2]Sheet1!I365</f>
        <v>0</v>
      </c>
      <c r="K365" s="0" t="n">
        <f aca="false">[2]Sheet1!J365</f>
        <v>0</v>
      </c>
      <c r="L365" s="0" t="n">
        <f aca="false">[2]Sheet1!K365</f>
        <v>0</v>
      </c>
      <c r="M365" s="0" t="n">
        <f aca="false">[2]Sheet1!L365</f>
        <v>0</v>
      </c>
      <c r="N365" s="0" t="n">
        <f aca="false">[2]Sheet1!M365</f>
        <v>0</v>
      </c>
      <c r="O365" s="0" t="n">
        <f aca="false">[2]Sheet1!N365</f>
        <v>0</v>
      </c>
      <c r="P365" s="226" t="n">
        <f aca="false">SUM(AY365+BA365)</f>
        <v>122.916666666667</v>
      </c>
      <c r="Q365" s="201" t="s">
        <v>1532</v>
      </c>
      <c r="R365" s="71" t="n">
        <v>5.9</v>
      </c>
      <c r="S365" s="227"/>
      <c r="T365" s="71"/>
      <c r="U365" s="201"/>
      <c r="V365" s="71"/>
      <c r="W365" s="227"/>
      <c r="X365" s="71"/>
      <c r="Y365" s="201"/>
      <c r="Z365" s="71"/>
      <c r="AA365" s="227"/>
      <c r="AB365" s="71"/>
      <c r="AC365" s="201"/>
      <c r="AD365" s="71"/>
      <c r="AE365" s="227"/>
      <c r="AF365" s="71"/>
      <c r="AG365" s="201"/>
      <c r="AH365" s="71"/>
      <c r="AI365" s="227"/>
      <c r="AJ365" s="71"/>
      <c r="AK365" s="201"/>
      <c r="AL365" s="71"/>
      <c r="AM365" s="227"/>
      <c r="AN365" s="71"/>
      <c r="AO365" s="201"/>
      <c r="AP365" s="71"/>
      <c r="AQ365" s="227"/>
      <c r="AR365" s="71"/>
      <c r="AS365" s="227"/>
      <c r="AT365" s="228"/>
      <c r="AU365" s="227"/>
      <c r="AV365" s="228"/>
      <c r="AW365" s="227"/>
      <c r="AX365" s="229" t="n">
        <f aca="false">SUM(R365+T365+V365+X365+Z365+AB365+AD365+AF365+AH365+AJ365+AL365+AN365+AP365+AR365)</f>
        <v>5.9</v>
      </c>
      <c r="AY365" s="230" t="n">
        <f aca="false">SUM(AX365*1000)/48</f>
        <v>122.916666666667</v>
      </c>
      <c r="AZ365" s="231" t="n">
        <f aca="false">IFERROR(VLOOKUP(A365,'Site check'!$A$14:$O$47,15,0),0)</f>
        <v>0</v>
      </c>
      <c r="BA365" s="232" t="n">
        <f aca="false">SUM(AZ365*1000)/48</f>
        <v>0</v>
      </c>
      <c r="BB365" s="90" t="n">
        <f aca="false">SUM(P365/2)+E365</f>
        <v>217.468333333333</v>
      </c>
      <c r="BC365" s="90" t="n">
        <f aca="false">SUM(P365/2)+F365</f>
        <v>217.468333333333</v>
      </c>
    </row>
    <row r="366" customFormat="false" ht="13.15" hidden="false" customHeight="false" outlineLevel="0" collapsed="false">
      <c r="A366" s="0" t="str">
        <f aca="false">[2]Sheet1!A366</f>
        <v>CDFN02_SEC_CBDB_AB05</v>
      </c>
      <c r="B366" s="0" t="str">
        <f aca="false">[2]Sheet1!B366</f>
        <v>CDFN02;DC SYS01</v>
      </c>
      <c r="C366" s="44" t="str">
        <f aca="false">[2]Sheet1!C366</f>
        <v>CDFN02</v>
      </c>
      <c r="D366" s="44" t="s">
        <v>490</v>
      </c>
      <c r="E366" s="0" t="n">
        <f aca="false">[2]Sheet1!D366</f>
        <v>120</v>
      </c>
      <c r="F366" s="0" t="n">
        <f aca="false">[2]Sheet1!E366</f>
        <v>140</v>
      </c>
      <c r="G366" s="45" t="str">
        <f aca="false">[2]Sheet1!F366</f>
        <v>23rd JUNE 2021</v>
      </c>
      <c r="H366" s="0" t="n">
        <f aca="false">[2]Sheet1!G366</f>
        <v>300</v>
      </c>
      <c r="I366" s="0" t="n">
        <f aca="false">[2]Sheet1!H366</f>
        <v>300</v>
      </c>
      <c r="J366" s="0" t="n">
        <f aca="false">[2]Sheet1!I366</f>
        <v>4</v>
      </c>
      <c r="K366" s="0" t="n">
        <f aca="false">[2]Sheet1!J366</f>
        <v>1</v>
      </c>
      <c r="L366" s="0" t="n">
        <f aca="false">[2]Sheet1!K366</f>
        <v>0</v>
      </c>
      <c r="M366" s="0" t="n">
        <f aca="false">[2]Sheet1!L366</f>
        <v>5</v>
      </c>
      <c r="N366" s="0" t="n">
        <f aca="false">[2]Sheet1!M366</f>
        <v>6</v>
      </c>
      <c r="O366" s="0" t="n">
        <f aca="false">[2]Sheet1!N366</f>
        <v>0</v>
      </c>
      <c r="P366" s="226" t="n">
        <f aca="false">SUM(AY366+BA366)</f>
        <v>10.4166666666667</v>
      </c>
      <c r="Q366" s="170" t="s">
        <v>1110</v>
      </c>
      <c r="R366" s="234" t="n">
        <v>0.5</v>
      </c>
      <c r="S366" s="227"/>
      <c r="T366" s="71"/>
      <c r="U366" s="201"/>
      <c r="V366" s="71"/>
      <c r="W366" s="227"/>
      <c r="X366" s="71"/>
      <c r="Y366" s="201"/>
      <c r="Z366" s="71"/>
      <c r="AA366" s="227"/>
      <c r="AB366" s="71"/>
      <c r="AC366" s="201"/>
      <c r="AD366" s="71"/>
      <c r="AE366" s="227"/>
      <c r="AF366" s="71"/>
      <c r="AG366" s="201"/>
      <c r="AH366" s="71"/>
      <c r="AI366" s="227"/>
      <c r="AJ366" s="71"/>
      <c r="AK366" s="201"/>
      <c r="AL366" s="71"/>
      <c r="AM366" s="227"/>
      <c r="AN366" s="71"/>
      <c r="AO366" s="201"/>
      <c r="AP366" s="71"/>
      <c r="AQ366" s="227"/>
      <c r="AR366" s="71"/>
      <c r="AS366" s="227"/>
      <c r="AT366" s="228"/>
      <c r="AU366" s="227"/>
      <c r="AV366" s="228"/>
      <c r="AW366" s="227"/>
      <c r="AX366" s="229" t="n">
        <f aca="false">SUM(R366+T366+V366+X366+Z366+AB366+AD366+AF366+AH366+AJ366+AL366+AN366+AP366+AR366)</f>
        <v>0.5</v>
      </c>
      <c r="AY366" s="230" t="n">
        <f aca="false">SUM(AX366*1000)/48</f>
        <v>10.4166666666667</v>
      </c>
      <c r="AZ366" s="231" t="n">
        <f aca="false">IFERROR(VLOOKUP(A366,'Site check'!$A$14:$O$47,15,0),0)</f>
        <v>0</v>
      </c>
      <c r="BA366" s="232" t="n">
        <f aca="false">SUM(AZ366*1000)/48</f>
        <v>0</v>
      </c>
      <c r="BB366" s="90" t="n">
        <f aca="false">SUM(P366/2)+E366</f>
        <v>125.208333333333</v>
      </c>
      <c r="BC366" s="90" t="n">
        <f aca="false">SUM(P366/2)+F366</f>
        <v>145.208333333333</v>
      </c>
    </row>
    <row r="367" customFormat="false" ht="13.15" hidden="false" customHeight="false" outlineLevel="0" collapsed="false">
      <c r="A367" s="0" t="str">
        <f aca="false">[2]Sheet1!A367</f>
        <v>CDFN02_SEC_CBDB_GH06</v>
      </c>
      <c r="B367" s="0" t="str">
        <f aca="false">[2]Sheet1!B367</f>
        <v>CDFN02;DC SYS01</v>
      </c>
      <c r="C367" s="44" t="str">
        <f aca="false">[2]Sheet1!C367</f>
        <v>CDFN02</v>
      </c>
      <c r="D367" s="44" t="s">
        <v>490</v>
      </c>
      <c r="E367" s="0" t="n">
        <f aca="false">[2]Sheet1!D367</f>
        <v>20</v>
      </c>
      <c r="F367" s="0" t="n">
        <f aca="false">[2]Sheet1!E367</f>
        <v>20</v>
      </c>
      <c r="G367" s="45" t="n">
        <f aca="false">[2]Sheet1!F367</f>
        <v>41866</v>
      </c>
      <c r="H367" s="0" t="n">
        <f aca="false">[2]Sheet1!G367</f>
        <v>300</v>
      </c>
      <c r="I367" s="0" t="n">
        <f aca="false">[2]Sheet1!H367</f>
        <v>300</v>
      </c>
      <c r="J367" s="0" t="n">
        <f aca="false">[2]Sheet1!I367</f>
        <v>0</v>
      </c>
      <c r="K367" s="0" t="n">
        <f aca="false">[2]Sheet1!J367</f>
        <v>0</v>
      </c>
      <c r="L367" s="0" t="n">
        <f aca="false">[2]Sheet1!K367</f>
        <v>0</v>
      </c>
      <c r="M367" s="0" t="n">
        <f aca="false">[2]Sheet1!L367</f>
        <v>0</v>
      </c>
      <c r="N367" s="0" t="n">
        <f aca="false">[2]Sheet1!M367</f>
        <v>0</v>
      </c>
      <c r="O367" s="0" t="n">
        <f aca="false">[2]Sheet1!N367</f>
        <v>0</v>
      </c>
      <c r="P367" s="226" t="n">
        <f aca="false">SUM(AY367+BA367)</f>
        <v>52.0833333333333</v>
      </c>
      <c r="Q367" s="170" t="s">
        <v>1111</v>
      </c>
      <c r="R367" s="234" t="n">
        <v>2.5</v>
      </c>
      <c r="S367" s="227"/>
      <c r="T367" s="71"/>
      <c r="U367" s="201"/>
      <c r="V367" s="71"/>
      <c r="W367" s="227"/>
      <c r="X367" s="71"/>
      <c r="Y367" s="201"/>
      <c r="Z367" s="71"/>
      <c r="AA367" s="227"/>
      <c r="AB367" s="71"/>
      <c r="AC367" s="201"/>
      <c r="AD367" s="71"/>
      <c r="AE367" s="227"/>
      <c r="AF367" s="71"/>
      <c r="AG367" s="201"/>
      <c r="AH367" s="71"/>
      <c r="AI367" s="227"/>
      <c r="AJ367" s="71"/>
      <c r="AK367" s="201"/>
      <c r="AL367" s="71"/>
      <c r="AM367" s="227"/>
      <c r="AN367" s="71"/>
      <c r="AO367" s="201"/>
      <c r="AP367" s="71"/>
      <c r="AQ367" s="227"/>
      <c r="AR367" s="71"/>
      <c r="AS367" s="227"/>
      <c r="AT367" s="228"/>
      <c r="AU367" s="227"/>
      <c r="AV367" s="228"/>
      <c r="AW367" s="227"/>
      <c r="AX367" s="229" t="n">
        <f aca="false">SUM(R367+T367+V367+X367+Z367+AB367+AD367+AF367+AH367+AJ367+AL367+AN367+AP367+AR367)</f>
        <v>2.5</v>
      </c>
      <c r="AY367" s="230" t="n">
        <f aca="false">SUM(AX367*1000)/48</f>
        <v>52.0833333333333</v>
      </c>
      <c r="AZ367" s="231" t="n">
        <f aca="false">IFERROR(VLOOKUP(A367,'Site check'!$A$14:$O$47,15,0),0)</f>
        <v>0</v>
      </c>
      <c r="BA367" s="232" t="n">
        <f aca="false">SUM(AZ367*1000)/48</f>
        <v>0</v>
      </c>
      <c r="BB367" s="90" t="n">
        <f aca="false">SUM(P367/2)+E367</f>
        <v>46.0416666666667</v>
      </c>
      <c r="BC367" s="90" t="n">
        <f aca="false">SUM(P367/2)+F367</f>
        <v>46.0416666666667</v>
      </c>
    </row>
    <row r="368" customFormat="false" ht="13.15" hidden="false" customHeight="false" outlineLevel="0" collapsed="false">
      <c r="A368" s="0" t="str">
        <f aca="false">[2]Sheet1!A368</f>
        <v>CHMN21_SEC_EATON DCDB1</v>
      </c>
      <c r="B368" s="0" t="str">
        <f aca="false">[2]Sheet1!B368</f>
        <v>CHMN21;DC SYS01</v>
      </c>
      <c r="C368" s="44" t="str">
        <f aca="false">[2]Sheet1!C368</f>
        <v>CHMN21</v>
      </c>
      <c r="D368" s="44" t="s">
        <v>499</v>
      </c>
      <c r="E368" s="0" t="n">
        <f aca="false">[2]Sheet1!D368</f>
        <v>5</v>
      </c>
      <c r="F368" s="0" t="n">
        <f aca="false">[2]Sheet1!E368</f>
        <v>5</v>
      </c>
      <c r="G368" s="45" t="n">
        <f aca="false">[2]Sheet1!F368</f>
        <v>42871</v>
      </c>
      <c r="H368" s="0" t="n">
        <f aca="false">[2]Sheet1!G368</f>
        <v>300</v>
      </c>
      <c r="I368" s="0" t="n">
        <f aca="false">[2]Sheet1!H368</f>
        <v>300</v>
      </c>
      <c r="J368" s="0" t="n">
        <f aca="false">[2]Sheet1!I368</f>
        <v>0</v>
      </c>
      <c r="K368" s="0" t="n">
        <f aca="false">[2]Sheet1!J368</f>
        <v>0</v>
      </c>
      <c r="L368" s="0" t="n">
        <f aca="false">[2]Sheet1!K368</f>
        <v>0</v>
      </c>
      <c r="M368" s="0" t="n">
        <f aca="false">[2]Sheet1!L368</f>
        <v>0</v>
      </c>
      <c r="N368" s="0" t="n">
        <f aca="false">[2]Sheet1!M368</f>
        <v>0</v>
      </c>
      <c r="O368" s="0" t="n">
        <f aca="false">[2]Sheet1!N368</f>
        <v>53</v>
      </c>
      <c r="P368" s="226" t="n">
        <f aca="false">SUM(AY368+BA368)</f>
        <v>0</v>
      </c>
      <c r="Q368" s="201"/>
      <c r="R368" s="71"/>
      <c r="S368" s="227"/>
      <c r="T368" s="71"/>
      <c r="U368" s="201"/>
      <c r="V368" s="71"/>
      <c r="W368" s="227"/>
      <c r="X368" s="71"/>
      <c r="Y368" s="201"/>
      <c r="Z368" s="71"/>
      <c r="AA368" s="227"/>
      <c r="AB368" s="71"/>
      <c r="AC368" s="201"/>
      <c r="AD368" s="71"/>
      <c r="AE368" s="227"/>
      <c r="AF368" s="71"/>
      <c r="AG368" s="201"/>
      <c r="AH368" s="71"/>
      <c r="AI368" s="227"/>
      <c r="AJ368" s="71"/>
      <c r="AK368" s="201"/>
      <c r="AL368" s="71"/>
      <c r="AM368" s="227"/>
      <c r="AN368" s="71"/>
      <c r="AO368" s="201"/>
      <c r="AP368" s="71"/>
      <c r="AQ368" s="227"/>
      <c r="AR368" s="71"/>
      <c r="AS368" s="227"/>
      <c r="AT368" s="228"/>
      <c r="AU368" s="227"/>
      <c r="AV368" s="228"/>
      <c r="AW368" s="227"/>
      <c r="AX368" s="229" t="n">
        <f aca="false">SUM(R368+T368+V368+X368+Z368+AB368+AD368+AF368+AH368+AJ368+AL368+AN368+AP368+AR368)</f>
        <v>0</v>
      </c>
      <c r="AY368" s="230" t="n">
        <f aca="false">SUM(AX368*1000)/48</f>
        <v>0</v>
      </c>
      <c r="AZ368" s="231" t="n">
        <f aca="false">IFERROR(VLOOKUP(A368,'Site check'!$A$14:$O$47,15,0),0)</f>
        <v>0</v>
      </c>
      <c r="BA368" s="232" t="n">
        <f aca="false">SUM(AZ368*1000)/48</f>
        <v>0</v>
      </c>
      <c r="BB368" s="90" t="n">
        <f aca="false">SUM(P368/2)+E368</f>
        <v>5</v>
      </c>
      <c r="BC368" s="90" t="n">
        <f aca="false">SUM(P368/2)+F368</f>
        <v>5</v>
      </c>
    </row>
    <row r="369" customFormat="false" ht="13.15" hidden="false" customHeight="false" outlineLevel="0" collapsed="false">
      <c r="A369" s="0" t="str">
        <f aca="false">[2]Sheet1!A369</f>
        <v>CTNN01_PDU1A_B</v>
      </c>
      <c r="B369" s="0" t="str">
        <f aca="false">[2]Sheet1!B369</f>
        <v>CTNN01-DCSYS01A</v>
      </c>
      <c r="C369" s="44" t="str">
        <f aca="false">[2]Sheet1!C369</f>
        <v>CTNN01</v>
      </c>
      <c r="D369" s="44" t="s">
        <v>517</v>
      </c>
      <c r="E369" s="0" t="n">
        <f aca="false">[2]Sheet1!D369</f>
        <v>6.27</v>
      </c>
      <c r="F369" s="0" t="n">
        <f aca="false">[2]Sheet1!E369</f>
        <v>3.37</v>
      </c>
      <c r="G369" s="45" t="n">
        <f aca="false">[2]Sheet1!F369</f>
        <v>45631</v>
      </c>
      <c r="H369" s="0" t="n">
        <f aca="false">[2]Sheet1!G369</f>
        <v>360</v>
      </c>
      <c r="I369" s="0" t="n">
        <f aca="false">[2]Sheet1!H369</f>
        <v>360</v>
      </c>
      <c r="J369" s="0" t="n">
        <f aca="false">[2]Sheet1!I369</f>
        <v>0</v>
      </c>
      <c r="K369" s="0" t="n">
        <f aca="false">[2]Sheet1!J369</f>
        <v>0</v>
      </c>
      <c r="L369" s="0" t="n">
        <f aca="false">[2]Sheet1!K369</f>
        <v>0</v>
      </c>
      <c r="M369" s="0" t="n">
        <f aca="false">[2]Sheet1!L369</f>
        <v>0</v>
      </c>
      <c r="N369" s="0" t="n">
        <f aca="false">[2]Sheet1!M369</f>
        <v>0</v>
      </c>
      <c r="O369" s="0" t="n">
        <f aca="false">[2]Sheet1!N369</f>
        <v>0</v>
      </c>
      <c r="P369" s="226" t="n">
        <f aca="false">SUM(AY369+BA369)</f>
        <v>239.583333333333</v>
      </c>
      <c r="Q369" s="170" t="s">
        <v>1533</v>
      </c>
      <c r="R369" s="234" t="n">
        <v>11.5</v>
      </c>
      <c r="S369" s="227"/>
      <c r="T369" s="234"/>
      <c r="U369" s="201"/>
      <c r="V369" s="71"/>
      <c r="W369" s="227"/>
      <c r="X369" s="71"/>
      <c r="Y369" s="201"/>
      <c r="Z369" s="71"/>
      <c r="AA369" s="227"/>
      <c r="AB369" s="71"/>
      <c r="AC369" s="201"/>
      <c r="AD369" s="71"/>
      <c r="AE369" s="227"/>
      <c r="AF369" s="71"/>
      <c r="AG369" s="201"/>
      <c r="AH369" s="71"/>
      <c r="AI369" s="227"/>
      <c r="AJ369" s="71"/>
      <c r="AK369" s="201"/>
      <c r="AL369" s="71"/>
      <c r="AM369" s="227"/>
      <c r="AN369" s="71"/>
      <c r="AO369" s="201"/>
      <c r="AP369" s="71"/>
      <c r="AQ369" s="227"/>
      <c r="AR369" s="71"/>
      <c r="AS369" s="227"/>
      <c r="AT369" s="228"/>
      <c r="AU369" s="227"/>
      <c r="AV369" s="228"/>
      <c r="AW369" s="227"/>
      <c r="AX369" s="229" t="n">
        <f aca="false">SUM(R369+T369+V369+X369+Z369+AB369+AD369+AF369+AH369+AJ369+AL369+AN369+AP369+AR369)</f>
        <v>11.5</v>
      </c>
      <c r="AY369" s="230" t="n">
        <f aca="false">SUM(AX369*1000)/48</f>
        <v>239.583333333333</v>
      </c>
      <c r="AZ369" s="231" t="n">
        <f aca="false">IFERROR(VLOOKUP(A369,'Site check'!$A$14:$O$47,15,0),0)</f>
        <v>0</v>
      </c>
      <c r="BA369" s="232" t="n">
        <f aca="false">SUM(AZ369*1000)/48</f>
        <v>0</v>
      </c>
      <c r="BB369" s="90" t="n">
        <f aca="false">SUM(P369/2)+E369</f>
        <v>126.061666666667</v>
      </c>
      <c r="BC369" s="90" t="n">
        <f aca="false">SUM(P369/2)+F369</f>
        <v>123.161666666667</v>
      </c>
    </row>
    <row r="370" customFormat="false" ht="13.15" hidden="false" customHeight="false" outlineLevel="0" collapsed="false">
      <c r="A370" s="0" t="str">
        <f aca="false">[2]Sheet1!A370</f>
        <v>CTNN01_SEC_DD770_EF01</v>
      </c>
      <c r="B370" s="0" t="str">
        <f aca="false">[2]Sheet1!B370</f>
        <v>CTNN01-DCSYS01A</v>
      </c>
      <c r="C370" s="44" t="str">
        <f aca="false">[2]Sheet1!C370</f>
        <v>CTNN01</v>
      </c>
      <c r="D370" s="44" t="s">
        <v>517</v>
      </c>
      <c r="E370" s="0" t="n">
        <f aca="false">[2]Sheet1!D370</f>
        <v>60</v>
      </c>
      <c r="F370" s="0" t="n">
        <f aca="false">[2]Sheet1!E370</f>
        <v>50</v>
      </c>
      <c r="G370" s="45" t="n">
        <f aca="false">[2]Sheet1!F370</f>
        <v>44571</v>
      </c>
      <c r="H370" s="0" t="n">
        <f aca="false">[2]Sheet1!G370</f>
        <v>300</v>
      </c>
      <c r="I370" s="0" t="n">
        <f aca="false">[2]Sheet1!H370</f>
        <v>300</v>
      </c>
      <c r="J370" s="0" t="n">
        <f aca="false">[2]Sheet1!I370</f>
        <v>6</v>
      </c>
      <c r="K370" s="0" t="n">
        <f aca="false">[2]Sheet1!J370</f>
        <v>7</v>
      </c>
      <c r="L370" s="0" t="n">
        <f aca="false">[2]Sheet1!K370</f>
        <v>0</v>
      </c>
      <c r="M370" s="0" t="n">
        <f aca="false">[2]Sheet1!L370</f>
        <v>14</v>
      </c>
      <c r="N370" s="0" t="n">
        <f aca="false">[2]Sheet1!M370</f>
        <v>3</v>
      </c>
      <c r="O370" s="0" t="n">
        <f aca="false">[2]Sheet1!N370</f>
        <v>0</v>
      </c>
      <c r="P370" s="226" t="n">
        <f aca="false">SUM(AY370+BA370)</f>
        <v>20.8333333333333</v>
      </c>
      <c r="Q370" s="177" t="s">
        <v>1140</v>
      </c>
      <c r="R370" s="235" t="n">
        <v>1</v>
      </c>
      <c r="T370" s="71"/>
      <c r="U370" s="201"/>
      <c r="V370" s="71"/>
      <c r="W370" s="227"/>
      <c r="X370" s="71"/>
      <c r="Y370" s="201"/>
      <c r="Z370" s="71"/>
      <c r="AA370" s="227"/>
      <c r="AB370" s="71"/>
      <c r="AC370" s="201"/>
      <c r="AD370" s="71"/>
      <c r="AE370" s="227"/>
      <c r="AF370" s="71"/>
      <c r="AG370" s="201"/>
      <c r="AH370" s="71"/>
      <c r="AI370" s="227"/>
      <c r="AJ370" s="71"/>
      <c r="AK370" s="201"/>
      <c r="AL370" s="71"/>
      <c r="AM370" s="227"/>
      <c r="AN370" s="71"/>
      <c r="AO370" s="201"/>
      <c r="AP370" s="71"/>
      <c r="AQ370" s="227"/>
      <c r="AR370" s="71"/>
      <c r="AS370" s="227"/>
      <c r="AT370" s="228"/>
      <c r="AU370" s="227"/>
      <c r="AV370" s="228"/>
      <c r="AW370" s="227"/>
      <c r="AX370" s="229" t="n">
        <f aca="false">SUM(R370+T370+V370+X370+Z370+AB370+AD370+AF370+AH370+AJ370+AL370+AN370+AP370+AR370)</f>
        <v>1</v>
      </c>
      <c r="AY370" s="230" t="n">
        <f aca="false">SUM(AX370*1000)/48</f>
        <v>20.8333333333333</v>
      </c>
      <c r="AZ370" s="231" t="n">
        <f aca="false">IFERROR(VLOOKUP(A370,'Site check'!$A$14:$O$47,15,0),0)</f>
        <v>0</v>
      </c>
      <c r="BA370" s="232" t="n">
        <f aca="false">SUM(AZ370*1000)/48</f>
        <v>0</v>
      </c>
      <c r="BB370" s="90" t="n">
        <f aca="false">SUM(P370/2)+E370</f>
        <v>70.4166666666667</v>
      </c>
      <c r="BC370" s="90" t="n">
        <f aca="false">SUM(P370/2)+F370</f>
        <v>60.4166666666667</v>
      </c>
    </row>
    <row r="371" customFormat="false" ht="13.15" hidden="false" customHeight="false" outlineLevel="0" collapsed="false">
      <c r="A371" s="0" t="str">
        <f aca="false">[2]Sheet1!A371</f>
        <v>CTNN01_SEC_DD770_N01</v>
      </c>
      <c r="B371" s="0" t="str">
        <f aca="false">[2]Sheet1!B371</f>
        <v>CTNN01-DCSYS01A</v>
      </c>
      <c r="C371" s="44" t="str">
        <f aca="false">[2]Sheet1!C371</f>
        <v>CTNN01</v>
      </c>
      <c r="D371" s="44" t="s">
        <v>517</v>
      </c>
      <c r="E371" s="0" t="n">
        <f aca="false">[2]Sheet1!D371</f>
        <v>0</v>
      </c>
      <c r="F371" s="0" t="n">
        <f aca="false">[2]Sheet1!E371</f>
        <v>0</v>
      </c>
      <c r="G371" s="45" t="n">
        <f aca="false">[2]Sheet1!F371</f>
        <v>44397</v>
      </c>
      <c r="H371" s="0" t="n">
        <f aca="false">[2]Sheet1!G371</f>
        <v>300</v>
      </c>
      <c r="I371" s="0" t="n">
        <f aca="false">[2]Sheet1!H371</f>
        <v>300</v>
      </c>
      <c r="J371" s="0" t="n">
        <f aca="false">[2]Sheet1!I371</f>
        <v>6</v>
      </c>
      <c r="K371" s="0" t="n">
        <f aca="false">[2]Sheet1!J371</f>
        <v>6</v>
      </c>
      <c r="L371" s="0" t="n">
        <f aca="false">[2]Sheet1!K371</f>
        <v>12</v>
      </c>
      <c r="M371" s="0" t="n">
        <f aca="false">[2]Sheet1!L371</f>
        <v>22</v>
      </c>
      <c r="N371" s="0" t="n">
        <f aca="false">[2]Sheet1!M371</f>
        <v>10</v>
      </c>
      <c r="O371" s="0" t="n">
        <f aca="false">[2]Sheet1!N371</f>
        <v>0</v>
      </c>
      <c r="P371" s="226" t="n">
        <f aca="false">SUM(AY371+BA371)</f>
        <v>0</v>
      </c>
      <c r="Q371" s="170"/>
      <c r="R371" s="234"/>
      <c r="S371" s="227"/>
      <c r="T371" s="71"/>
      <c r="U371" s="201"/>
      <c r="V371" s="71"/>
      <c r="W371" s="227"/>
      <c r="X371" s="71"/>
      <c r="Y371" s="201"/>
      <c r="Z371" s="71"/>
      <c r="AA371" s="227"/>
      <c r="AB371" s="71"/>
      <c r="AC371" s="201"/>
      <c r="AD371" s="71"/>
      <c r="AE371" s="227"/>
      <c r="AF371" s="71"/>
      <c r="AG371" s="201"/>
      <c r="AH371" s="71"/>
      <c r="AI371" s="227"/>
      <c r="AJ371" s="71"/>
      <c r="AK371" s="201"/>
      <c r="AL371" s="71"/>
      <c r="AM371" s="227"/>
      <c r="AN371" s="71"/>
      <c r="AO371" s="201"/>
      <c r="AP371" s="71"/>
      <c r="AQ371" s="227"/>
      <c r="AR371" s="71"/>
      <c r="AS371" s="227"/>
      <c r="AT371" s="228"/>
      <c r="AU371" s="227"/>
      <c r="AV371" s="228"/>
      <c r="AW371" s="227"/>
      <c r="AX371" s="229" t="n">
        <f aca="false">SUM(R371+T371+V371+X371+Z371+AB371+AD371+AF371+AH371+AJ371+AL371+AN371+AP371+AR371)</f>
        <v>0</v>
      </c>
      <c r="AY371" s="230" t="n">
        <f aca="false">SUM(AX371*1000)/48</f>
        <v>0</v>
      </c>
      <c r="AZ371" s="231" t="n">
        <f aca="false">IFERROR(VLOOKUP(A371,'Site check'!$A$14:$O$47,15,0),0)</f>
        <v>0</v>
      </c>
      <c r="BA371" s="232" t="n">
        <f aca="false">SUM(AZ371*1000)/48</f>
        <v>0</v>
      </c>
      <c r="BB371" s="90" t="n">
        <f aca="false">SUM(P371/2)+E371</f>
        <v>0</v>
      </c>
      <c r="BC371" s="90" t="n">
        <f aca="false">SUM(P371/2)+F371</f>
        <v>0</v>
      </c>
    </row>
    <row r="372" customFormat="false" ht="13.15" hidden="false" customHeight="false" outlineLevel="0" collapsed="false">
      <c r="A372" s="0" t="str">
        <f aca="false">[2]Sheet1!A372</f>
        <v>CKNN03_PDU1A_B</v>
      </c>
      <c r="B372" s="0" t="str">
        <f aca="false">[2]Sheet1!B372</f>
        <v>CKNN03-DCSYS01a</v>
      </c>
      <c r="C372" s="44" t="str">
        <f aca="false">[2]Sheet1!C372</f>
        <v>CKNN03</v>
      </c>
      <c r="D372" s="44" t="s">
        <v>1534</v>
      </c>
      <c r="E372" s="0" t="n">
        <f aca="false">[2]Sheet1!D372</f>
        <v>1.5</v>
      </c>
      <c r="F372" s="0" t="n">
        <f aca="false">[2]Sheet1!E372</f>
        <v>5.11</v>
      </c>
      <c r="G372" s="45" t="n">
        <f aca="false">[2]Sheet1!F372</f>
        <v>45665</v>
      </c>
      <c r="H372" s="0" t="n">
        <f aca="false">[2]Sheet1!G372</f>
        <v>360</v>
      </c>
      <c r="I372" s="0" t="n">
        <f aca="false">[2]Sheet1!H372</f>
        <v>360</v>
      </c>
      <c r="J372" s="0" t="n">
        <f aca="false">[2]Sheet1!I372</f>
        <v>0</v>
      </c>
      <c r="K372" s="0" t="n">
        <f aca="false">[2]Sheet1!J372</f>
        <v>0</v>
      </c>
      <c r="L372" s="0" t="n">
        <f aca="false">[2]Sheet1!K372</f>
        <v>0</v>
      </c>
      <c r="M372" s="0" t="n">
        <f aca="false">[2]Sheet1!L372</f>
        <v>0</v>
      </c>
      <c r="N372" s="0" t="n">
        <f aca="false">[2]Sheet1!M372</f>
        <v>0</v>
      </c>
      <c r="O372" s="0" t="n">
        <f aca="false">[2]Sheet1!N372</f>
        <v>0</v>
      </c>
      <c r="P372" s="226" t="n">
        <f aca="false">SUM(AY372+BA372)</f>
        <v>241.666666666667</v>
      </c>
      <c r="Q372" s="170" t="s">
        <v>1130</v>
      </c>
      <c r="R372" s="234" t="n">
        <v>11.6</v>
      </c>
      <c r="S372" s="170"/>
      <c r="T372" s="234"/>
      <c r="U372" s="201"/>
      <c r="V372" s="71"/>
      <c r="W372" s="227"/>
      <c r="X372" s="71"/>
      <c r="Y372" s="201"/>
      <c r="Z372" s="71"/>
      <c r="AA372" s="227"/>
      <c r="AB372" s="71"/>
      <c r="AC372" s="201"/>
      <c r="AD372" s="71"/>
      <c r="AE372" s="227"/>
      <c r="AF372" s="71"/>
      <c r="AG372" s="201"/>
      <c r="AH372" s="71"/>
      <c r="AI372" s="227"/>
      <c r="AJ372" s="71"/>
      <c r="AK372" s="201"/>
      <c r="AL372" s="71"/>
      <c r="AM372" s="227"/>
      <c r="AN372" s="71"/>
      <c r="AO372" s="201"/>
      <c r="AP372" s="71"/>
      <c r="AQ372" s="227"/>
      <c r="AR372" s="71"/>
      <c r="AS372" s="227"/>
      <c r="AT372" s="228"/>
      <c r="AU372" s="227"/>
      <c r="AV372" s="228"/>
      <c r="AW372" s="227"/>
      <c r="AX372" s="229" t="n">
        <f aca="false">SUM(R372+T372+V372+X372+Z372+AB372+AD372+AF372+AH372+AJ372+AL372+AN372+AP372+AR372)</f>
        <v>11.6</v>
      </c>
      <c r="AY372" s="230" t="n">
        <f aca="false">SUM(AX372*1000)/48</f>
        <v>241.666666666667</v>
      </c>
      <c r="AZ372" s="231" t="n">
        <f aca="false">IFERROR(VLOOKUP(A372,'Site check'!$A$14:$O$47,15,0),0)</f>
        <v>0</v>
      </c>
      <c r="BA372" s="232" t="n">
        <f aca="false">SUM(AZ372*1000)/48</f>
        <v>0</v>
      </c>
      <c r="BB372" s="90" t="n">
        <f aca="false">SUM(P372/2)+E372</f>
        <v>122.333333333333</v>
      </c>
      <c r="BC372" s="90" t="n">
        <f aca="false">SUM(P372/2)+F372</f>
        <v>125.943333333333</v>
      </c>
    </row>
    <row r="373" customFormat="false" ht="13.15" hidden="false" customHeight="false" outlineLevel="0" collapsed="false">
      <c r="A373" s="0" t="str">
        <f aca="false">[2]Sheet1!A373</f>
        <v>CKNN03_SEC_DCSYS - IGNORE</v>
      </c>
      <c r="B373" s="0" t="str">
        <f aca="false">[2]Sheet1!B373</f>
        <v>CKNN03-DCSYS01a</v>
      </c>
      <c r="C373" s="44" t="str">
        <f aca="false">[2]Sheet1!C373</f>
        <v>CKNN03</v>
      </c>
      <c r="D373" s="44" t="s">
        <v>505</v>
      </c>
      <c r="E373" s="0" t="n">
        <f aca="false">[2]Sheet1!D373</f>
        <v>0</v>
      </c>
      <c r="F373" s="0" t="n">
        <f aca="false">[2]Sheet1!E373</f>
        <v>0</v>
      </c>
      <c r="G373" s="45" t="n">
        <f aca="false">[2]Sheet1!F373</f>
        <v>44382</v>
      </c>
      <c r="H373" s="0" t="str">
        <f aca="false">[2]Sheet1!G373</f>
        <v>NOT SPECIFIED</v>
      </c>
      <c r="I373" s="0" t="str">
        <f aca="false">[2]Sheet1!H373</f>
        <v>NOT SPECIFIED</v>
      </c>
      <c r="J373" s="0" t="n">
        <f aca="false">[2]Sheet1!I373</f>
        <v>0</v>
      </c>
      <c r="K373" s="0" t="n">
        <f aca="false">[2]Sheet1!J373</f>
        <v>0</v>
      </c>
      <c r="L373" s="0" t="n">
        <f aca="false">[2]Sheet1!K373</f>
        <v>0</v>
      </c>
      <c r="M373" s="0" t="n">
        <f aca="false">[2]Sheet1!L373</f>
        <v>0</v>
      </c>
      <c r="N373" s="0" t="n">
        <f aca="false">[2]Sheet1!M373</f>
        <v>0</v>
      </c>
      <c r="O373" s="0" t="n">
        <f aca="false">[2]Sheet1!N373</f>
        <v>0</v>
      </c>
      <c r="P373" s="226" t="n">
        <f aca="false">SUM(AY373+BA373)</f>
        <v>0</v>
      </c>
      <c r="Q373" s="201"/>
      <c r="R373" s="71"/>
      <c r="S373" s="227"/>
      <c r="T373" s="71"/>
      <c r="U373" s="201"/>
      <c r="V373" s="71"/>
      <c r="W373" s="227"/>
      <c r="X373" s="71"/>
      <c r="Y373" s="201"/>
      <c r="Z373" s="71"/>
      <c r="AA373" s="227"/>
      <c r="AB373" s="71"/>
      <c r="AC373" s="201"/>
      <c r="AD373" s="71"/>
      <c r="AE373" s="227"/>
      <c r="AF373" s="71"/>
      <c r="AG373" s="201"/>
      <c r="AH373" s="71"/>
      <c r="AI373" s="227"/>
      <c r="AJ373" s="71"/>
      <c r="AK373" s="201"/>
      <c r="AL373" s="71"/>
      <c r="AM373" s="227"/>
      <c r="AN373" s="71"/>
      <c r="AO373" s="201"/>
      <c r="AP373" s="71"/>
      <c r="AQ373" s="227"/>
      <c r="AR373" s="71"/>
      <c r="AS373" s="227"/>
      <c r="AT373" s="228"/>
      <c r="AU373" s="227"/>
      <c r="AV373" s="228"/>
      <c r="AW373" s="227"/>
      <c r="AX373" s="229" t="n">
        <f aca="false">SUM(R373+T373+V373+X373+Z373+AB373+AD373+AF373+AH373+AJ373+AL373+AN373+AP373+AR373)</f>
        <v>0</v>
      </c>
      <c r="AY373" s="230" t="n">
        <f aca="false">SUM(AX373*1000)/48</f>
        <v>0</v>
      </c>
      <c r="AZ373" s="231" t="n">
        <f aca="false">IFERROR(VLOOKUP(A373,'Site check'!$A$14:$O$47,15,0),0)</f>
        <v>0</v>
      </c>
      <c r="BA373" s="232" t="n">
        <f aca="false">SUM(AZ373*1000)/48</f>
        <v>0</v>
      </c>
      <c r="BB373" s="90" t="n">
        <f aca="false">SUM(P373/2)+E373</f>
        <v>0</v>
      </c>
      <c r="BC373" s="90" t="n">
        <f aca="false">SUM(P373/2)+F373</f>
        <v>0</v>
      </c>
    </row>
    <row r="374" customFormat="false" ht="13.15" hidden="false" customHeight="false" outlineLevel="0" collapsed="false">
      <c r="A374" s="0" t="str">
        <f aca="false">[2]Sheet1!A374</f>
        <v>CKNN03_SEC_DD770_CD01</v>
      </c>
      <c r="B374" s="0" t="str">
        <f aca="false">[2]Sheet1!B374</f>
        <v>CKNN03-DCSYS01a</v>
      </c>
      <c r="C374" s="44" t="str">
        <f aca="false">[2]Sheet1!C374</f>
        <v>CKNN03</v>
      </c>
      <c r="D374" s="44" t="s">
        <v>505</v>
      </c>
      <c r="E374" s="0" t="n">
        <f aca="false">[2]Sheet1!D374</f>
        <v>30</v>
      </c>
      <c r="F374" s="0" t="n">
        <f aca="false">[2]Sheet1!E374</f>
        <v>40</v>
      </c>
      <c r="G374" s="45" t="n">
        <f aca="false">[2]Sheet1!F374</f>
        <v>45089</v>
      </c>
      <c r="H374" s="0" t="n">
        <f aca="false">[2]Sheet1!G374</f>
        <v>300</v>
      </c>
      <c r="I374" s="0" t="n">
        <f aca="false">[2]Sheet1!H374</f>
        <v>300</v>
      </c>
      <c r="J374" s="0" t="n">
        <f aca="false">[2]Sheet1!I374</f>
        <v>5</v>
      </c>
      <c r="K374" s="0" t="n">
        <f aca="false">[2]Sheet1!J374</f>
        <v>6</v>
      </c>
      <c r="L374" s="0" t="n">
        <f aca="false">[2]Sheet1!K374</f>
        <v>2</v>
      </c>
      <c r="M374" s="0" t="n">
        <f aca="false">[2]Sheet1!L374</f>
        <v>18</v>
      </c>
      <c r="N374" s="0" t="n">
        <f aca="false">[2]Sheet1!M374</f>
        <v>10</v>
      </c>
      <c r="O374" s="0" t="n">
        <f aca="false">[2]Sheet1!N374</f>
        <v>0</v>
      </c>
      <c r="P374" s="226" t="n">
        <f aca="false">SUM(AY374+BA374)</f>
        <v>20.8333333333333</v>
      </c>
      <c r="Q374" s="177" t="s">
        <v>1131</v>
      </c>
      <c r="R374" s="235" t="n">
        <v>1</v>
      </c>
      <c r="S374" s="227"/>
      <c r="T374" s="71"/>
      <c r="U374" s="201"/>
      <c r="V374" s="71"/>
      <c r="W374" s="227"/>
      <c r="X374" s="71"/>
      <c r="Y374" s="201"/>
      <c r="Z374" s="71"/>
      <c r="AA374" s="227"/>
      <c r="AB374" s="71"/>
      <c r="AC374" s="201"/>
      <c r="AD374" s="71"/>
      <c r="AE374" s="227"/>
      <c r="AF374" s="71"/>
      <c r="AG374" s="201"/>
      <c r="AH374" s="71"/>
      <c r="AI374" s="227"/>
      <c r="AJ374" s="71"/>
      <c r="AK374" s="201"/>
      <c r="AL374" s="71"/>
      <c r="AM374" s="227"/>
      <c r="AN374" s="71"/>
      <c r="AO374" s="201"/>
      <c r="AP374" s="71"/>
      <c r="AQ374" s="227"/>
      <c r="AR374" s="71"/>
      <c r="AS374" s="227"/>
      <c r="AT374" s="228"/>
      <c r="AU374" s="227"/>
      <c r="AV374" s="228"/>
      <c r="AW374" s="227"/>
      <c r="AX374" s="229" t="n">
        <f aca="false">SUM(R374+T374+V374+X374+Z374+AB374+AD374+AF374+AH374+AJ374+AL374+AN374+AP374+AR374)</f>
        <v>1</v>
      </c>
      <c r="AY374" s="230" t="n">
        <f aca="false">SUM(AX374*1000)/48</f>
        <v>20.8333333333333</v>
      </c>
      <c r="AZ374" s="231" t="n">
        <f aca="false">IFERROR(VLOOKUP(A374,'Site check'!$A$14:$O$47,15,0),0)</f>
        <v>0</v>
      </c>
      <c r="BA374" s="232" t="n">
        <f aca="false">SUM(AZ374*1000)/48</f>
        <v>0</v>
      </c>
      <c r="BB374" s="90" t="n">
        <f aca="false">SUM(P374/2)+E374</f>
        <v>40.4166666666667</v>
      </c>
      <c r="BC374" s="90" t="n">
        <f aca="false">SUM(P374/2)+F374</f>
        <v>50.4166666666667</v>
      </c>
    </row>
    <row r="375" customFormat="false" ht="13.15" hidden="false" customHeight="false" outlineLevel="0" collapsed="false">
      <c r="A375" s="0" t="str">
        <f aca="false">[2]Sheet1!A375</f>
        <v>DVSTB1_DCDB</v>
      </c>
      <c r="B375" s="0" t="str">
        <f aca="false">[2]Sheet1!B375</f>
        <v>DVSTB1; DC SYS01</v>
      </c>
      <c r="C375" s="44" t="str">
        <f aca="false">[2]Sheet1!C375</f>
        <v>DVSTB1</v>
      </c>
      <c r="D375" s="44" t="s">
        <v>556</v>
      </c>
      <c r="E375" s="0" t="n">
        <f aca="false">[2]Sheet1!D375</f>
        <v>0</v>
      </c>
      <c r="F375" s="0" t="n">
        <f aca="false">[2]Sheet1!E375</f>
        <v>0</v>
      </c>
      <c r="G375" s="45" t="n">
        <f aca="false">[2]Sheet1!F375</f>
        <v>0</v>
      </c>
      <c r="H375" s="0" t="n">
        <f aca="false">[2]Sheet1!G375</f>
        <v>300</v>
      </c>
      <c r="I375" s="0" t="n">
        <f aca="false">[2]Sheet1!H375</f>
        <v>300</v>
      </c>
      <c r="J375" s="0" t="n">
        <f aca="false">[2]Sheet1!I375</f>
        <v>0</v>
      </c>
      <c r="K375" s="0" t="n">
        <f aca="false">[2]Sheet1!J375</f>
        <v>0</v>
      </c>
      <c r="L375" s="0" t="n">
        <f aca="false">[2]Sheet1!K375</f>
        <v>0</v>
      </c>
      <c r="M375" s="0" t="n">
        <f aca="false">[2]Sheet1!L375</f>
        <v>0</v>
      </c>
      <c r="N375" s="0" t="n">
        <f aca="false">[2]Sheet1!M375</f>
        <v>0</v>
      </c>
      <c r="O375" s="0" t="n">
        <f aca="false">[2]Sheet1!N375</f>
        <v>0</v>
      </c>
      <c r="P375" s="226" t="n">
        <f aca="false">SUM(AY375+BA375)</f>
        <v>0</v>
      </c>
      <c r="Q375" s="201"/>
      <c r="R375" s="71"/>
      <c r="S375" s="227"/>
      <c r="T375" s="71"/>
      <c r="U375" s="201"/>
      <c r="V375" s="71"/>
      <c r="W375" s="227"/>
      <c r="X375" s="71"/>
      <c r="Y375" s="201"/>
      <c r="Z375" s="71"/>
      <c r="AA375" s="227"/>
      <c r="AB375" s="71"/>
      <c r="AC375" s="201"/>
      <c r="AD375" s="71"/>
      <c r="AE375" s="227"/>
      <c r="AF375" s="71"/>
      <c r="AG375" s="201"/>
      <c r="AH375" s="71"/>
      <c r="AI375" s="227"/>
      <c r="AJ375" s="71"/>
      <c r="AK375" s="201"/>
      <c r="AL375" s="71"/>
      <c r="AM375" s="227"/>
      <c r="AN375" s="71"/>
      <c r="AO375" s="201"/>
      <c r="AP375" s="71"/>
      <c r="AQ375" s="227"/>
      <c r="AR375" s="71"/>
      <c r="AS375" s="227"/>
      <c r="AT375" s="228"/>
      <c r="AU375" s="227"/>
      <c r="AV375" s="228"/>
      <c r="AW375" s="227"/>
      <c r="AX375" s="229" t="n">
        <f aca="false">SUM(R375+T375+V375+X375+Z375+AB375+AD375+AF375+AH375+AJ375+AL375+AN375+AP375+AR375)</f>
        <v>0</v>
      </c>
      <c r="AY375" s="230" t="n">
        <f aca="false">SUM(AX375*1000)/48</f>
        <v>0</v>
      </c>
      <c r="AZ375" s="231" t="n">
        <f aca="false">IFERROR(VLOOKUP(A375,'Site check'!$A$14:$O$47,15,0),0)</f>
        <v>0</v>
      </c>
      <c r="BA375" s="232" t="n">
        <f aca="false">SUM(AZ375*1000)/48</f>
        <v>0</v>
      </c>
      <c r="BB375" s="90" t="n">
        <f aca="false">SUM(P375/2)+E375</f>
        <v>0</v>
      </c>
      <c r="BC375" s="90" t="n">
        <f aca="false">SUM(P375/2)+F375</f>
        <v>0</v>
      </c>
    </row>
    <row r="376" customFormat="false" ht="13.15" hidden="false" customHeight="false" outlineLevel="0" collapsed="false">
      <c r="A376" s="0" t="str">
        <f aca="false">[2]Sheet1!A376</f>
        <v>EXR_SEC_DD770_ JK12</v>
      </c>
      <c r="B376" s="0" t="str">
        <f aca="false">[2]Sheet1!B376</f>
        <v>EXR;DC SYS01</v>
      </c>
      <c r="C376" s="44" t="str">
        <f aca="false">[2]Sheet1!C376</f>
        <v>EXR</v>
      </c>
      <c r="D376" s="44" t="s">
        <v>578</v>
      </c>
      <c r="E376" s="0" t="n">
        <f aca="false">[2]Sheet1!D376</f>
        <v>90</v>
      </c>
      <c r="F376" s="0" t="n">
        <f aca="false">[2]Sheet1!E376</f>
        <v>90</v>
      </c>
      <c r="G376" s="45" t="n">
        <f aca="false">[2]Sheet1!F376</f>
        <v>44999</v>
      </c>
      <c r="H376" s="0" t="n">
        <f aca="false">[2]Sheet1!G376</f>
        <v>300</v>
      </c>
      <c r="I376" s="0" t="n">
        <f aca="false">[2]Sheet1!H376</f>
        <v>300</v>
      </c>
      <c r="J376" s="0" t="n">
        <f aca="false">[2]Sheet1!I376</f>
        <v>5</v>
      </c>
      <c r="K376" s="0" t="n">
        <f aca="false">[2]Sheet1!J376</f>
        <v>5</v>
      </c>
      <c r="L376" s="0" t="n">
        <f aca="false">[2]Sheet1!K376</f>
        <v>0</v>
      </c>
      <c r="M376" s="0" t="n">
        <f aca="false">[2]Sheet1!L376</f>
        <v>10</v>
      </c>
      <c r="N376" s="0" t="n">
        <f aca="false">[2]Sheet1!M376</f>
        <v>9</v>
      </c>
      <c r="O376" s="0" t="n">
        <f aca="false">[2]Sheet1!N376</f>
        <v>0</v>
      </c>
      <c r="P376" s="226" t="n">
        <f aca="false">SUM(AY376+BA376)</f>
        <v>62.5</v>
      </c>
      <c r="Q376" s="181" t="s">
        <v>1182</v>
      </c>
      <c r="R376" s="235" t="n">
        <v>2</v>
      </c>
      <c r="S376" s="170" t="s">
        <v>1183</v>
      </c>
      <c r="T376" s="234" t="n">
        <v>1</v>
      </c>
      <c r="U376" s="201"/>
      <c r="V376" s="71"/>
      <c r="W376" s="227"/>
      <c r="X376" s="71"/>
      <c r="Y376" s="201"/>
      <c r="Z376" s="71"/>
      <c r="AA376" s="227"/>
      <c r="AB376" s="71"/>
      <c r="AC376" s="201"/>
      <c r="AD376" s="71"/>
      <c r="AE376" s="227"/>
      <c r="AF376" s="71"/>
      <c r="AG376" s="201"/>
      <c r="AH376" s="71"/>
      <c r="AI376" s="227"/>
      <c r="AJ376" s="71"/>
      <c r="AK376" s="201"/>
      <c r="AL376" s="71"/>
      <c r="AM376" s="227"/>
      <c r="AN376" s="71"/>
      <c r="AO376" s="201"/>
      <c r="AP376" s="71"/>
      <c r="AQ376" s="227"/>
      <c r="AR376" s="71"/>
      <c r="AS376" s="227"/>
      <c r="AT376" s="228"/>
      <c r="AU376" s="227"/>
      <c r="AV376" s="228"/>
      <c r="AW376" s="227"/>
      <c r="AX376" s="229" t="n">
        <f aca="false">SUM(R376+T376+V376+X376+Z376+AB376+AD376+AF376+AH376+AJ376+AL376+AN376+AP376+AR376)</f>
        <v>3</v>
      </c>
      <c r="AY376" s="230" t="n">
        <f aca="false">SUM(AX376*1000)/48</f>
        <v>62.5</v>
      </c>
      <c r="AZ376" s="231" t="n">
        <f aca="false">IFERROR(VLOOKUP(A376,'Site check'!$A$14:$O$47,15,0),0)</f>
        <v>0</v>
      </c>
      <c r="BA376" s="232" t="n">
        <f aca="false">SUM(AZ376*1000)/48</f>
        <v>0</v>
      </c>
      <c r="BB376" s="90" t="n">
        <f aca="false">SUM(P376/2)+E376</f>
        <v>121.25</v>
      </c>
      <c r="BC376" s="90" t="n">
        <f aca="false">SUM(P376/2)+F376</f>
        <v>121.25</v>
      </c>
    </row>
    <row r="377" customFormat="false" ht="13.15" hidden="false" customHeight="false" outlineLevel="0" collapsed="false">
      <c r="A377" s="0" t="str">
        <f aca="false">[2]Sheet1!A377</f>
        <v>EXRN03_PDU1A_B</v>
      </c>
      <c r="B377" s="0" t="s">
        <v>124</v>
      </c>
      <c r="C377" s="44" t="str">
        <f aca="false">[2]Sheet1!C377</f>
        <v>EXRN03</v>
      </c>
      <c r="D377" s="44" t="s">
        <v>1535</v>
      </c>
      <c r="E377" s="0" t="n">
        <f aca="false">[2]Sheet1!D377</f>
        <v>4.89</v>
      </c>
      <c r="F377" s="0" t="n">
        <f aca="false">[2]Sheet1!E377</f>
        <v>1.55</v>
      </c>
      <c r="G377" s="45" t="n">
        <f aca="false">[2]Sheet1!F377</f>
        <v>45665</v>
      </c>
      <c r="H377" s="0" t="n">
        <f aca="false">[2]Sheet1!G377</f>
        <v>360</v>
      </c>
      <c r="I377" s="0" t="n">
        <f aca="false">[2]Sheet1!H377</f>
        <v>360</v>
      </c>
      <c r="J377" s="0" t="n">
        <f aca="false">[2]Sheet1!I377</f>
        <v>0</v>
      </c>
      <c r="K377" s="0" t="n">
        <f aca="false">[2]Sheet1!J377</f>
        <v>0</v>
      </c>
      <c r="L377" s="0" t="n">
        <f aca="false">[2]Sheet1!K377</f>
        <v>0</v>
      </c>
      <c r="M377" s="0" t="n">
        <f aca="false">[2]Sheet1!L377</f>
        <v>0</v>
      </c>
      <c r="N377" s="0" t="n">
        <f aca="false">[2]Sheet1!M377</f>
        <v>0</v>
      </c>
      <c r="O377" s="0" t="n">
        <f aca="false">[2]Sheet1!N377</f>
        <v>0</v>
      </c>
      <c r="P377" s="226" t="n">
        <f aca="false">SUM(AY377+BA377)</f>
        <v>243.75</v>
      </c>
      <c r="Q377" s="170" t="s">
        <v>1184</v>
      </c>
      <c r="R377" s="234" t="n">
        <v>11.7</v>
      </c>
      <c r="S377" s="227"/>
      <c r="T377" s="71"/>
      <c r="U377" s="201"/>
      <c r="V377" s="71"/>
      <c r="W377" s="227"/>
      <c r="X377" s="71"/>
      <c r="Y377" s="201"/>
      <c r="Z377" s="71"/>
      <c r="AA377" s="227"/>
      <c r="AB377" s="71"/>
      <c r="AC377" s="201"/>
      <c r="AD377" s="71"/>
      <c r="AE377" s="227"/>
      <c r="AF377" s="71"/>
      <c r="AG377" s="201"/>
      <c r="AH377" s="71"/>
      <c r="AI377" s="227"/>
      <c r="AJ377" s="71"/>
      <c r="AK377" s="201"/>
      <c r="AL377" s="71"/>
      <c r="AM377" s="227"/>
      <c r="AN377" s="71"/>
      <c r="AO377" s="201"/>
      <c r="AP377" s="71"/>
      <c r="AQ377" s="227"/>
      <c r="AR377" s="71"/>
      <c r="AS377" s="227"/>
      <c r="AT377" s="228"/>
      <c r="AU377" s="227"/>
      <c r="AV377" s="228"/>
      <c r="AW377" s="227"/>
      <c r="AX377" s="229" t="n">
        <f aca="false">SUM(R377+T377+V377+X377+Z377+AB377+AD377+AF377+AH377+AJ377+AL377+AN377+AP377+AR377)</f>
        <v>11.7</v>
      </c>
      <c r="AY377" s="230" t="n">
        <f aca="false">SUM(AX377*1000)/48</f>
        <v>243.75</v>
      </c>
      <c r="AZ377" s="231" t="n">
        <f aca="false">IFERROR(VLOOKUP(A377,'Site check'!$A$14:$O$47,15,0),0)</f>
        <v>0</v>
      </c>
      <c r="BA377" s="232" t="n">
        <f aca="false">SUM(AZ377*1000)/48</f>
        <v>0</v>
      </c>
      <c r="BB377" s="90" t="n">
        <f aca="false">SUM(P377/2)+E377</f>
        <v>126.765</v>
      </c>
      <c r="BC377" s="90" t="n">
        <f aca="false">SUM(P377/2)+F377</f>
        <v>123.425</v>
      </c>
    </row>
    <row r="378" customFormat="false" ht="13.15" hidden="false" customHeight="false" outlineLevel="0" collapsed="false">
      <c r="A378" s="0" t="str">
        <f aca="false">[2]Sheet1!A378</f>
        <v>FRNN03_PDU1A_B</v>
      </c>
      <c r="B378" s="0" t="str">
        <f aca="false">[2]Sheet1!B378</f>
        <v>FRNN03-DCSYS01a</v>
      </c>
      <c r="C378" s="44" t="str">
        <f aca="false">[2]Sheet1!C378</f>
        <v>FRNN03</v>
      </c>
      <c r="D378" s="44" t="s">
        <v>588</v>
      </c>
      <c r="E378" s="0" t="n">
        <f aca="false">[2]Sheet1!D378</f>
        <v>3.77</v>
      </c>
      <c r="F378" s="0" t="n">
        <f aca="false">[2]Sheet1!E378</f>
        <v>6.23</v>
      </c>
      <c r="G378" s="45" t="n">
        <f aca="false">[2]Sheet1!F378</f>
        <v>45665</v>
      </c>
      <c r="H378" s="0" t="n">
        <f aca="false">[2]Sheet1!G378</f>
        <v>360</v>
      </c>
      <c r="I378" s="0" t="n">
        <f aca="false">[2]Sheet1!H378</f>
        <v>360</v>
      </c>
      <c r="J378" s="0" t="n">
        <f aca="false">[2]Sheet1!I378</f>
        <v>0</v>
      </c>
      <c r="K378" s="0" t="n">
        <f aca="false">[2]Sheet1!J378</f>
        <v>0</v>
      </c>
      <c r="L378" s="0" t="n">
        <f aca="false">[2]Sheet1!K378</f>
        <v>0</v>
      </c>
      <c r="M378" s="0" t="n">
        <f aca="false">[2]Sheet1!L378</f>
        <v>0</v>
      </c>
      <c r="N378" s="0" t="n">
        <f aca="false">[2]Sheet1!M378</f>
        <v>0</v>
      </c>
      <c r="O378" s="0" t="n">
        <f aca="false">[2]Sheet1!N378</f>
        <v>0</v>
      </c>
      <c r="P378" s="226" t="n">
        <f aca="false">SUM(AY378+BA378)</f>
        <v>239.583333333333</v>
      </c>
      <c r="Q378" s="170" t="s">
        <v>1536</v>
      </c>
      <c r="R378" s="234" t="n">
        <v>11.5</v>
      </c>
      <c r="S378" s="227"/>
      <c r="T378" s="71"/>
      <c r="U378" s="201"/>
      <c r="V378" s="71"/>
      <c r="W378" s="227"/>
      <c r="X378" s="71"/>
      <c r="Y378" s="201"/>
      <c r="Z378" s="71"/>
      <c r="AA378" s="227"/>
      <c r="AB378" s="71"/>
      <c r="AC378" s="201"/>
      <c r="AD378" s="71"/>
      <c r="AE378" s="227"/>
      <c r="AF378" s="71"/>
      <c r="AG378" s="201"/>
      <c r="AH378" s="71"/>
      <c r="AI378" s="227"/>
      <c r="AJ378" s="71"/>
      <c r="AK378" s="201"/>
      <c r="AL378" s="71"/>
      <c r="AM378" s="227"/>
      <c r="AN378" s="71"/>
      <c r="AO378" s="201"/>
      <c r="AP378" s="71"/>
      <c r="AQ378" s="227"/>
      <c r="AR378" s="71"/>
      <c r="AS378" s="227"/>
      <c r="AT378" s="228"/>
      <c r="AU378" s="227"/>
      <c r="AV378" s="228"/>
      <c r="AW378" s="227"/>
      <c r="AX378" s="229" t="n">
        <f aca="false">SUM(R378+T378+V378+X378+Z378+AB378+AD378+AF378+AH378+AJ378+AL378+AN378+AP378+AR378)</f>
        <v>11.5</v>
      </c>
      <c r="AY378" s="230" t="n">
        <f aca="false">SUM(AX378*1000)/48</f>
        <v>239.583333333333</v>
      </c>
      <c r="AZ378" s="231" t="n">
        <f aca="false">IFERROR(VLOOKUP(A378,'Site check'!$A$14:$O$47,15,0),0)</f>
        <v>0</v>
      </c>
      <c r="BA378" s="232" t="n">
        <f aca="false">SUM(AZ378*1000)/48</f>
        <v>0</v>
      </c>
      <c r="BB378" s="90" t="n">
        <f aca="false">SUM(P378/2)+E378</f>
        <v>123.561666666667</v>
      </c>
      <c r="BC378" s="90" t="n">
        <f aca="false">SUM(P378/2)+F378</f>
        <v>126.021666666667</v>
      </c>
    </row>
    <row r="379" customFormat="false" ht="13.15" hidden="false" customHeight="false" outlineLevel="0" collapsed="false">
      <c r="A379" s="0" t="str">
        <f aca="false">[2]Sheet1!A379</f>
        <v>FRNN03_DC SYS01A &amp; 01B_EF09</v>
      </c>
      <c r="B379" s="0" t="str">
        <f aca="false">[2]Sheet1!B379</f>
        <v>FRNN03-DCSYS01a</v>
      </c>
      <c r="C379" s="44" t="str">
        <f aca="false">[2]Sheet1!C379</f>
        <v>FRNN03</v>
      </c>
      <c r="D379" s="44" t="s">
        <v>588</v>
      </c>
      <c r="E379" s="0" t="n">
        <f aca="false">[2]Sheet1!D379</f>
        <v>0</v>
      </c>
      <c r="F379" s="0" t="n">
        <f aca="false">[2]Sheet1!E379</f>
        <v>0</v>
      </c>
      <c r="G379" s="45" t="n">
        <f aca="false">[2]Sheet1!F379</f>
        <v>44260</v>
      </c>
      <c r="H379" s="0" t="n">
        <f aca="false">[2]Sheet1!G379</f>
        <v>0</v>
      </c>
      <c r="I379" s="0" t="n">
        <f aca="false">[2]Sheet1!H379</f>
        <v>0</v>
      </c>
      <c r="J379" s="0" t="n">
        <f aca="false">[2]Sheet1!I379</f>
        <v>0</v>
      </c>
      <c r="K379" s="0" t="n">
        <f aca="false">[2]Sheet1!J379</f>
        <v>0</v>
      </c>
      <c r="L379" s="0" t="n">
        <f aca="false">[2]Sheet1!K379</f>
        <v>0</v>
      </c>
      <c r="M379" s="0" t="n">
        <f aca="false">[2]Sheet1!L379</f>
        <v>0</v>
      </c>
      <c r="N379" s="0" t="n">
        <f aca="false">[2]Sheet1!M379</f>
        <v>0</v>
      </c>
      <c r="O379" s="0" t="n">
        <f aca="false">[2]Sheet1!N379</f>
        <v>36</v>
      </c>
      <c r="P379" s="226" t="n">
        <f aca="false">SUM(AY379+BA379)</f>
        <v>0</v>
      </c>
      <c r="Q379" s="201"/>
      <c r="R379" s="71"/>
      <c r="S379" s="227"/>
      <c r="T379" s="71"/>
      <c r="U379" s="201"/>
      <c r="V379" s="71"/>
      <c r="W379" s="227"/>
      <c r="X379" s="71"/>
      <c r="Y379" s="201"/>
      <c r="Z379" s="71"/>
      <c r="AA379" s="227"/>
      <c r="AB379" s="71"/>
      <c r="AC379" s="201"/>
      <c r="AD379" s="71"/>
      <c r="AE379" s="227"/>
      <c r="AF379" s="71"/>
      <c r="AG379" s="201"/>
      <c r="AH379" s="71"/>
      <c r="AI379" s="227"/>
      <c r="AJ379" s="71"/>
      <c r="AK379" s="201"/>
      <c r="AL379" s="71"/>
      <c r="AM379" s="227"/>
      <c r="AN379" s="71"/>
      <c r="AO379" s="201"/>
      <c r="AP379" s="71"/>
      <c r="AQ379" s="227"/>
      <c r="AR379" s="71"/>
      <c r="AS379" s="227"/>
      <c r="AT379" s="228"/>
      <c r="AU379" s="227"/>
      <c r="AV379" s="228"/>
      <c r="AW379" s="227"/>
      <c r="AX379" s="229" t="n">
        <f aca="false">SUM(R379+T379+V379+X379+Z379+AB379+AD379+AF379+AH379+AJ379+AL379+AN379+AP379+AR379)</f>
        <v>0</v>
      </c>
      <c r="AY379" s="230" t="n">
        <f aca="false">SUM(AX379*1000)/48</f>
        <v>0</v>
      </c>
      <c r="AZ379" s="231" t="n">
        <f aca="false">IFERROR(VLOOKUP(A379,'Site check'!$A$14:$O$47,15,0),0)</f>
        <v>0</v>
      </c>
      <c r="BA379" s="232" t="n">
        <f aca="false">SUM(AZ379*1000)/48</f>
        <v>0</v>
      </c>
      <c r="BB379" s="90" t="n">
        <f aca="false">SUM(P379/2)+E379</f>
        <v>0</v>
      </c>
      <c r="BC379" s="90" t="n">
        <f aca="false">SUM(P379/2)+F379</f>
        <v>0</v>
      </c>
    </row>
    <row r="380" customFormat="false" ht="13.15" hidden="false" customHeight="false" outlineLevel="0" collapsed="false">
      <c r="A380" s="0" t="str">
        <f aca="false">[2]Sheet1!A380</f>
        <v>FRNN03_SEC_DD770_CD1</v>
      </c>
      <c r="B380" s="0" t="str">
        <f aca="false">[2]Sheet1!B380</f>
        <v>FRNN03-DCSYS01a</v>
      </c>
      <c r="C380" s="44" t="str">
        <f aca="false">[2]Sheet1!C380</f>
        <v>FRNN03</v>
      </c>
      <c r="D380" s="44" t="s">
        <v>588</v>
      </c>
      <c r="E380" s="0" t="n">
        <f aca="false">[2]Sheet1!D380</f>
        <v>20</v>
      </c>
      <c r="F380" s="0" t="n">
        <f aca="false">[2]Sheet1!E380</f>
        <v>20</v>
      </c>
      <c r="G380" s="45" t="n">
        <f aca="false">[2]Sheet1!F380</f>
        <v>44399</v>
      </c>
      <c r="H380" s="0" t="n">
        <f aca="false">[2]Sheet1!G380</f>
        <v>300</v>
      </c>
      <c r="I380" s="0" t="n">
        <f aca="false">[2]Sheet1!H380</f>
        <v>300</v>
      </c>
      <c r="J380" s="0" t="n">
        <f aca="false">[2]Sheet1!I380</f>
        <v>6</v>
      </c>
      <c r="K380" s="0" t="n">
        <f aca="false">[2]Sheet1!J380</f>
        <v>4</v>
      </c>
      <c r="L380" s="0" t="n">
        <f aca="false">[2]Sheet1!K380</f>
        <v>8</v>
      </c>
      <c r="M380" s="0" t="n">
        <f aca="false">[2]Sheet1!L380</f>
        <v>19</v>
      </c>
      <c r="N380" s="0" t="n">
        <f aca="false">[2]Sheet1!M380</f>
        <v>12</v>
      </c>
      <c r="O380" s="0" t="n">
        <f aca="false">[2]Sheet1!N380</f>
        <v>0</v>
      </c>
      <c r="P380" s="226" t="n">
        <f aca="false">SUM(AY380+BA380)</f>
        <v>20.8333333333333</v>
      </c>
      <c r="Q380" s="181" t="s">
        <v>1186</v>
      </c>
      <c r="R380" s="237" t="n">
        <v>1</v>
      </c>
      <c r="S380" s="227"/>
      <c r="T380" s="71"/>
      <c r="U380" s="201"/>
      <c r="V380" s="71"/>
      <c r="W380" s="227"/>
      <c r="X380" s="71"/>
      <c r="Y380" s="201"/>
      <c r="Z380" s="71"/>
      <c r="AA380" s="227"/>
      <c r="AB380" s="71"/>
      <c r="AC380" s="201"/>
      <c r="AD380" s="71"/>
      <c r="AE380" s="227"/>
      <c r="AF380" s="71"/>
      <c r="AG380" s="201"/>
      <c r="AH380" s="71"/>
      <c r="AI380" s="227"/>
      <c r="AJ380" s="71"/>
      <c r="AK380" s="201"/>
      <c r="AL380" s="71"/>
      <c r="AM380" s="227"/>
      <c r="AN380" s="71"/>
      <c r="AO380" s="201"/>
      <c r="AP380" s="71"/>
      <c r="AQ380" s="227"/>
      <c r="AR380" s="71"/>
      <c r="AS380" s="227"/>
      <c r="AT380" s="228"/>
      <c r="AU380" s="227"/>
      <c r="AV380" s="228"/>
      <c r="AW380" s="227"/>
      <c r="AX380" s="229" t="n">
        <f aca="false">SUM(R380+T380+V380+X380+Z380+AB380+AD380+AF380+AH380+AJ380+AL380+AN380+AP380+AR380)</f>
        <v>1</v>
      </c>
      <c r="AY380" s="230" t="n">
        <f aca="false">SUM(AX380*1000)/48</f>
        <v>20.8333333333333</v>
      </c>
      <c r="AZ380" s="231" t="n">
        <f aca="false">IFERROR(VLOOKUP(A380,'Site check'!$A$14:$O$47,15,0),0)</f>
        <v>0</v>
      </c>
      <c r="BA380" s="232" t="n">
        <f aca="false">SUM(AZ380*1000)/48</f>
        <v>0</v>
      </c>
      <c r="BB380" s="90" t="n">
        <f aca="false">SUM(P380/2)+E380</f>
        <v>30.4166666666667</v>
      </c>
      <c r="BC380" s="90" t="n">
        <f aca="false">SUM(P380/2)+F380</f>
        <v>30.4166666666667</v>
      </c>
    </row>
    <row r="381" customFormat="false" ht="13.15" hidden="false" customHeight="false" outlineLevel="0" collapsed="false">
      <c r="A381" s="0" t="str">
        <f aca="false">[2]Sheet1!A381</f>
        <v>OKNN01_PDU1A_B</v>
      </c>
      <c r="B381" s="0" t="str">
        <f aca="false">[2]Sheet1!B381</f>
        <v>OKNN01-DCSYS01a</v>
      </c>
      <c r="C381" s="44" t="str">
        <f aca="false">[2]Sheet1!C381</f>
        <v>OKNN01</v>
      </c>
      <c r="D381" s="44" t="s">
        <v>708</v>
      </c>
      <c r="E381" s="0" t="n">
        <f aca="false">[2]Sheet1!D381</f>
        <v>36.63</v>
      </c>
      <c r="F381" s="0" t="n">
        <f aca="false">[2]Sheet1!E381</f>
        <v>17.09</v>
      </c>
      <c r="G381" s="45" t="n">
        <f aca="false">[2]Sheet1!F381</f>
        <v>45631</v>
      </c>
      <c r="H381" s="0" t="n">
        <f aca="false">[2]Sheet1!G381</f>
        <v>360</v>
      </c>
      <c r="I381" s="0" t="n">
        <f aca="false">[2]Sheet1!H381</f>
        <v>360</v>
      </c>
      <c r="J381" s="0" t="n">
        <f aca="false">[2]Sheet1!I381</f>
        <v>0</v>
      </c>
      <c r="K381" s="0" t="n">
        <f aca="false">[2]Sheet1!J381</f>
        <v>0</v>
      </c>
      <c r="L381" s="0" t="n">
        <f aca="false">[2]Sheet1!K381</f>
        <v>0</v>
      </c>
      <c r="M381" s="0" t="n">
        <f aca="false">[2]Sheet1!L381</f>
        <v>0</v>
      </c>
      <c r="N381" s="0" t="n">
        <f aca="false">[2]Sheet1!M381</f>
        <v>0</v>
      </c>
      <c r="O381" s="0" t="n">
        <f aca="false">[2]Sheet1!N381</f>
        <v>0</v>
      </c>
      <c r="P381" s="226" t="n">
        <f aca="false">SUM(AY381+BA381)</f>
        <v>297.916666666667</v>
      </c>
      <c r="Q381" s="170" t="s">
        <v>1328</v>
      </c>
      <c r="R381" s="234" t="n">
        <v>2.6</v>
      </c>
      <c r="S381" s="170" t="s">
        <v>1537</v>
      </c>
      <c r="T381" s="234" t="n">
        <v>11.7</v>
      </c>
      <c r="U381" s="201"/>
      <c r="V381" s="71"/>
      <c r="W381" s="227"/>
      <c r="X381" s="71"/>
      <c r="Y381" s="201"/>
      <c r="Z381" s="71"/>
      <c r="AA381" s="227"/>
      <c r="AB381" s="71"/>
      <c r="AC381" s="201"/>
      <c r="AD381" s="71"/>
      <c r="AE381" s="227"/>
      <c r="AF381" s="71"/>
      <c r="AG381" s="201"/>
      <c r="AH381" s="71"/>
      <c r="AI381" s="227"/>
      <c r="AJ381" s="71"/>
      <c r="AK381" s="201"/>
      <c r="AL381" s="71"/>
      <c r="AM381" s="227"/>
      <c r="AN381" s="71"/>
      <c r="AO381" s="201"/>
      <c r="AP381" s="71"/>
      <c r="AQ381" s="227"/>
      <c r="AR381" s="71"/>
      <c r="AS381" s="227"/>
      <c r="AT381" s="228"/>
      <c r="AU381" s="227"/>
      <c r="AV381" s="228"/>
      <c r="AW381" s="227"/>
      <c r="AX381" s="229" t="n">
        <f aca="false">SUM(R381+T381+V381+X381+Z381+AB381+AD381+AF381+AH381+AJ381+AL381+AN381+AP381+AR381)</f>
        <v>14.3</v>
      </c>
      <c r="AY381" s="230" t="n">
        <f aca="false">SUM(AX381*1000)/48</f>
        <v>297.916666666667</v>
      </c>
      <c r="AZ381" s="231" t="n">
        <f aca="false">IFERROR(VLOOKUP(A381,'Site check'!$A$14:$O$47,15,0),0)</f>
        <v>0</v>
      </c>
      <c r="BA381" s="232" t="n">
        <f aca="false">SUM(AZ381*1000)/48</f>
        <v>0</v>
      </c>
      <c r="BB381" s="90" t="n">
        <f aca="false">SUM(P381/2)+E381</f>
        <v>185.588333333333</v>
      </c>
      <c r="BC381" s="90" t="n">
        <f aca="false">SUM(P381/2)+F381</f>
        <v>166.048333333333</v>
      </c>
    </row>
    <row r="382" customFormat="false" ht="13.15" hidden="false" customHeight="false" outlineLevel="0" collapsed="false">
      <c r="A382" s="0" t="str">
        <f aca="false">[2]Sheet1!A382</f>
        <v>OKNN01_SEC_DD770_CD01</v>
      </c>
      <c r="B382" s="0" t="str">
        <f aca="false">[2]Sheet1!B382</f>
        <v>OKNN01-DCSYS01a</v>
      </c>
      <c r="C382" s="44" t="str">
        <f aca="false">[2]Sheet1!C382</f>
        <v>OKNN01</v>
      </c>
      <c r="D382" s="44" t="s">
        <v>708</v>
      </c>
      <c r="E382" s="0" t="n">
        <f aca="false">[2]Sheet1!D382</f>
        <v>40</v>
      </c>
      <c r="F382" s="0" t="n">
        <f aca="false">[2]Sheet1!E382</f>
        <v>20</v>
      </c>
      <c r="G382" s="45" t="n">
        <f aca="false">[2]Sheet1!F382</f>
        <v>44398</v>
      </c>
      <c r="H382" s="0" t="n">
        <f aca="false">[2]Sheet1!G382</f>
        <v>300</v>
      </c>
      <c r="I382" s="0" t="n">
        <f aca="false">[2]Sheet1!H382</f>
        <v>300</v>
      </c>
      <c r="J382" s="0" t="n">
        <f aca="false">[2]Sheet1!I382</f>
        <v>6</v>
      </c>
      <c r="K382" s="0" t="n">
        <f aca="false">[2]Sheet1!J382</f>
        <v>7</v>
      </c>
      <c r="L382" s="0" t="n">
        <f aca="false">[2]Sheet1!K382</f>
        <v>0</v>
      </c>
      <c r="M382" s="0" t="n">
        <f aca="false">[2]Sheet1!L382</f>
        <v>19</v>
      </c>
      <c r="N382" s="0" t="n">
        <f aca="false">[2]Sheet1!M382</f>
        <v>8</v>
      </c>
      <c r="O382" s="0" t="n">
        <f aca="false">[2]Sheet1!N382</f>
        <v>0</v>
      </c>
      <c r="P382" s="226" t="n">
        <f aca="false">SUM(AY382+BA382)</f>
        <v>0</v>
      </c>
      <c r="Q382" s="201"/>
      <c r="R382" s="71"/>
      <c r="S382" s="227"/>
      <c r="T382" s="71"/>
      <c r="U382" s="201"/>
      <c r="V382" s="71"/>
      <c r="W382" s="227"/>
      <c r="X382" s="71"/>
      <c r="Y382" s="201"/>
      <c r="Z382" s="71"/>
      <c r="AA382" s="227"/>
      <c r="AB382" s="71"/>
      <c r="AC382" s="201"/>
      <c r="AD382" s="71"/>
      <c r="AE382" s="227"/>
      <c r="AF382" s="71"/>
      <c r="AG382" s="201"/>
      <c r="AH382" s="71"/>
      <c r="AI382" s="227"/>
      <c r="AJ382" s="71"/>
      <c r="AK382" s="201"/>
      <c r="AL382" s="71"/>
      <c r="AM382" s="227"/>
      <c r="AN382" s="71"/>
      <c r="AO382" s="201"/>
      <c r="AP382" s="71"/>
      <c r="AQ382" s="227"/>
      <c r="AR382" s="71"/>
      <c r="AS382" s="227"/>
      <c r="AT382" s="228"/>
      <c r="AU382" s="227"/>
      <c r="AV382" s="228"/>
      <c r="AW382" s="227"/>
      <c r="AX382" s="229" t="n">
        <f aca="false">SUM(R382+T382+V382+X382+Z382+AB382+AD382+AF382+AH382+AJ382+AL382+AN382+AP382+AR382)</f>
        <v>0</v>
      </c>
      <c r="AY382" s="230" t="n">
        <f aca="false">SUM(AX382*1000)/48</f>
        <v>0</v>
      </c>
      <c r="AZ382" s="231" t="n">
        <f aca="false">IFERROR(VLOOKUP(A382,'Site check'!$A$14:$O$47,15,0),0)</f>
        <v>0</v>
      </c>
      <c r="BA382" s="232" t="n">
        <f aca="false">SUM(AZ382*1000)/48</f>
        <v>0</v>
      </c>
      <c r="BB382" s="90" t="n">
        <f aca="false">SUM(P382/2)+E382</f>
        <v>40</v>
      </c>
      <c r="BC382" s="90" t="n">
        <f aca="false">SUM(P382/2)+F382</f>
        <v>20</v>
      </c>
    </row>
    <row r="383" customFormat="false" ht="13.15" hidden="false" customHeight="false" outlineLevel="0" collapsed="false">
      <c r="A383" s="0" t="str">
        <f aca="false">[2]Sheet1!A383</f>
        <v>PLY_PDU1A_B</v>
      </c>
      <c r="B383" s="0" t="str">
        <f aca="false">[2]Sheet1!B383</f>
        <v>PLY-DCSYS01a</v>
      </c>
      <c r="C383" s="44" t="str">
        <f aca="false">[2]Sheet1!C383</f>
        <v>PLY</v>
      </c>
      <c r="D383" s="44" t="s">
        <v>713</v>
      </c>
      <c r="E383" s="0" t="n">
        <f aca="false">[2]Sheet1!D383</f>
        <v>101.98</v>
      </c>
      <c r="F383" s="0" t="n">
        <f aca="false">[2]Sheet1!E383</f>
        <v>0</v>
      </c>
      <c r="G383" s="45" t="n">
        <f aca="false">[2]Sheet1!F383</f>
        <v>45631</v>
      </c>
      <c r="H383" s="0" t="n">
        <f aca="false">[2]Sheet1!G383</f>
        <v>360</v>
      </c>
      <c r="I383" s="0" t="n">
        <f aca="false">[2]Sheet1!H383</f>
        <v>360</v>
      </c>
      <c r="J383" s="0" t="n">
        <f aca="false">[2]Sheet1!I383</f>
        <v>0</v>
      </c>
      <c r="K383" s="0" t="n">
        <f aca="false">[2]Sheet1!J383</f>
        <v>0</v>
      </c>
      <c r="L383" s="0" t="n">
        <f aca="false">[2]Sheet1!K383</f>
        <v>0</v>
      </c>
      <c r="M383" s="0" t="n">
        <f aca="false">[2]Sheet1!L383</f>
        <v>0</v>
      </c>
      <c r="N383" s="0" t="n">
        <f aca="false">[2]Sheet1!M383</f>
        <v>0</v>
      </c>
      <c r="O383" s="0" t="n">
        <f aca="false">[2]Sheet1!N383</f>
        <v>0</v>
      </c>
      <c r="P383" s="226" t="n">
        <f aca="false">SUM(AY383+BA383)</f>
        <v>391.666666666667</v>
      </c>
      <c r="Q383" s="170" t="s">
        <v>1331</v>
      </c>
      <c r="R383" s="234" t="n">
        <v>3.5</v>
      </c>
      <c r="S383" s="170" t="s">
        <v>1538</v>
      </c>
      <c r="T383" s="234" t="n">
        <v>11.7</v>
      </c>
      <c r="U383" s="181" t="s">
        <v>1333</v>
      </c>
      <c r="V383" s="235" t="n">
        <v>3.6</v>
      </c>
      <c r="W383" s="227"/>
      <c r="X383" s="71"/>
      <c r="Y383" s="201"/>
      <c r="Z383" s="71"/>
      <c r="AA383" s="227"/>
      <c r="AB383" s="71"/>
      <c r="AC383" s="201"/>
      <c r="AD383" s="71"/>
      <c r="AE383" s="227"/>
      <c r="AF383" s="71"/>
      <c r="AG383" s="201"/>
      <c r="AH383" s="71"/>
      <c r="AI383" s="227"/>
      <c r="AJ383" s="71"/>
      <c r="AK383" s="201"/>
      <c r="AL383" s="71"/>
      <c r="AM383" s="227"/>
      <c r="AN383" s="71"/>
      <c r="AO383" s="201"/>
      <c r="AP383" s="71"/>
      <c r="AQ383" s="227"/>
      <c r="AR383" s="71"/>
      <c r="AS383" s="227"/>
      <c r="AT383" s="228"/>
      <c r="AU383" s="227"/>
      <c r="AV383" s="228"/>
      <c r="AW383" s="227"/>
      <c r="AX383" s="229" t="n">
        <f aca="false">SUM(R383+T383+V383+X383+Z383+AB383+AD383+AF383+AH383+AJ383+AL383+AN383+AP383+AR383)</f>
        <v>18.8</v>
      </c>
      <c r="AY383" s="230" t="n">
        <f aca="false">SUM(AX383*1000)/48</f>
        <v>391.666666666667</v>
      </c>
      <c r="AZ383" s="231" t="n">
        <f aca="false">IFERROR(VLOOKUP(A383,'Site check'!$A$14:$O$47,15,0),0)</f>
        <v>0</v>
      </c>
      <c r="BA383" s="232" t="n">
        <f aca="false">SUM(AZ383*1000)/48</f>
        <v>0</v>
      </c>
      <c r="BB383" s="90" t="n">
        <f aca="false">SUM(P383/2)+E383</f>
        <v>297.813333333333</v>
      </c>
      <c r="BC383" s="90" t="n">
        <f aca="false">SUM(P383/2)+F383</f>
        <v>195.833333333333</v>
      </c>
    </row>
    <row r="384" customFormat="false" ht="13.15" hidden="false" customHeight="false" outlineLevel="0" collapsed="false">
      <c r="A384" s="0" t="str">
        <f aca="false">[2]Sheet1!A384</f>
        <v>PLY_SEC_DD770_EF12</v>
      </c>
      <c r="B384" s="0" t="str">
        <f aca="false">[2]Sheet1!B384</f>
        <v>PLY-DCSYS01a</v>
      </c>
      <c r="C384" s="44" t="str">
        <f aca="false">[2]Sheet1!C384</f>
        <v>PLY</v>
      </c>
      <c r="D384" s="44" t="s">
        <v>713</v>
      </c>
      <c r="E384" s="0" t="n">
        <f aca="false">[2]Sheet1!D384</f>
        <v>100</v>
      </c>
      <c r="F384" s="0" t="n">
        <f aca="false">[2]Sheet1!E384</f>
        <v>25</v>
      </c>
      <c r="G384" s="45" t="n">
        <f aca="false">[2]Sheet1!F384</f>
        <v>44999</v>
      </c>
      <c r="H384" s="0" t="n">
        <f aca="false">[2]Sheet1!G384</f>
        <v>300</v>
      </c>
      <c r="I384" s="0" t="n">
        <f aca="false">[2]Sheet1!H384</f>
        <v>300</v>
      </c>
      <c r="J384" s="0" t="n">
        <f aca="false">[2]Sheet1!I384</f>
        <v>0</v>
      </c>
      <c r="K384" s="0" t="n">
        <f aca="false">[2]Sheet1!J384</f>
        <v>0</v>
      </c>
      <c r="L384" s="0" t="n">
        <f aca="false">[2]Sheet1!K384</f>
        <v>3</v>
      </c>
      <c r="M384" s="0" t="n">
        <f aca="false">[2]Sheet1!L384</f>
        <v>14</v>
      </c>
      <c r="N384" s="0" t="n">
        <f aca="false">[2]Sheet1!M384</f>
        <v>10</v>
      </c>
      <c r="O384" s="0" t="n">
        <f aca="false">[2]Sheet1!N384</f>
        <v>0</v>
      </c>
      <c r="P384" s="226" t="n">
        <f aca="false">SUM(AY384+BA384)</f>
        <v>20.8333333333333</v>
      </c>
      <c r="Q384" s="204" t="s">
        <v>1334</v>
      </c>
      <c r="R384" s="221" t="n">
        <v>1</v>
      </c>
      <c r="S384" s="227"/>
      <c r="T384" s="71"/>
      <c r="U384" s="201"/>
      <c r="V384" s="71"/>
      <c r="W384" s="227"/>
      <c r="X384" s="71"/>
      <c r="Y384" s="201"/>
      <c r="Z384" s="71"/>
      <c r="AA384" s="227"/>
      <c r="AB384" s="71"/>
      <c r="AC384" s="201"/>
      <c r="AD384" s="71"/>
      <c r="AE384" s="227"/>
      <c r="AF384" s="71"/>
      <c r="AG384" s="201"/>
      <c r="AH384" s="71"/>
      <c r="AI384" s="227"/>
      <c r="AJ384" s="71"/>
      <c r="AK384" s="201"/>
      <c r="AL384" s="71"/>
      <c r="AM384" s="227"/>
      <c r="AN384" s="71"/>
      <c r="AO384" s="201"/>
      <c r="AP384" s="71"/>
      <c r="AQ384" s="227"/>
      <c r="AR384" s="71"/>
      <c r="AS384" s="227"/>
      <c r="AT384" s="228"/>
      <c r="AU384" s="227"/>
      <c r="AV384" s="228"/>
      <c r="AW384" s="227"/>
      <c r="AX384" s="229" t="n">
        <f aca="false">SUM(R384+T384+V384+X384+Z384+AB384+AD384+AF384+AH384+AJ384+AL384+AN384+AP384+AR384)</f>
        <v>1</v>
      </c>
      <c r="AY384" s="230" t="n">
        <f aca="false">SUM(AX384*1000)/48</f>
        <v>20.8333333333333</v>
      </c>
      <c r="AZ384" s="231" t="n">
        <f aca="false">IFERROR(VLOOKUP(A384,'Site check'!$A$14:$O$47,15,0),0)</f>
        <v>0</v>
      </c>
      <c r="BA384" s="232" t="n">
        <f aca="false">SUM(AZ384*1000)/48</f>
        <v>0</v>
      </c>
      <c r="BB384" s="90" t="n">
        <f aca="false">SUM(P384/2)+E384</f>
        <v>110.416666666667</v>
      </c>
      <c r="BC384" s="90" t="n">
        <f aca="false">SUM(P384/2)+F384</f>
        <v>35.4166666666667</v>
      </c>
    </row>
    <row r="385" customFormat="false" ht="13.15" hidden="false" customHeight="false" outlineLevel="0" collapsed="false">
      <c r="A385" s="0" t="str">
        <f aca="false">[2]Sheet1!A385</f>
        <v>PLY_SEC_DD770_UV01</v>
      </c>
      <c r="B385" s="0" t="str">
        <f aca="false">[2]Sheet1!B385</f>
        <v>PLY-DCSYS01a</v>
      </c>
      <c r="C385" s="44" t="str">
        <f aca="false">[2]Sheet1!C385</f>
        <v>PLY</v>
      </c>
      <c r="D385" s="44" t="s">
        <v>713</v>
      </c>
      <c r="E385" s="0" t="n">
        <f aca="false">[2]Sheet1!D385</f>
        <v>55</v>
      </c>
      <c r="F385" s="0" t="n">
        <f aca="false">[2]Sheet1!E385</f>
        <v>50</v>
      </c>
      <c r="G385" s="45" t="n">
        <f aca="false">[2]Sheet1!F385</f>
        <v>44999</v>
      </c>
      <c r="H385" s="0" t="n">
        <f aca="false">[2]Sheet1!G385</f>
        <v>300</v>
      </c>
      <c r="I385" s="0" t="n">
        <f aca="false">[2]Sheet1!H385</f>
        <v>300</v>
      </c>
      <c r="J385" s="0" t="n">
        <f aca="false">[2]Sheet1!I385</f>
        <v>6</v>
      </c>
      <c r="K385" s="0" t="n">
        <f aca="false">[2]Sheet1!J385</f>
        <v>0</v>
      </c>
      <c r="L385" s="0" t="n">
        <f aca="false">[2]Sheet1!K385</f>
        <v>1</v>
      </c>
      <c r="M385" s="0" t="n">
        <f aca="false">[2]Sheet1!L385</f>
        <v>22</v>
      </c>
      <c r="N385" s="0" t="n">
        <f aca="false">[2]Sheet1!M385</f>
        <v>11</v>
      </c>
      <c r="O385" s="0" t="n">
        <f aca="false">[2]Sheet1!N385</f>
        <v>1</v>
      </c>
      <c r="P385" s="226" t="n">
        <f aca="false">SUM(AY385+BA385)</f>
        <v>20.8333333333333</v>
      </c>
      <c r="Q385" s="177" t="s">
        <v>1539</v>
      </c>
      <c r="R385" s="235" t="n">
        <v>1</v>
      </c>
      <c r="S385" s="227"/>
      <c r="T385" s="71"/>
      <c r="U385" s="201"/>
      <c r="V385" s="71"/>
      <c r="W385" s="227"/>
      <c r="X385" s="71"/>
      <c r="Y385" s="201"/>
      <c r="Z385" s="71"/>
      <c r="AA385" s="227"/>
      <c r="AB385" s="71"/>
      <c r="AC385" s="201"/>
      <c r="AD385" s="71"/>
      <c r="AE385" s="227"/>
      <c r="AF385" s="71"/>
      <c r="AG385" s="201"/>
      <c r="AH385" s="71"/>
      <c r="AI385" s="227"/>
      <c r="AJ385" s="71"/>
      <c r="AK385" s="201"/>
      <c r="AL385" s="71"/>
      <c r="AM385" s="227"/>
      <c r="AN385" s="71"/>
      <c r="AO385" s="201"/>
      <c r="AP385" s="71"/>
      <c r="AQ385" s="227"/>
      <c r="AR385" s="71"/>
      <c r="AS385" s="227"/>
      <c r="AT385" s="228"/>
      <c r="AU385" s="227"/>
      <c r="AV385" s="228"/>
      <c r="AW385" s="227"/>
      <c r="AX385" s="229" t="n">
        <f aca="false">SUM(R385+T385+V385+X385+Z385+AB385+AD385+AF385+AH385+AJ385+AL385+AN385+AP385+AR385)</f>
        <v>1</v>
      </c>
      <c r="AY385" s="230" t="n">
        <f aca="false">SUM(AX385*1000)/48</f>
        <v>20.8333333333333</v>
      </c>
      <c r="AZ385" s="231" t="n">
        <f aca="false">IFERROR(VLOOKUP(A385,'Site check'!$A$14:$O$47,15,0),0)</f>
        <v>0</v>
      </c>
      <c r="BA385" s="232" t="n">
        <f aca="false">SUM(AZ385*1000)/48</f>
        <v>0</v>
      </c>
      <c r="BB385" s="90" t="n">
        <f aca="false">SUM(P385/2)+E385</f>
        <v>65.4166666666667</v>
      </c>
      <c r="BC385" s="90" t="n">
        <f aca="false">SUM(P385/2)+F385</f>
        <v>60.4166666666667</v>
      </c>
    </row>
    <row r="386" customFormat="false" ht="13.15" hidden="false" customHeight="false" outlineLevel="0" collapsed="false">
      <c r="A386" s="0" t="str">
        <f aca="false">[2]Sheet1!A386</f>
        <v>PCOTN1_SEC_DD770_XW01_7</v>
      </c>
      <c r="B386" s="0" t="str">
        <f aca="false">[2]Sheet1!B386</f>
        <v>PCOTN1;DC SYS A;GEMINI</v>
      </c>
      <c r="C386" s="44" t="str">
        <f aca="false">[2]Sheet1!C386</f>
        <v>PCOTN1</v>
      </c>
      <c r="D386" s="44" t="s">
        <v>711</v>
      </c>
      <c r="E386" s="0" t="n">
        <f aca="false">[2]Sheet1!D386</f>
        <v>60</v>
      </c>
      <c r="F386" s="0" t="n">
        <f aca="false">[2]Sheet1!E386</f>
        <v>45</v>
      </c>
      <c r="G386" s="45" t="n">
        <f aca="false">[2]Sheet1!F386</f>
        <v>45070</v>
      </c>
      <c r="H386" s="0" t="n">
        <f aca="false">[2]Sheet1!G386</f>
        <v>300</v>
      </c>
      <c r="I386" s="0" t="n">
        <f aca="false">[2]Sheet1!H386</f>
        <v>300</v>
      </c>
      <c r="J386" s="0" t="n">
        <f aca="false">[2]Sheet1!I386</f>
        <v>4</v>
      </c>
      <c r="K386" s="0" t="n">
        <f aca="false">[2]Sheet1!J386</f>
        <v>2</v>
      </c>
      <c r="L386" s="0" t="n">
        <f aca="false">[2]Sheet1!K386</f>
        <v>0</v>
      </c>
      <c r="M386" s="0" t="n">
        <f aca="false">[2]Sheet1!L386</f>
        <v>20</v>
      </c>
      <c r="N386" s="0" t="n">
        <f aca="false">[2]Sheet1!M386</f>
        <v>8</v>
      </c>
      <c r="O386" s="0" t="n">
        <f aca="false">[2]Sheet1!N386</f>
        <v>0</v>
      </c>
      <c r="P386" s="226" t="n">
        <f aca="false">SUM(AY386+BA386)</f>
        <v>83.3333333333333</v>
      </c>
      <c r="Q386" s="170" t="s">
        <v>1329</v>
      </c>
      <c r="R386" s="234" t="n">
        <v>2</v>
      </c>
      <c r="S386" s="212" t="s">
        <v>1330</v>
      </c>
      <c r="T386" s="221" t="n">
        <v>2</v>
      </c>
      <c r="U386" s="201"/>
      <c r="V386" s="71"/>
      <c r="W386" s="227"/>
      <c r="X386" s="71"/>
      <c r="Y386" s="201"/>
      <c r="Z386" s="71"/>
      <c r="AA386" s="227"/>
      <c r="AB386" s="71"/>
      <c r="AC386" s="201"/>
      <c r="AD386" s="71"/>
      <c r="AE386" s="227"/>
      <c r="AF386" s="71"/>
      <c r="AG386" s="201"/>
      <c r="AH386" s="71"/>
      <c r="AI386" s="227"/>
      <c r="AJ386" s="71"/>
      <c r="AK386" s="201"/>
      <c r="AL386" s="71"/>
      <c r="AM386" s="227"/>
      <c r="AN386" s="71"/>
      <c r="AO386" s="201"/>
      <c r="AP386" s="71"/>
      <c r="AQ386" s="227"/>
      <c r="AR386" s="71"/>
      <c r="AS386" s="227"/>
      <c r="AT386" s="228"/>
      <c r="AU386" s="227"/>
      <c r="AV386" s="228"/>
      <c r="AW386" s="227"/>
      <c r="AX386" s="229" t="n">
        <f aca="false">SUM(R386+T386+V386+X386+Z386+AB386+AD386+AF386+AH386+AJ386+AL386+AN386+AP386+AR386)</f>
        <v>4</v>
      </c>
      <c r="AY386" s="230" t="n">
        <f aca="false">SUM(AX386*1000)/48</f>
        <v>83.3333333333333</v>
      </c>
      <c r="AZ386" s="231" t="n">
        <f aca="false">IFERROR(VLOOKUP(A386,'Site check'!$A$14:$O$47,15,0),0)</f>
        <v>0</v>
      </c>
      <c r="BA386" s="232" t="n">
        <f aca="false">SUM(AZ386*1000)/48</f>
        <v>0</v>
      </c>
      <c r="BB386" s="90" t="n">
        <f aca="false">SUM(P386/2)+E386</f>
        <v>101.666666666667</v>
      </c>
      <c r="BC386" s="90" t="n">
        <f aca="false">SUM(P386/2)+F386</f>
        <v>86.6666666666667</v>
      </c>
    </row>
    <row r="387" customFormat="false" ht="13.15" hidden="false" customHeight="false" outlineLevel="0" collapsed="false">
      <c r="A387" s="0" t="str">
        <f aca="false">[2]Sheet1!A387</f>
        <v>PCOTN1_SEC_WALL_CBDB_2</v>
      </c>
      <c r="B387" s="0" t="str">
        <f aca="false">[2]Sheet1!B387</f>
        <v>PCOTN1;DC SYS A;FLAG</v>
      </c>
      <c r="C387" s="44" t="str">
        <f aca="false">[2]Sheet1!C387</f>
        <v>PCOTN1</v>
      </c>
      <c r="D387" s="44" t="s">
        <v>711</v>
      </c>
      <c r="E387" s="0" t="n">
        <f aca="false">[2]Sheet1!D387</f>
        <v>10</v>
      </c>
      <c r="F387" s="0" t="n">
        <f aca="false">[2]Sheet1!E387</f>
        <v>20</v>
      </c>
      <c r="G387" s="45" t="n">
        <f aca="false">[2]Sheet1!F387</f>
        <v>45070</v>
      </c>
      <c r="H387" s="0" t="n">
        <f aca="false">[2]Sheet1!G387</f>
        <v>300</v>
      </c>
      <c r="I387" s="0" t="n">
        <f aca="false">[2]Sheet1!H387</f>
        <v>300</v>
      </c>
      <c r="J387" s="0" t="n">
        <f aca="false">[2]Sheet1!I387</f>
        <v>0</v>
      </c>
      <c r="K387" s="0" t="n">
        <f aca="false">[2]Sheet1!J387</f>
        <v>5</v>
      </c>
      <c r="L387" s="0" t="n">
        <f aca="false">[2]Sheet1!K387</f>
        <v>0</v>
      </c>
      <c r="M387" s="0" t="n">
        <f aca="false">[2]Sheet1!L387</f>
        <v>0</v>
      </c>
      <c r="N387" s="0" t="n">
        <f aca="false">[2]Sheet1!M387</f>
        <v>6</v>
      </c>
      <c r="O387" s="0" t="n">
        <f aca="false">[2]Sheet1!N387</f>
        <v>0</v>
      </c>
      <c r="P387" s="226" t="n">
        <f aca="false">SUM(AY387+BA387)</f>
        <v>0</v>
      </c>
      <c r="Q387" s="201"/>
      <c r="R387" s="71"/>
      <c r="S387" s="227"/>
      <c r="T387" s="71"/>
      <c r="U387" s="201"/>
      <c r="V387" s="71"/>
      <c r="W387" s="227"/>
      <c r="X387" s="71"/>
      <c r="Y387" s="201"/>
      <c r="Z387" s="71"/>
      <c r="AA387" s="227"/>
      <c r="AB387" s="71"/>
      <c r="AC387" s="201"/>
      <c r="AD387" s="71"/>
      <c r="AE387" s="227"/>
      <c r="AF387" s="71"/>
      <c r="AG387" s="201"/>
      <c r="AH387" s="71"/>
      <c r="AI387" s="227"/>
      <c r="AJ387" s="71"/>
      <c r="AK387" s="201"/>
      <c r="AL387" s="71"/>
      <c r="AM387" s="227"/>
      <c r="AN387" s="71"/>
      <c r="AO387" s="201"/>
      <c r="AP387" s="71"/>
      <c r="AQ387" s="227"/>
      <c r="AR387" s="71"/>
      <c r="AS387" s="227"/>
      <c r="AT387" s="228"/>
      <c r="AU387" s="227"/>
      <c r="AV387" s="228"/>
      <c r="AW387" s="227"/>
      <c r="AX387" s="229" t="n">
        <f aca="false">SUM(R387+T387+V387+X387+Z387+AB387+AD387+AF387+AH387+AJ387+AL387+AN387+AP387+AR387)</f>
        <v>0</v>
      </c>
      <c r="AY387" s="230" t="n">
        <f aca="false">SUM(AX387*1000)/48</f>
        <v>0</v>
      </c>
      <c r="AZ387" s="231" t="n">
        <f aca="false">IFERROR(VLOOKUP(A387,'Site check'!$A$14:$O$47,15,0),0)</f>
        <v>0</v>
      </c>
      <c r="BA387" s="232" t="n">
        <f aca="false">SUM(AZ387*1000)/48</f>
        <v>0</v>
      </c>
      <c r="BB387" s="90" t="n">
        <f aca="false">SUM(P387/2)+E387</f>
        <v>10</v>
      </c>
      <c r="BC387" s="90" t="n">
        <f aca="false">SUM(P387/2)+F387</f>
        <v>20</v>
      </c>
    </row>
    <row r="388" customFormat="false" ht="13.15" hidden="false" customHeight="false" outlineLevel="0" collapsed="false">
      <c r="A388" s="0" t="str">
        <f aca="false">[2]Sheet1!A388</f>
        <v>PCOTN1 DCDB 3 WALL MOUNTED</v>
      </c>
      <c r="B388" s="0" t="str">
        <f aca="false">[2]Sheet1!B388</f>
        <v>PCOTN1;DC SYS A;GEMINI</v>
      </c>
      <c r="C388" s="44" t="str">
        <f aca="false">[2]Sheet1!C388</f>
        <v>PCOTN1</v>
      </c>
      <c r="D388" s="44" t="s">
        <v>711</v>
      </c>
      <c r="E388" s="0" t="n">
        <f aca="false">[2]Sheet1!D388</f>
        <v>15</v>
      </c>
      <c r="F388" s="0" t="n">
        <f aca="false">[2]Sheet1!E388</f>
        <v>0</v>
      </c>
      <c r="G388" s="45" t="n">
        <f aca="false">[2]Sheet1!F388</f>
        <v>45070</v>
      </c>
      <c r="H388" s="0" t="n">
        <f aca="false">[2]Sheet1!G388</f>
        <v>600</v>
      </c>
      <c r="I388" s="0" t="n">
        <f aca="false">[2]Sheet1!H388</f>
        <v>0</v>
      </c>
      <c r="J388" s="0" t="n">
        <f aca="false">[2]Sheet1!I388</f>
        <v>0</v>
      </c>
      <c r="K388" s="0" t="n">
        <f aca="false">[2]Sheet1!J388</f>
        <v>15</v>
      </c>
      <c r="L388" s="0" t="n">
        <f aca="false">[2]Sheet1!K388</f>
        <v>0</v>
      </c>
      <c r="M388" s="0" t="n">
        <f aca="false">[2]Sheet1!L388</f>
        <v>0</v>
      </c>
      <c r="N388" s="0" t="n">
        <f aca="false">[2]Sheet1!M388</f>
        <v>3</v>
      </c>
      <c r="O388" s="0" t="n">
        <f aca="false">[2]Sheet1!N388</f>
        <v>0</v>
      </c>
      <c r="P388" s="226" t="n">
        <f aca="false">SUM(AY388+BA388)</f>
        <v>0</v>
      </c>
      <c r="Q388" s="201"/>
      <c r="R388" s="71"/>
      <c r="S388" s="227"/>
      <c r="T388" s="71"/>
      <c r="U388" s="201"/>
      <c r="V388" s="71"/>
      <c r="W388" s="227"/>
      <c r="X388" s="71"/>
      <c r="Y388" s="201"/>
      <c r="Z388" s="71"/>
      <c r="AA388" s="227"/>
      <c r="AB388" s="71"/>
      <c r="AC388" s="201"/>
      <c r="AD388" s="71"/>
      <c r="AE388" s="227"/>
      <c r="AF388" s="71"/>
      <c r="AG388" s="201"/>
      <c r="AH388" s="71"/>
      <c r="AI388" s="227"/>
      <c r="AJ388" s="71"/>
      <c r="AK388" s="201"/>
      <c r="AL388" s="71"/>
      <c r="AM388" s="227"/>
      <c r="AN388" s="71"/>
      <c r="AO388" s="201"/>
      <c r="AP388" s="71"/>
      <c r="AQ388" s="227"/>
      <c r="AR388" s="71"/>
      <c r="AS388" s="227"/>
      <c r="AT388" s="228"/>
      <c r="AU388" s="227"/>
      <c r="AV388" s="228"/>
      <c r="AW388" s="227"/>
      <c r="AX388" s="229" t="n">
        <f aca="false">SUM(R388+T388+V388+X388+Z388+AB388+AD388+AF388+AH388+AJ388+AL388+AN388+AP388+AR388)</f>
        <v>0</v>
      </c>
      <c r="AY388" s="230" t="n">
        <f aca="false">SUM(AX388*1000)/48</f>
        <v>0</v>
      </c>
      <c r="AZ388" s="231" t="n">
        <f aca="false">IFERROR(VLOOKUP(A388,'Site check'!$A$14:$O$47,15,0),0)</f>
        <v>0</v>
      </c>
      <c r="BA388" s="232" t="n">
        <f aca="false">SUM(AZ388*1000)/48</f>
        <v>0</v>
      </c>
      <c r="BB388" s="90" t="n">
        <f aca="false">SUM(P388/2)+E388</f>
        <v>15</v>
      </c>
      <c r="BC388" s="90" t="n">
        <f aca="false">SUM(P388/2)+F388</f>
        <v>0</v>
      </c>
    </row>
    <row r="389" customFormat="false" ht="13.15" hidden="false" customHeight="false" outlineLevel="0" collapsed="false">
      <c r="A389" s="0" t="str">
        <f aca="false">[2]Sheet1!A389</f>
        <v>PCOTN1 DCDB 4 WALL MOUNTED</v>
      </c>
      <c r="B389" s="0" t="str">
        <f aca="false">[2]Sheet1!B389</f>
        <v>PCOTN1;DC SYS A;GEMINI</v>
      </c>
      <c r="C389" s="44" t="str">
        <f aca="false">[2]Sheet1!C389</f>
        <v>PCOTN1</v>
      </c>
      <c r="D389" s="44" t="s">
        <v>711</v>
      </c>
      <c r="E389" s="0" t="n">
        <f aca="false">[2]Sheet1!D389</f>
        <v>25</v>
      </c>
      <c r="F389" s="0" t="n">
        <f aca="false">[2]Sheet1!E389</f>
        <v>0</v>
      </c>
      <c r="G389" s="45" t="n">
        <f aca="false">[2]Sheet1!F389</f>
        <v>45070</v>
      </c>
      <c r="H389" s="0" t="n">
        <f aca="false">[2]Sheet1!G389</f>
        <v>600</v>
      </c>
      <c r="I389" s="0" t="n">
        <f aca="false">[2]Sheet1!H389</f>
        <v>0</v>
      </c>
      <c r="J389" s="0" t="n">
        <f aca="false">[2]Sheet1!I389</f>
        <v>0</v>
      </c>
      <c r="K389" s="0" t="n">
        <f aca="false">[2]Sheet1!J389</f>
        <v>14</v>
      </c>
      <c r="L389" s="0" t="n">
        <f aca="false">[2]Sheet1!K389</f>
        <v>0</v>
      </c>
      <c r="M389" s="0" t="n">
        <f aca="false">[2]Sheet1!L389</f>
        <v>0</v>
      </c>
      <c r="N389" s="0" t="n">
        <f aca="false">[2]Sheet1!M389</f>
        <v>3</v>
      </c>
      <c r="O389" s="0" t="n">
        <f aca="false">[2]Sheet1!N389</f>
        <v>0</v>
      </c>
      <c r="P389" s="226" t="n">
        <f aca="false">SUM(AY389+BA389)</f>
        <v>0</v>
      </c>
      <c r="Q389" s="201"/>
      <c r="R389" s="71"/>
      <c r="S389" s="227"/>
      <c r="T389" s="71"/>
      <c r="U389" s="201"/>
      <c r="V389" s="71"/>
      <c r="W389" s="227"/>
      <c r="X389" s="71"/>
      <c r="Y389" s="201"/>
      <c r="Z389" s="71"/>
      <c r="AA389" s="227"/>
      <c r="AB389" s="71"/>
      <c r="AC389" s="201"/>
      <c r="AD389" s="71"/>
      <c r="AE389" s="227"/>
      <c r="AF389" s="71"/>
      <c r="AG389" s="201"/>
      <c r="AH389" s="71"/>
      <c r="AI389" s="227"/>
      <c r="AJ389" s="71"/>
      <c r="AK389" s="201"/>
      <c r="AL389" s="71"/>
      <c r="AM389" s="227"/>
      <c r="AN389" s="71"/>
      <c r="AO389" s="201"/>
      <c r="AP389" s="71"/>
      <c r="AQ389" s="227"/>
      <c r="AR389" s="71"/>
      <c r="AS389" s="227"/>
      <c r="AT389" s="228"/>
      <c r="AU389" s="227"/>
      <c r="AV389" s="228"/>
      <c r="AW389" s="227"/>
      <c r="AX389" s="229" t="n">
        <f aca="false">SUM(R389+T389+V389+X389+Z389+AB389+AD389+AF389+AH389+AJ389+AL389+AN389+AP389+AR389)</f>
        <v>0</v>
      </c>
      <c r="AY389" s="230" t="n">
        <f aca="false">SUM(AX389*1000)/48</f>
        <v>0</v>
      </c>
      <c r="AZ389" s="231" t="n">
        <f aca="false">IFERROR(VLOOKUP(A389,'Site check'!$A$14:$O$47,15,0),0)</f>
        <v>0</v>
      </c>
      <c r="BA389" s="232" t="n">
        <f aca="false">SUM(AZ389*1000)/48</f>
        <v>0</v>
      </c>
      <c r="BB389" s="90" t="n">
        <f aca="false">SUM(P389/2)+E389</f>
        <v>25</v>
      </c>
      <c r="BC389" s="90" t="n">
        <f aca="false">SUM(P389/2)+F389</f>
        <v>0</v>
      </c>
    </row>
    <row r="390" customFormat="false" ht="13.15" hidden="false" customHeight="false" outlineLevel="0" collapsed="false">
      <c r="A390" s="0" t="str">
        <f aca="false">[2]Sheet1!A390</f>
        <v>PCOTN1 DCDB 5 WALL MOUNTED</v>
      </c>
      <c r="B390" s="0" t="str">
        <f aca="false">[2]Sheet1!B390</f>
        <v>PCOTN1;DC SYS A;GEMINI</v>
      </c>
      <c r="C390" s="44" t="str">
        <f aca="false">[2]Sheet1!C390</f>
        <v>PCOTN1</v>
      </c>
      <c r="D390" s="44" t="s">
        <v>1540</v>
      </c>
      <c r="E390" s="0" t="n">
        <f aca="false">[2]Sheet1!D390</f>
        <v>10</v>
      </c>
      <c r="F390" s="0" t="n">
        <f aca="false">[2]Sheet1!E390</f>
        <v>0</v>
      </c>
      <c r="G390" s="45" t="n">
        <f aca="false">[2]Sheet1!F390</f>
        <v>45070</v>
      </c>
      <c r="H390" s="0" t="n">
        <f aca="false">[2]Sheet1!G390</f>
        <v>600</v>
      </c>
      <c r="I390" s="0" t="n">
        <f aca="false">[2]Sheet1!H390</f>
        <v>0</v>
      </c>
      <c r="J390" s="0" t="n">
        <f aca="false">[2]Sheet1!I390</f>
        <v>0</v>
      </c>
      <c r="K390" s="0" t="n">
        <f aca="false">[2]Sheet1!J390</f>
        <v>3</v>
      </c>
      <c r="L390" s="0" t="n">
        <f aca="false">[2]Sheet1!K390</f>
        <v>0</v>
      </c>
      <c r="M390" s="0" t="n">
        <f aca="false">[2]Sheet1!L390</f>
        <v>0</v>
      </c>
      <c r="N390" s="0" t="n">
        <f aca="false">[2]Sheet1!M390</f>
        <v>9</v>
      </c>
      <c r="O390" s="0" t="n">
        <f aca="false">[2]Sheet1!N390</f>
        <v>0</v>
      </c>
      <c r="P390" s="226" t="n">
        <f aca="false">SUM(AY390+BA390)</f>
        <v>0</v>
      </c>
      <c r="Q390" s="201"/>
      <c r="R390" s="71"/>
      <c r="S390" s="227"/>
      <c r="T390" s="71"/>
      <c r="U390" s="201"/>
      <c r="V390" s="71"/>
      <c r="W390" s="227"/>
      <c r="X390" s="71"/>
      <c r="Y390" s="201"/>
      <c r="Z390" s="71"/>
      <c r="AA390" s="227"/>
      <c r="AB390" s="71"/>
      <c r="AC390" s="201"/>
      <c r="AD390" s="71"/>
      <c r="AE390" s="227"/>
      <c r="AF390" s="71"/>
      <c r="AG390" s="201"/>
      <c r="AH390" s="71"/>
      <c r="AI390" s="227"/>
      <c r="AJ390" s="71"/>
      <c r="AK390" s="201"/>
      <c r="AL390" s="71"/>
      <c r="AM390" s="227"/>
      <c r="AN390" s="71"/>
      <c r="AO390" s="201"/>
      <c r="AP390" s="71"/>
      <c r="AQ390" s="227"/>
      <c r="AR390" s="71"/>
      <c r="AS390" s="227"/>
      <c r="AT390" s="228"/>
      <c r="AU390" s="227"/>
      <c r="AV390" s="228"/>
      <c r="AW390" s="227"/>
      <c r="AX390" s="229" t="n">
        <f aca="false">SUM(R390+T390+V390+X390+Z390+AB390+AD390+AF390+AH390+AJ390+AL390+AN390+AP390+AR390)</f>
        <v>0</v>
      </c>
      <c r="AY390" s="230" t="n">
        <f aca="false">SUM(AX390*1000)/48</f>
        <v>0</v>
      </c>
      <c r="AZ390" s="231" t="n">
        <f aca="false">IFERROR(VLOOKUP(A390,'Site check'!$A$14:$O$47,15,0),0)</f>
        <v>0</v>
      </c>
      <c r="BA390" s="232" t="n">
        <f aca="false">SUM(AZ390*1000)/48</f>
        <v>0</v>
      </c>
      <c r="BB390" s="90" t="n">
        <f aca="false">SUM(P390/2)+E390</f>
        <v>10</v>
      </c>
      <c r="BC390" s="90" t="n">
        <f aca="false">SUM(P390/2)+F390</f>
        <v>0</v>
      </c>
    </row>
    <row r="391" customFormat="false" ht="13.15" hidden="false" customHeight="false" outlineLevel="0" collapsed="false">
      <c r="A391" s="0" t="str">
        <f aca="false">[2]Sheet1!A391</f>
        <v>PCOTN1 DCDB 6 WALL MOUNTED</v>
      </c>
      <c r="B391" s="0" t="str">
        <f aca="false">[2]Sheet1!B391</f>
        <v>PCOTN1;DC SYS A;GEMINI</v>
      </c>
      <c r="C391" s="44" t="str">
        <f aca="false">[2]Sheet1!C391</f>
        <v>PCOTN1</v>
      </c>
      <c r="D391" s="44" t="s">
        <v>1541</v>
      </c>
      <c r="E391" s="0" t="n">
        <f aca="false">[2]Sheet1!D391</f>
        <v>0</v>
      </c>
      <c r="F391" s="0" t="n">
        <f aca="false">[2]Sheet1!E391</f>
        <v>0</v>
      </c>
      <c r="G391" s="45" t="n">
        <f aca="false">[2]Sheet1!F391</f>
        <v>45070</v>
      </c>
      <c r="H391" s="0" t="n">
        <f aca="false">[2]Sheet1!G391</f>
        <v>600</v>
      </c>
      <c r="I391" s="0" t="n">
        <f aca="false">[2]Sheet1!H391</f>
        <v>0</v>
      </c>
      <c r="J391" s="0" t="n">
        <f aca="false">[2]Sheet1!I391</f>
        <v>0</v>
      </c>
      <c r="K391" s="0" t="n">
        <f aca="false">[2]Sheet1!J391</f>
        <v>3</v>
      </c>
      <c r="L391" s="0" t="n">
        <f aca="false">[2]Sheet1!K391</f>
        <v>0</v>
      </c>
      <c r="M391" s="0" t="n">
        <f aca="false">[2]Sheet1!L391</f>
        <v>0</v>
      </c>
      <c r="N391" s="0" t="n">
        <f aca="false">[2]Sheet1!M391</f>
        <v>12</v>
      </c>
      <c r="O391" s="0" t="n">
        <f aca="false">[2]Sheet1!N391</f>
        <v>0</v>
      </c>
      <c r="P391" s="226" t="n">
        <f aca="false">SUM(AY391+BA391)</f>
        <v>0</v>
      </c>
      <c r="Q391" s="201"/>
      <c r="R391" s="71"/>
      <c r="S391" s="227"/>
      <c r="T391" s="71"/>
      <c r="U391" s="201"/>
      <c r="V391" s="71"/>
      <c r="W391" s="227"/>
      <c r="X391" s="71"/>
      <c r="Y391" s="201"/>
      <c r="Z391" s="71"/>
      <c r="AA391" s="227"/>
      <c r="AB391" s="71"/>
      <c r="AC391" s="201"/>
      <c r="AD391" s="71"/>
      <c r="AE391" s="227"/>
      <c r="AF391" s="71"/>
      <c r="AG391" s="201"/>
      <c r="AH391" s="71"/>
      <c r="AI391" s="227"/>
      <c r="AJ391" s="71"/>
      <c r="AK391" s="201"/>
      <c r="AL391" s="71"/>
      <c r="AM391" s="227"/>
      <c r="AN391" s="71"/>
      <c r="AO391" s="201"/>
      <c r="AP391" s="71"/>
      <c r="AQ391" s="227"/>
      <c r="AR391" s="71"/>
      <c r="AS391" s="227"/>
      <c r="AT391" s="228"/>
      <c r="AU391" s="227"/>
      <c r="AV391" s="228"/>
      <c r="AW391" s="227"/>
      <c r="AX391" s="229" t="n">
        <f aca="false">SUM(R391+T391+V391+X391+Z391+AB391+AD391+AF391+AH391+AJ391+AL391+AN391+AP391+AR391)</f>
        <v>0</v>
      </c>
      <c r="AY391" s="230" t="n">
        <f aca="false">SUM(AX391*1000)/48</f>
        <v>0</v>
      </c>
      <c r="AZ391" s="231" t="n">
        <f aca="false">IFERROR(VLOOKUP(A391,'Site check'!$A$14:$O$47,15,0),0)</f>
        <v>0</v>
      </c>
      <c r="BA391" s="232" t="n">
        <f aca="false">SUM(AZ391*1000)/48</f>
        <v>0</v>
      </c>
      <c r="BB391" s="90" t="n">
        <f aca="false">SUM(P391/2)+E391</f>
        <v>0</v>
      </c>
      <c r="BC391" s="90" t="n">
        <f aca="false">SUM(P391/2)+F391</f>
        <v>0</v>
      </c>
    </row>
    <row r="392" customFormat="false" ht="13.15" hidden="false" customHeight="false" outlineLevel="0" collapsed="false">
      <c r="A392" s="0" t="str">
        <f aca="false">[2]Sheet1!A392</f>
        <v>PCOTN1_WALL_CBDB_1</v>
      </c>
      <c r="B392" s="0" t="str">
        <f aca="false">[2]Sheet1!B392</f>
        <v>PCOTN1;DC SYS A;FLAG</v>
      </c>
      <c r="C392" s="44" t="str">
        <f aca="false">[2]Sheet1!C392</f>
        <v>PCOTN1</v>
      </c>
      <c r="D392" s="44" t="s">
        <v>1542</v>
      </c>
      <c r="E392" s="0" t="n">
        <f aca="false">[2]Sheet1!D392</f>
        <v>80</v>
      </c>
      <c r="F392" s="0" t="n">
        <f aca="false">[2]Sheet1!E392</f>
        <v>80</v>
      </c>
      <c r="G392" s="45" t="n">
        <f aca="false">[2]Sheet1!F392</f>
        <v>45070</v>
      </c>
      <c r="H392" s="0" t="n">
        <f aca="false">[2]Sheet1!G392</f>
        <v>300</v>
      </c>
      <c r="I392" s="0" t="n">
        <f aca="false">[2]Sheet1!H392</f>
        <v>300</v>
      </c>
      <c r="J392" s="0" t="n">
        <f aca="false">[2]Sheet1!I392</f>
        <v>0</v>
      </c>
      <c r="K392" s="0" t="n">
        <f aca="false">[2]Sheet1!J392</f>
        <v>0</v>
      </c>
      <c r="L392" s="0" t="n">
        <f aca="false">[2]Sheet1!K392</f>
        <v>4</v>
      </c>
      <c r="M392" s="0" t="n">
        <f aca="false">[2]Sheet1!L392</f>
        <v>0</v>
      </c>
      <c r="N392" s="0" t="n">
        <f aca="false">[2]Sheet1!M392</f>
        <v>0</v>
      </c>
      <c r="O392" s="0" t="n">
        <f aca="false">[2]Sheet1!N392</f>
        <v>0</v>
      </c>
      <c r="P392" s="226" t="n">
        <f aca="false">SUM(AY392+BA392)</f>
        <v>0</v>
      </c>
      <c r="Q392" s="201"/>
      <c r="R392" s="71"/>
      <c r="S392" s="227"/>
      <c r="T392" s="71"/>
      <c r="U392" s="201"/>
      <c r="V392" s="71"/>
      <c r="W392" s="227"/>
      <c r="X392" s="71"/>
      <c r="Y392" s="201"/>
      <c r="Z392" s="71"/>
      <c r="AA392" s="227"/>
      <c r="AB392" s="71"/>
      <c r="AC392" s="201"/>
      <c r="AD392" s="71"/>
      <c r="AE392" s="227"/>
      <c r="AF392" s="71"/>
      <c r="AG392" s="201"/>
      <c r="AH392" s="71"/>
      <c r="AI392" s="227"/>
      <c r="AJ392" s="71"/>
      <c r="AK392" s="201"/>
      <c r="AL392" s="71"/>
      <c r="AM392" s="227"/>
      <c r="AN392" s="71"/>
      <c r="AO392" s="201"/>
      <c r="AP392" s="71"/>
      <c r="AQ392" s="227"/>
      <c r="AR392" s="71"/>
      <c r="AS392" s="227"/>
      <c r="AT392" s="228"/>
      <c r="AU392" s="227"/>
      <c r="AV392" s="228"/>
      <c r="AW392" s="227"/>
      <c r="AX392" s="229" t="n">
        <f aca="false">SUM(R392+T392+V392+X392+Z392+AB392+AD392+AF392+AH392+AJ392+AL392+AN392+AP392+AR392)</f>
        <v>0</v>
      </c>
      <c r="AY392" s="230" t="n">
        <f aca="false">SUM(AX392*1000)/48</f>
        <v>0</v>
      </c>
      <c r="AZ392" s="231" t="n">
        <f aca="false">IFERROR(VLOOKUP(A392,'Site check'!$A$14:$O$47,15,0),0)</f>
        <v>0</v>
      </c>
      <c r="BA392" s="232" t="n">
        <f aca="false">SUM(AZ392*1000)/48</f>
        <v>0</v>
      </c>
      <c r="BB392" s="90" t="n">
        <f aca="false">SUM(P392/2)+E392</f>
        <v>80</v>
      </c>
      <c r="BC392" s="90" t="n">
        <f aca="false">SUM(P392/2)+F392</f>
        <v>80</v>
      </c>
    </row>
    <row r="393" customFormat="false" ht="13.15" hidden="false" customHeight="false" outlineLevel="0" collapsed="false">
      <c r="A393" s="0" t="str">
        <f aca="false">[2]Sheet1!A393</f>
        <v>SDNN06_PDU1A_B</v>
      </c>
      <c r="B393" s="0" t="str">
        <f aca="false">[2]Sheet1!B393</f>
        <v>SDNN06;DC SYS03</v>
      </c>
      <c r="C393" s="44" t="str">
        <f aca="false">[2]Sheet1!C393</f>
        <v>SDNN06</v>
      </c>
      <c r="D393" s="44" t="s">
        <v>751</v>
      </c>
      <c r="E393" s="0" t="n">
        <f aca="false">[2]Sheet1!D393</f>
        <v>167.9</v>
      </c>
      <c r="F393" s="0" t="n">
        <f aca="false">[2]Sheet1!E393</f>
        <v>150.88</v>
      </c>
      <c r="G393" s="45" t="n">
        <f aca="false">[2]Sheet1!F393</f>
        <v>45631</v>
      </c>
      <c r="H393" s="0" t="n">
        <f aca="false">[2]Sheet1!G393</f>
        <v>360</v>
      </c>
      <c r="I393" s="0" t="n">
        <f aca="false">[2]Sheet1!H393</f>
        <v>360</v>
      </c>
      <c r="J393" s="0" t="n">
        <f aca="false">[2]Sheet1!I393</f>
        <v>0</v>
      </c>
      <c r="K393" s="0" t="n">
        <f aca="false">[2]Sheet1!J393</f>
        <v>0</v>
      </c>
      <c r="L393" s="0" t="n">
        <f aca="false">[2]Sheet1!K393</f>
        <v>0</v>
      </c>
      <c r="M393" s="0" t="n">
        <f aca="false">[2]Sheet1!L393</f>
        <v>0</v>
      </c>
      <c r="N393" s="0" t="n">
        <f aca="false">[2]Sheet1!M393</f>
        <v>0</v>
      </c>
      <c r="O393" s="0" t="n">
        <f aca="false">[2]Sheet1!N393</f>
        <v>0</v>
      </c>
      <c r="P393" s="226" t="n">
        <f aca="false">SUM(AY393+BA393)</f>
        <v>320.833333333333</v>
      </c>
      <c r="Q393" s="170" t="s">
        <v>1364</v>
      </c>
      <c r="R393" s="234" t="n">
        <v>2</v>
      </c>
      <c r="S393" s="170" t="s">
        <v>1365</v>
      </c>
      <c r="T393" s="234" t="n">
        <v>0.6</v>
      </c>
      <c r="U393" s="170" t="s">
        <v>1366</v>
      </c>
      <c r="V393" s="234" t="n">
        <v>1.7</v>
      </c>
      <c r="W393" s="170" t="s">
        <v>1367</v>
      </c>
      <c r="X393" s="234" t="n">
        <v>2.7</v>
      </c>
      <c r="Y393" s="170" t="s">
        <v>1368</v>
      </c>
      <c r="Z393" s="234" t="n">
        <v>1.2</v>
      </c>
      <c r="AA393" s="170" t="s">
        <v>1369</v>
      </c>
      <c r="AB393" s="171" t="n">
        <v>3.2</v>
      </c>
      <c r="AC393" s="170" t="s">
        <v>1358</v>
      </c>
      <c r="AD393" s="171" t="n">
        <v>4</v>
      </c>
      <c r="AE393" s="227"/>
      <c r="AF393" s="71"/>
      <c r="AG393" s="201"/>
      <c r="AH393" s="71"/>
      <c r="AI393" s="227"/>
      <c r="AJ393" s="71"/>
      <c r="AK393" s="201"/>
      <c r="AL393" s="71"/>
      <c r="AM393" s="227"/>
      <c r="AN393" s="71"/>
      <c r="AO393" s="201"/>
      <c r="AP393" s="71"/>
      <c r="AQ393" s="227"/>
      <c r="AR393" s="71"/>
      <c r="AS393" s="227"/>
      <c r="AT393" s="228"/>
      <c r="AU393" s="227"/>
      <c r="AV393" s="228"/>
      <c r="AW393" s="227"/>
      <c r="AX393" s="229" t="n">
        <f aca="false">SUM(R393+T393+V393+X393+Z393+AB393+AD393+AF393+AH393+AJ393+AL393+AN393+AP393+AR393)</f>
        <v>15.4</v>
      </c>
      <c r="AY393" s="230" t="n">
        <f aca="false">SUM(AX393*1000)/48</f>
        <v>320.833333333333</v>
      </c>
      <c r="AZ393" s="231" t="n">
        <f aca="false">IFERROR(VLOOKUP(A393,'Site check'!$A$14:$O$47,15,0),0)</f>
        <v>0</v>
      </c>
      <c r="BA393" s="232" t="n">
        <f aca="false">SUM(AZ393*1000)/48</f>
        <v>0</v>
      </c>
      <c r="BB393" s="90" t="n">
        <f aca="false">SUM(P393/2)+E393</f>
        <v>328.316666666667</v>
      </c>
      <c r="BC393" s="90" t="n">
        <f aca="false">SUM(P393/2)+F393</f>
        <v>311.296666666667</v>
      </c>
    </row>
    <row r="394" customFormat="false" ht="13.15" hidden="false" customHeight="false" outlineLevel="0" collapsed="false">
      <c r="A394" s="0" t="str">
        <f aca="false">[2]Sheet1!A394</f>
        <v>SDNN06_SEC_CBDB_QR16</v>
      </c>
      <c r="B394" s="0" t="str">
        <f aca="false">[2]Sheet1!B394</f>
        <v>SDNN06;DC SYS02</v>
      </c>
      <c r="C394" s="44" t="str">
        <f aca="false">[2]Sheet1!C394</f>
        <v>SDNN06</v>
      </c>
      <c r="D394" s="44" t="s">
        <v>751</v>
      </c>
      <c r="E394" s="0" t="n">
        <f aca="false">[2]Sheet1!D394</f>
        <v>200</v>
      </c>
      <c r="F394" s="0" t="n">
        <f aca="false">[2]Sheet1!E394</f>
        <v>200</v>
      </c>
      <c r="G394" s="45" t="n">
        <f aca="false">[2]Sheet1!F394</f>
        <v>45014</v>
      </c>
      <c r="H394" s="0" t="n">
        <f aca="false">[2]Sheet1!G394</f>
        <v>300</v>
      </c>
      <c r="I394" s="0" t="n">
        <f aca="false">[2]Sheet1!H394</f>
        <v>300</v>
      </c>
      <c r="J394" s="0" t="n">
        <f aca="false">[2]Sheet1!I394</f>
        <v>3</v>
      </c>
      <c r="K394" s="0" t="n">
        <f aca="false">[2]Sheet1!J394</f>
        <v>1</v>
      </c>
      <c r="L394" s="0" t="n">
        <f aca="false">[2]Sheet1!K394</f>
        <v>7</v>
      </c>
      <c r="M394" s="0" t="n">
        <f aca="false">[2]Sheet1!L394</f>
        <v>3</v>
      </c>
      <c r="N394" s="0" t="n">
        <f aca="false">[2]Sheet1!M394</f>
        <v>0</v>
      </c>
      <c r="O394" s="0" t="n">
        <f aca="false">[2]Sheet1!N394</f>
        <v>4</v>
      </c>
      <c r="P394" s="226" t="n">
        <f aca="false">SUM(AY394+BA394)</f>
        <v>312.5</v>
      </c>
      <c r="Q394" s="202" t="s">
        <v>1360</v>
      </c>
      <c r="R394" s="242" t="n">
        <v>6</v>
      </c>
      <c r="S394" s="177" t="s">
        <v>1361</v>
      </c>
      <c r="T394" s="235" t="n">
        <v>3</v>
      </c>
      <c r="U394" s="181" t="s">
        <v>1362</v>
      </c>
      <c r="V394" s="237" t="n">
        <v>3</v>
      </c>
      <c r="W394" s="181" t="s">
        <v>1543</v>
      </c>
      <c r="X394" s="237" t="n">
        <v>3</v>
      </c>
      <c r="Y394" s="201"/>
      <c r="Z394" s="71"/>
      <c r="AA394" s="227"/>
      <c r="AB394" s="71"/>
      <c r="AC394" s="201"/>
      <c r="AD394" s="71"/>
      <c r="AE394" s="227"/>
      <c r="AF394" s="71"/>
      <c r="AG394" s="201"/>
      <c r="AH394" s="71"/>
      <c r="AI394" s="227"/>
      <c r="AJ394" s="71"/>
      <c r="AK394" s="201"/>
      <c r="AL394" s="71"/>
      <c r="AM394" s="227"/>
      <c r="AN394" s="71"/>
      <c r="AO394" s="201"/>
      <c r="AP394" s="71"/>
      <c r="AQ394" s="227"/>
      <c r="AR394" s="71"/>
      <c r="AS394" s="227"/>
      <c r="AT394" s="228"/>
      <c r="AU394" s="227"/>
      <c r="AV394" s="228"/>
      <c r="AW394" s="227"/>
      <c r="AX394" s="229" t="n">
        <f aca="false">SUM(R394+T394+V394+X394+Z394+AB394+AD394+AF394+AH394+AJ394+AL394+AN394+AP394+AR394)</f>
        <v>15</v>
      </c>
      <c r="AY394" s="230" t="n">
        <f aca="false">SUM(AX394*1000)/48</f>
        <v>312.5</v>
      </c>
      <c r="AZ394" s="231" t="n">
        <f aca="false">IFERROR(VLOOKUP(A394,'Site check'!$A$14:$O$47,15,0),0)</f>
        <v>0</v>
      </c>
      <c r="BA394" s="232" t="n">
        <f aca="false">SUM(AZ394*1000)/48</f>
        <v>0</v>
      </c>
      <c r="BB394" s="90" t="n">
        <f aca="false">SUM(P394/2)+E394</f>
        <v>356.25</v>
      </c>
      <c r="BC394" s="90" t="n">
        <f aca="false">SUM(P394/2)+F394</f>
        <v>356.25</v>
      </c>
    </row>
    <row r="395" customFormat="false" ht="13.15" hidden="false" customHeight="false" outlineLevel="0" collapsed="false">
      <c r="A395" s="0" t="str">
        <f aca="false">[2]Sheet1!A395</f>
        <v>SDNN06_SEC_CBDB_UV16</v>
      </c>
      <c r="B395" s="0" t="str">
        <f aca="false">[2]Sheet1!B395</f>
        <v>SDNN06;DC SYS03</v>
      </c>
      <c r="C395" s="44" t="str">
        <f aca="false">[2]Sheet1!C395</f>
        <v>SDNN06</v>
      </c>
      <c r="D395" s="44" t="s">
        <v>751</v>
      </c>
      <c r="E395" s="0" t="n">
        <f aca="false">[2]Sheet1!D395</f>
        <v>245</v>
      </c>
      <c r="F395" s="0" t="n">
        <f aca="false">[2]Sheet1!E395</f>
        <v>245</v>
      </c>
      <c r="G395" s="45" t="n">
        <f aca="false">[2]Sheet1!F395</f>
        <v>45009</v>
      </c>
      <c r="H395" s="0" t="n">
        <f aca="false">[2]Sheet1!G395</f>
        <v>300</v>
      </c>
      <c r="I395" s="0" t="n">
        <f aca="false">[2]Sheet1!H395</f>
        <v>300</v>
      </c>
      <c r="J395" s="0" t="n">
        <f aca="false">[2]Sheet1!I395</f>
        <v>0</v>
      </c>
      <c r="K395" s="0" t="n">
        <f aca="false">[2]Sheet1!J395</f>
        <v>0</v>
      </c>
      <c r="L395" s="0" t="n">
        <f aca="false">[2]Sheet1!K395</f>
        <v>0</v>
      </c>
      <c r="M395" s="0" t="n">
        <f aca="false">[2]Sheet1!L395</f>
        <v>2</v>
      </c>
      <c r="N395" s="0" t="n">
        <f aca="false">[2]Sheet1!M395</f>
        <v>1</v>
      </c>
      <c r="O395" s="0" t="n">
        <f aca="false">[2]Sheet1!N395</f>
        <v>0</v>
      </c>
      <c r="P395" s="226" t="n">
        <f aca="false">SUM(AY395+BA395)</f>
        <v>0</v>
      </c>
      <c r="Q395" s="204"/>
      <c r="R395" s="221"/>
      <c r="S395" s="227"/>
      <c r="T395" s="71"/>
      <c r="U395" s="201"/>
      <c r="V395" s="71"/>
      <c r="W395" s="227"/>
      <c r="X395" s="71"/>
      <c r="Y395" s="201"/>
      <c r="Z395" s="71"/>
      <c r="AA395" s="227"/>
      <c r="AB395" s="71"/>
      <c r="AC395" s="201"/>
      <c r="AD395" s="71"/>
      <c r="AE395" s="227"/>
      <c r="AF395" s="71"/>
      <c r="AG395" s="201"/>
      <c r="AH395" s="71"/>
      <c r="AI395" s="227"/>
      <c r="AJ395" s="71"/>
      <c r="AK395" s="201"/>
      <c r="AL395" s="71"/>
      <c r="AM395" s="227"/>
      <c r="AN395" s="71"/>
      <c r="AO395" s="201"/>
      <c r="AP395" s="71"/>
      <c r="AQ395" s="227"/>
      <c r="AR395" s="71"/>
      <c r="AS395" s="227"/>
      <c r="AT395" s="228"/>
      <c r="AU395" s="227"/>
      <c r="AV395" s="228"/>
      <c r="AW395" s="227"/>
      <c r="AX395" s="229" t="n">
        <f aca="false">SUM(R395+T395+V395+X395+Z395+AB395+AD395+AF395+AH395+AJ395+AL395+AN395+AP395+AR395)</f>
        <v>0</v>
      </c>
      <c r="AY395" s="230" t="n">
        <f aca="false">SUM(AX395*1000)/48</f>
        <v>0</v>
      </c>
      <c r="AZ395" s="231" t="n">
        <f aca="false">IFERROR(VLOOKUP(A395,'Site check'!$A$14:$O$47,15,0),0)</f>
        <v>0</v>
      </c>
      <c r="BA395" s="232" t="n">
        <f aca="false">SUM(AZ395*1000)/48</f>
        <v>0</v>
      </c>
      <c r="BB395" s="90" t="n">
        <f aca="false">SUM(P395/2)+E395</f>
        <v>245</v>
      </c>
      <c r="BC395" s="90" t="n">
        <f aca="false">SUM(P395/2)+F395</f>
        <v>245</v>
      </c>
    </row>
    <row r="396" customFormat="false" ht="13.15" hidden="false" customHeight="false" outlineLevel="0" collapsed="false">
      <c r="A396" s="0" t="str">
        <f aca="false">[2]Sheet1!A396</f>
        <v>SDNN06_SEC_DD770_CD1</v>
      </c>
      <c r="B396" s="0" t="str">
        <f aca="false">[2]Sheet1!B396</f>
        <v>SDNN06;DC SYS02</v>
      </c>
      <c r="C396" s="44" t="str">
        <f aca="false">[2]Sheet1!C396</f>
        <v>SDNN06</v>
      </c>
      <c r="D396" s="44" t="s">
        <v>751</v>
      </c>
      <c r="E396" s="0" t="n">
        <f aca="false">[2]Sheet1!D396</f>
        <v>160</v>
      </c>
      <c r="F396" s="0" t="n">
        <f aca="false">[2]Sheet1!E396</f>
        <v>160</v>
      </c>
      <c r="G396" s="45" t="n">
        <f aca="false">[2]Sheet1!F396</f>
        <v>44844</v>
      </c>
      <c r="H396" s="0" t="n">
        <f aca="false">[2]Sheet1!G396</f>
        <v>300</v>
      </c>
      <c r="I396" s="0" t="n">
        <f aca="false">[2]Sheet1!H396</f>
        <v>300</v>
      </c>
      <c r="J396" s="0" t="n">
        <f aca="false">[2]Sheet1!I396</f>
        <v>4</v>
      </c>
      <c r="K396" s="0" t="n">
        <f aca="false">[2]Sheet1!J396</f>
        <v>4</v>
      </c>
      <c r="L396" s="0" t="n">
        <f aca="false">[2]Sheet1!K396</f>
        <v>0</v>
      </c>
      <c r="M396" s="0" t="n">
        <f aca="false">[2]Sheet1!L396</f>
        <v>9</v>
      </c>
      <c r="N396" s="0" t="n">
        <f aca="false">[2]Sheet1!M396</f>
        <v>8</v>
      </c>
      <c r="O396" s="0" t="n">
        <f aca="false">[2]Sheet1!N396</f>
        <v>0</v>
      </c>
      <c r="P396" s="226" t="n">
        <f aca="false">SUM(AY396+BA396)</f>
        <v>239.583333333333</v>
      </c>
      <c r="Q396" s="177" t="s">
        <v>1544</v>
      </c>
      <c r="R396" s="235" t="n">
        <v>2</v>
      </c>
      <c r="S396" s="202" t="s">
        <v>1359</v>
      </c>
      <c r="T396" s="235" t="n">
        <v>2</v>
      </c>
      <c r="U396" s="177" t="s">
        <v>1545</v>
      </c>
      <c r="V396" s="235" t="n">
        <v>7.5</v>
      </c>
      <c r="W396" s="212"/>
      <c r="X396" s="235"/>
      <c r="Y396" s="204"/>
      <c r="Z396" s="221"/>
      <c r="AA396" s="227"/>
      <c r="AB396" s="71"/>
      <c r="AC396" s="201"/>
      <c r="AD396" s="71"/>
      <c r="AE396" s="227"/>
      <c r="AF396" s="71"/>
      <c r="AG396" s="201"/>
      <c r="AH396" s="71"/>
      <c r="AI396" s="227"/>
      <c r="AJ396" s="71"/>
      <c r="AK396" s="201"/>
      <c r="AL396" s="71"/>
      <c r="AM396" s="227"/>
      <c r="AN396" s="71"/>
      <c r="AO396" s="201"/>
      <c r="AP396" s="71"/>
      <c r="AQ396" s="227"/>
      <c r="AR396" s="71"/>
      <c r="AS396" s="227"/>
      <c r="AT396" s="228"/>
      <c r="AU396" s="227"/>
      <c r="AV396" s="228"/>
      <c r="AW396" s="227"/>
      <c r="AX396" s="229" t="n">
        <f aca="false">SUM(R396+T396+V396+X396+Z396+AB396+AD396+AF396+AH396+AJ396+AL396+AN396+AP396+AR396)</f>
        <v>11.5</v>
      </c>
      <c r="AY396" s="230" t="n">
        <f aca="false">SUM(AX396*1000)/48</f>
        <v>239.583333333333</v>
      </c>
      <c r="AZ396" s="231" t="n">
        <f aca="false">IFERROR(VLOOKUP(A396,'Site check'!$A$14:$O$47,15,0),0)</f>
        <v>0</v>
      </c>
      <c r="BA396" s="232" t="n">
        <f aca="false">SUM(AZ396*1000)/48</f>
        <v>0</v>
      </c>
      <c r="BB396" s="90" t="n">
        <f aca="false">SUM(P396/2)+E396</f>
        <v>279.791666666667</v>
      </c>
      <c r="BC396" s="90" t="n">
        <f aca="false">SUM(P396/2)+F396</f>
        <v>279.791666666667</v>
      </c>
    </row>
    <row r="397" customFormat="false" ht="13.15" hidden="false" customHeight="false" outlineLevel="0" collapsed="false">
      <c r="A397" s="0" t="str">
        <f aca="false">[2]Sheet1!A397</f>
        <v>SDNN06_SEC_DD770_GH16</v>
      </c>
      <c r="B397" s="0" t="str">
        <f aca="false">[2]Sheet1!B397</f>
        <v>SDNN06;DC SYS02</v>
      </c>
      <c r="C397" s="44" t="str">
        <f aca="false">[2]Sheet1!C397</f>
        <v>SDNN06</v>
      </c>
      <c r="D397" s="44" t="s">
        <v>751</v>
      </c>
      <c r="E397" s="0" t="n">
        <f aca="false">[2]Sheet1!D397</f>
        <v>20</v>
      </c>
      <c r="F397" s="0" t="n">
        <f aca="false">[2]Sheet1!E397</f>
        <v>20</v>
      </c>
      <c r="G397" s="45" t="n">
        <f aca="false">[2]Sheet1!F397</f>
        <v>44844</v>
      </c>
      <c r="H397" s="0" t="n">
        <f aca="false">[2]Sheet1!G397</f>
        <v>300</v>
      </c>
      <c r="I397" s="0" t="n">
        <f aca="false">[2]Sheet1!H397</f>
        <v>300</v>
      </c>
      <c r="J397" s="0" t="n">
        <f aca="false">[2]Sheet1!I397</f>
        <v>6</v>
      </c>
      <c r="K397" s="0" t="n">
        <f aca="false">[2]Sheet1!J397</f>
        <v>4</v>
      </c>
      <c r="L397" s="0" t="n">
        <f aca="false">[2]Sheet1!K397</f>
        <v>0</v>
      </c>
      <c r="M397" s="0" t="n">
        <f aca="false">[2]Sheet1!L397</f>
        <v>24</v>
      </c>
      <c r="N397" s="0" t="n">
        <f aca="false">[2]Sheet1!M397</f>
        <v>11</v>
      </c>
      <c r="O397" s="0" t="n">
        <f aca="false">[2]Sheet1!N397</f>
        <v>0</v>
      </c>
      <c r="P397" s="226" t="n">
        <f aca="false">SUM(AY397+BA397)</f>
        <v>104.166666666667</v>
      </c>
      <c r="Q397" s="201" t="s">
        <v>1546</v>
      </c>
      <c r="R397" s="71" t="n">
        <v>5</v>
      </c>
      <c r="S397" s="227"/>
      <c r="T397" s="71"/>
      <c r="U397" s="201"/>
      <c r="V397" s="71"/>
      <c r="W397" s="227"/>
      <c r="X397" s="71"/>
      <c r="Y397" s="201"/>
      <c r="Z397" s="71"/>
      <c r="AA397" s="227"/>
      <c r="AB397" s="71"/>
      <c r="AC397" s="201"/>
      <c r="AD397" s="71"/>
      <c r="AE397" s="227"/>
      <c r="AF397" s="71"/>
      <c r="AG397" s="201"/>
      <c r="AH397" s="71"/>
      <c r="AI397" s="227"/>
      <c r="AJ397" s="71"/>
      <c r="AK397" s="201"/>
      <c r="AL397" s="71"/>
      <c r="AM397" s="227"/>
      <c r="AN397" s="71"/>
      <c r="AO397" s="201"/>
      <c r="AP397" s="71"/>
      <c r="AQ397" s="227"/>
      <c r="AR397" s="71"/>
      <c r="AS397" s="227"/>
      <c r="AT397" s="228"/>
      <c r="AU397" s="227"/>
      <c r="AV397" s="228"/>
      <c r="AW397" s="227"/>
      <c r="AX397" s="229" t="n">
        <f aca="false">SUM(R397+T397+V397+X397+Z397+AB397+AD397+AF397+AH397+AJ397+AL397+AN397+AP397+AR397)</f>
        <v>5</v>
      </c>
      <c r="AY397" s="230" t="n">
        <f aca="false">SUM(AX397*1000)/48</f>
        <v>104.166666666667</v>
      </c>
      <c r="AZ397" s="231" t="n">
        <f aca="false">IFERROR(VLOOKUP(A397,'Site check'!$A$14:$O$47,15,0),0)</f>
        <v>0</v>
      </c>
      <c r="BA397" s="232" t="n">
        <f aca="false">SUM(AZ397*1000)/48</f>
        <v>0</v>
      </c>
      <c r="BB397" s="90" t="n">
        <f aca="false">SUM(P397/2)+E397</f>
        <v>72.0833333333333</v>
      </c>
      <c r="BC397" s="90" t="n">
        <f aca="false">SUM(P397/2)+F397</f>
        <v>72.0833333333333</v>
      </c>
    </row>
    <row r="398" customFormat="false" ht="13.15" hidden="false" customHeight="false" outlineLevel="0" collapsed="false">
      <c r="A398" s="0" t="str">
        <f aca="false">[2]Sheet1!A398</f>
        <v>SDNN06_SEC_DD770_LM1</v>
      </c>
      <c r="B398" s="0" t="str">
        <f aca="false">[2]Sheet1!B398</f>
        <v>SDNN06;DC SYS02</v>
      </c>
      <c r="C398" s="44" t="str">
        <f aca="false">[2]Sheet1!C398</f>
        <v>SDNN06</v>
      </c>
      <c r="D398" s="44" t="s">
        <v>751</v>
      </c>
      <c r="E398" s="0" t="n">
        <f aca="false">[2]Sheet1!D398</f>
        <v>160</v>
      </c>
      <c r="F398" s="0" t="str">
        <f aca="false">[2]Sheet1!E398</f>
        <v>No reading</v>
      </c>
      <c r="G398" s="45" t="n">
        <f aca="false">[2]Sheet1!F398</f>
        <v>44844</v>
      </c>
      <c r="H398" s="0" t="n">
        <f aca="false">[2]Sheet1!G398</f>
        <v>300</v>
      </c>
      <c r="I398" s="0" t="n">
        <f aca="false">[2]Sheet1!H398</f>
        <v>300</v>
      </c>
      <c r="J398" s="0" t="n">
        <f aca="false">[2]Sheet1!I398</f>
        <v>1</v>
      </c>
      <c r="K398" s="0" t="n">
        <f aca="false">[2]Sheet1!J398</f>
        <v>2</v>
      </c>
      <c r="L398" s="0" t="n">
        <f aca="false">[2]Sheet1!K398</f>
        <v>0</v>
      </c>
      <c r="M398" s="0" t="n">
        <f aca="false">[2]Sheet1!L398</f>
        <v>9</v>
      </c>
      <c r="N398" s="0" t="n">
        <f aca="false">[2]Sheet1!M398</f>
        <v>6</v>
      </c>
      <c r="O398" s="0" t="n">
        <f aca="false">[2]Sheet1!N398</f>
        <v>0</v>
      </c>
      <c r="P398" s="226" t="n">
        <f aca="false">SUM(AY398+BA398)</f>
        <v>10.4166666666667</v>
      </c>
      <c r="Q398" s="201" t="s">
        <v>1357</v>
      </c>
      <c r="R398" s="71" t="n">
        <v>0.5</v>
      </c>
      <c r="S398" s="227"/>
      <c r="T398" s="71"/>
      <c r="U398" s="201"/>
      <c r="V398" s="71"/>
      <c r="W398" s="227"/>
      <c r="X398" s="71"/>
      <c r="Y398" s="201"/>
      <c r="Z398" s="71"/>
      <c r="AA398" s="227"/>
      <c r="AB398" s="71"/>
      <c r="AC398" s="201"/>
      <c r="AD398" s="71"/>
      <c r="AE398" s="227"/>
      <c r="AF398" s="71"/>
      <c r="AG398" s="201"/>
      <c r="AH398" s="71"/>
      <c r="AI398" s="227"/>
      <c r="AJ398" s="71"/>
      <c r="AK398" s="201"/>
      <c r="AL398" s="71"/>
      <c r="AM398" s="227"/>
      <c r="AN398" s="71"/>
      <c r="AO398" s="201"/>
      <c r="AP398" s="71"/>
      <c r="AQ398" s="227"/>
      <c r="AR398" s="71"/>
      <c r="AS398" s="227"/>
      <c r="AT398" s="228"/>
      <c r="AU398" s="227"/>
      <c r="AV398" s="228"/>
      <c r="AW398" s="227"/>
      <c r="AX398" s="229" t="n">
        <f aca="false">SUM(R398+T398+V398+X398+Z398+AB398+AD398+AF398+AH398+AJ398+AL398+AN398+AP398+AR398)</f>
        <v>0.5</v>
      </c>
      <c r="AY398" s="230" t="n">
        <f aca="false">SUM(AX398*1000)/48</f>
        <v>10.4166666666667</v>
      </c>
      <c r="AZ398" s="231" t="n">
        <f aca="false">IFERROR(VLOOKUP(A398,'Site check'!$A$14:$O$47,15,0),0)</f>
        <v>0</v>
      </c>
      <c r="BA398" s="232" t="n">
        <f aca="false">SUM(AZ398*1000)/48</f>
        <v>0</v>
      </c>
      <c r="BB398" s="90" t="n">
        <f aca="false">SUM(P398/2)+E398</f>
        <v>165.208333333333</v>
      </c>
      <c r="BC398" s="90" t="e">
        <f aca="false">SUM(P398/2)+F398</f>
        <v>#VALUE!</v>
      </c>
    </row>
    <row r="399" customFormat="false" ht="13.15" hidden="false" customHeight="false" outlineLevel="0" collapsed="false">
      <c r="A399" s="0" t="str">
        <f aca="false">[2]Sheet1!A399</f>
        <v>SDNN06_SEC_DD770_QR1</v>
      </c>
      <c r="B399" s="0" t="str">
        <f aca="false">[2]Sheet1!B399</f>
        <v>SDNN06;DC SYS02</v>
      </c>
      <c r="C399" s="44" t="str">
        <f aca="false">[2]Sheet1!C399</f>
        <v>SDNN06</v>
      </c>
      <c r="D399" s="44" t="s">
        <v>751</v>
      </c>
      <c r="E399" s="0" t="n">
        <f aca="false">[2]Sheet1!D399</f>
        <v>30</v>
      </c>
      <c r="F399" s="0" t="str">
        <f aca="false">[2]Sheet1!E399</f>
        <v>No reading</v>
      </c>
      <c r="G399" s="45" t="n">
        <f aca="false">[2]Sheet1!F399</f>
        <v>44844</v>
      </c>
      <c r="H399" s="0" t="n">
        <f aca="false">[2]Sheet1!G399</f>
        <v>300</v>
      </c>
      <c r="I399" s="0" t="n">
        <f aca="false">[2]Sheet1!H399</f>
        <v>300</v>
      </c>
      <c r="J399" s="0" t="n">
        <f aca="false">[2]Sheet1!I399</f>
        <v>6</v>
      </c>
      <c r="K399" s="0" t="n">
        <f aca="false">[2]Sheet1!J399</f>
        <v>6</v>
      </c>
      <c r="L399" s="0" t="n">
        <f aca="false">[2]Sheet1!K399</f>
        <v>0</v>
      </c>
      <c r="M399" s="0" t="n">
        <f aca="false">[2]Sheet1!L399</f>
        <v>10</v>
      </c>
      <c r="N399" s="0" t="n">
        <f aca="false">[2]Sheet1!M399</f>
        <v>9</v>
      </c>
      <c r="O399" s="0" t="n">
        <f aca="false">[2]Sheet1!N399</f>
        <v>0</v>
      </c>
      <c r="P399" s="226" t="n">
        <f aca="false">SUM(AY399+BA399)</f>
        <v>250</v>
      </c>
      <c r="Q399" s="170" t="s">
        <v>1547</v>
      </c>
      <c r="R399" s="234" t="n">
        <v>12</v>
      </c>
      <c r="S399" s="227"/>
      <c r="T399" s="71"/>
      <c r="U399" s="201"/>
      <c r="V399" s="71"/>
      <c r="W399" s="227" t="n">
        <v>0</v>
      </c>
      <c r="X399" s="71"/>
      <c r="Y399" s="201"/>
      <c r="Z399" s="71"/>
      <c r="AA399" s="227"/>
      <c r="AB399" s="71"/>
      <c r="AC399" s="201"/>
      <c r="AD399" s="71"/>
      <c r="AE399" s="227"/>
      <c r="AF399" s="71"/>
      <c r="AG399" s="201"/>
      <c r="AH399" s="71"/>
      <c r="AI399" s="227"/>
      <c r="AJ399" s="71"/>
      <c r="AK399" s="201"/>
      <c r="AL399" s="71"/>
      <c r="AM399" s="227"/>
      <c r="AN399" s="71"/>
      <c r="AO399" s="201"/>
      <c r="AP399" s="71"/>
      <c r="AQ399" s="227"/>
      <c r="AR399" s="71"/>
      <c r="AS399" s="227"/>
      <c r="AT399" s="228"/>
      <c r="AU399" s="227"/>
      <c r="AV399" s="228"/>
      <c r="AW399" s="227"/>
      <c r="AX399" s="229" t="n">
        <f aca="false">SUM(R399+T399+V399+X399+Z399+AB399+AD399+AF399+AH399+AJ399+AL399+AN399+AP399+AR399)</f>
        <v>12</v>
      </c>
      <c r="AY399" s="230" t="n">
        <f aca="false">SUM(AX399*1000)/48</f>
        <v>250</v>
      </c>
      <c r="AZ399" s="231" t="n">
        <f aca="false">IFERROR(VLOOKUP(A399,'Site check'!$A$14:$O$47,15,0),0)</f>
        <v>0</v>
      </c>
      <c r="BA399" s="232" t="n">
        <f aca="false">SUM(AZ399*1000)/48</f>
        <v>0</v>
      </c>
      <c r="BB399" s="90" t="n">
        <f aca="false">SUM(P399/2)+E399</f>
        <v>155</v>
      </c>
      <c r="BC399" s="90" t="e">
        <f aca="false">SUM(P399/2)+F399</f>
        <v>#VALUE!</v>
      </c>
    </row>
    <row r="400" customFormat="false" ht="13.15" hidden="false" customHeight="false" outlineLevel="0" collapsed="false">
      <c r="A400" s="0" t="str">
        <f aca="false">[2]Sheet1!A400</f>
        <v>SDNN06_SEC_DD770_WX1</v>
      </c>
      <c r="B400" s="0" t="str">
        <f aca="false">[2]Sheet1!B400</f>
        <v>SDNN06;DC SYS02</v>
      </c>
      <c r="C400" s="44" t="str">
        <f aca="false">[2]Sheet1!C400</f>
        <v>SDNN06</v>
      </c>
      <c r="D400" s="44" t="s">
        <v>751</v>
      </c>
      <c r="E400" s="0" t="n">
        <f aca="false">[2]Sheet1!D400</f>
        <v>100</v>
      </c>
      <c r="F400" s="0" t="n">
        <f aca="false">[2]Sheet1!E400</f>
        <v>100</v>
      </c>
      <c r="G400" s="45" t="n">
        <f aca="false">[2]Sheet1!F400</f>
        <v>44844</v>
      </c>
      <c r="H400" s="0" t="n">
        <f aca="false">[2]Sheet1!G400</f>
        <v>300</v>
      </c>
      <c r="I400" s="0" t="n">
        <f aca="false">[2]Sheet1!H400</f>
        <v>300</v>
      </c>
      <c r="J400" s="0" t="n">
        <f aca="false">[2]Sheet1!I400</f>
        <v>3</v>
      </c>
      <c r="K400" s="0" t="n">
        <f aca="false">[2]Sheet1!J400</f>
        <v>2</v>
      </c>
      <c r="L400" s="0" t="n">
        <f aca="false">[2]Sheet1!K400</f>
        <v>0</v>
      </c>
      <c r="M400" s="0" t="n">
        <f aca="false">[2]Sheet1!L400</f>
        <v>16</v>
      </c>
      <c r="N400" s="0" t="n">
        <f aca="false">[2]Sheet1!M400</f>
        <v>12</v>
      </c>
      <c r="O400" s="0" t="n">
        <f aca="false">[2]Sheet1!N400</f>
        <v>0</v>
      </c>
      <c r="P400" s="226" t="n">
        <f aca="false">SUM(AY400+BA400)</f>
        <v>0</v>
      </c>
      <c r="Q400" s="201"/>
      <c r="R400" s="71"/>
      <c r="S400" s="227"/>
      <c r="T400" s="71"/>
      <c r="U400" s="201"/>
      <c r="V400" s="71"/>
      <c r="W400" s="227"/>
      <c r="X400" s="71"/>
      <c r="Y400" s="201"/>
      <c r="Z400" s="71"/>
      <c r="AA400" s="227"/>
      <c r="AB400" s="71"/>
      <c r="AC400" s="201"/>
      <c r="AD400" s="71"/>
      <c r="AE400" s="227"/>
      <c r="AF400" s="71"/>
      <c r="AG400" s="201"/>
      <c r="AH400" s="71"/>
      <c r="AI400" s="227"/>
      <c r="AJ400" s="71"/>
      <c r="AK400" s="201"/>
      <c r="AL400" s="71"/>
      <c r="AM400" s="227"/>
      <c r="AN400" s="71"/>
      <c r="AO400" s="201"/>
      <c r="AP400" s="71"/>
      <c r="AQ400" s="227"/>
      <c r="AR400" s="71"/>
      <c r="AS400" s="227"/>
      <c r="AT400" s="228"/>
      <c r="AU400" s="227"/>
      <c r="AV400" s="228"/>
      <c r="AW400" s="227"/>
      <c r="AX400" s="229" t="n">
        <f aca="false">SUM(R400+T400+V400+X400+Z400+AB400+AD400+AF400+AH400+AJ400+AL400+AN400+AP400+AR400)</f>
        <v>0</v>
      </c>
      <c r="AY400" s="230" t="n">
        <f aca="false">SUM(AX400*1000)/48</f>
        <v>0</v>
      </c>
      <c r="AZ400" s="231" t="n">
        <f aca="false">IFERROR(VLOOKUP(A400,'Site check'!$A$14:$O$47,15,0),0)</f>
        <v>0</v>
      </c>
      <c r="BA400" s="232" t="n">
        <f aca="false">SUM(AZ400*1000)/48</f>
        <v>0</v>
      </c>
      <c r="BB400" s="90" t="n">
        <f aca="false">SUM(P400/2)+E400</f>
        <v>100</v>
      </c>
      <c r="BC400" s="90" t="n">
        <f aca="false">SUM(P400/2)+F400</f>
        <v>100</v>
      </c>
    </row>
    <row r="401" customFormat="false" ht="13.15" hidden="false" customHeight="false" outlineLevel="0" collapsed="false">
      <c r="A401" s="0" t="str">
        <f aca="false">[2]Sheet1!A401</f>
        <v>SDN_SEC_DD770_GH00</v>
      </c>
      <c r="B401" s="0" t="str">
        <f aca="false">[2]Sheet1!B401</f>
        <v>SDN;DC SYS01</v>
      </c>
      <c r="C401" s="44" t="str">
        <f aca="false">[2]Sheet1!C401</f>
        <v>SDN</v>
      </c>
      <c r="D401" s="44" t="s">
        <v>749</v>
      </c>
      <c r="E401" s="0" t="n">
        <f aca="false">[2]Sheet1!D401</f>
        <v>110</v>
      </c>
      <c r="F401" s="0" t="n">
        <f aca="false">[2]Sheet1!E401</f>
        <v>100</v>
      </c>
      <c r="G401" s="45" t="n">
        <f aca="false">[2]Sheet1!F401</f>
        <v>44362</v>
      </c>
      <c r="H401" s="0" t="n">
        <f aca="false">[2]Sheet1!G401</f>
        <v>300</v>
      </c>
      <c r="I401" s="0" t="n">
        <f aca="false">[2]Sheet1!H401</f>
        <v>300</v>
      </c>
      <c r="J401" s="0" t="n">
        <f aca="false">[2]Sheet1!I401</f>
        <v>6</v>
      </c>
      <c r="K401" s="0" t="n">
        <f aca="false">[2]Sheet1!J401</f>
        <v>4</v>
      </c>
      <c r="L401" s="0" t="n">
        <f aca="false">[2]Sheet1!K401</f>
        <v>0</v>
      </c>
      <c r="M401" s="0" t="n">
        <f aca="false">[2]Sheet1!L401</f>
        <v>9</v>
      </c>
      <c r="N401" s="0" t="n">
        <f aca="false">[2]Sheet1!M401</f>
        <v>11</v>
      </c>
      <c r="O401" s="0" t="n">
        <f aca="false">[2]Sheet1!N401</f>
        <v>30</v>
      </c>
      <c r="P401" s="226" t="n">
        <f aca="false">SUM(AY401+BA401)</f>
        <v>0</v>
      </c>
      <c r="Q401" s="201"/>
      <c r="R401" s="71"/>
      <c r="S401" s="227"/>
      <c r="T401" s="71"/>
      <c r="U401" s="201"/>
      <c r="V401" s="71"/>
      <c r="W401" s="227"/>
      <c r="X401" s="71"/>
      <c r="Y401" s="201"/>
      <c r="Z401" s="71"/>
      <c r="AA401" s="227"/>
      <c r="AB401" s="71"/>
      <c r="AC401" s="201"/>
      <c r="AD401" s="71"/>
      <c r="AE401" s="227"/>
      <c r="AF401" s="71"/>
      <c r="AG401" s="201"/>
      <c r="AH401" s="71"/>
      <c r="AI401" s="227"/>
      <c r="AJ401" s="71"/>
      <c r="AK401" s="201"/>
      <c r="AL401" s="71"/>
      <c r="AM401" s="227"/>
      <c r="AN401" s="71"/>
      <c r="AO401" s="201"/>
      <c r="AP401" s="71"/>
      <c r="AQ401" s="227"/>
      <c r="AR401" s="71"/>
      <c r="AS401" s="227"/>
      <c r="AT401" s="228"/>
      <c r="AU401" s="227"/>
      <c r="AV401" s="228"/>
      <c r="AW401" s="227"/>
      <c r="AX401" s="229" t="n">
        <f aca="false">SUM(R401+T401+V401+X401+Z401+AB401+AD401+AF401+AH401+AJ401+AL401+AN401+AP401+AR401)</f>
        <v>0</v>
      </c>
      <c r="AY401" s="230" t="n">
        <f aca="false">SUM(AX401*1000)/48</f>
        <v>0</v>
      </c>
      <c r="AZ401" s="231" t="n">
        <f aca="false">IFERROR(VLOOKUP(A401,'Site check'!$A$14:$O$47,15,0),0)</f>
        <v>0</v>
      </c>
      <c r="BA401" s="232" t="n">
        <f aca="false">SUM(AZ401*1000)/48</f>
        <v>0</v>
      </c>
      <c r="BB401" s="90" t="n">
        <f aca="false">SUM(P401/2)+E401</f>
        <v>110</v>
      </c>
      <c r="BC401" s="90" t="n">
        <f aca="false">SUM(P401/2)+F401</f>
        <v>100</v>
      </c>
    </row>
    <row r="402" customFormat="false" ht="13.15" hidden="false" customHeight="false" outlineLevel="0" collapsed="false">
      <c r="A402" s="0" t="str">
        <f aca="false">[2]Sheet1!A402</f>
        <v>SDN_SEC_DD770_Z02</v>
      </c>
      <c r="B402" s="0" t="str">
        <f aca="false">[2]Sheet1!B402</f>
        <v>SDN;DC SYS01</v>
      </c>
      <c r="C402" s="44" t="str">
        <f aca="false">[2]Sheet1!C402</f>
        <v>SDN</v>
      </c>
      <c r="D402" s="44" t="s">
        <v>749</v>
      </c>
      <c r="E402" s="0" t="n">
        <f aca="false">[2]Sheet1!D402</f>
        <v>0</v>
      </c>
      <c r="F402" s="0" t="n">
        <f aca="false">[2]Sheet1!E402</f>
        <v>0</v>
      </c>
      <c r="G402" s="45" t="n">
        <f aca="false">[2]Sheet1!F402</f>
        <v>44362</v>
      </c>
      <c r="H402" s="0" t="n">
        <f aca="false">[2]Sheet1!G402</f>
        <v>300</v>
      </c>
      <c r="I402" s="0" t="n">
        <f aca="false">[2]Sheet1!H402</f>
        <v>300</v>
      </c>
      <c r="J402" s="0" t="n">
        <f aca="false">[2]Sheet1!I402</f>
        <v>6</v>
      </c>
      <c r="K402" s="0" t="n">
        <f aca="false">[2]Sheet1!J402</f>
        <v>10</v>
      </c>
      <c r="L402" s="0" t="n">
        <f aca="false">[2]Sheet1!K402</f>
        <v>0</v>
      </c>
      <c r="M402" s="0" t="n">
        <f aca="false">[2]Sheet1!L402</f>
        <v>18</v>
      </c>
      <c r="N402" s="0" t="n">
        <f aca="false">[2]Sheet1!M402</f>
        <v>11</v>
      </c>
      <c r="O402" s="0" t="n">
        <f aca="false">[2]Sheet1!N402</f>
        <v>45</v>
      </c>
      <c r="P402" s="226" t="n">
        <f aca="false">SUM(AY402+BA402)</f>
        <v>0</v>
      </c>
      <c r="Q402" s="201"/>
      <c r="R402" s="71"/>
      <c r="S402" s="227"/>
      <c r="T402" s="71"/>
      <c r="U402" s="201"/>
      <c r="V402" s="71"/>
      <c r="W402" s="227"/>
      <c r="X402" s="71"/>
      <c r="Y402" s="201"/>
      <c r="Z402" s="71"/>
      <c r="AA402" s="227"/>
      <c r="AB402" s="71"/>
      <c r="AC402" s="201"/>
      <c r="AD402" s="71"/>
      <c r="AE402" s="227"/>
      <c r="AF402" s="71"/>
      <c r="AG402" s="201"/>
      <c r="AH402" s="71"/>
      <c r="AI402" s="227"/>
      <c r="AJ402" s="71"/>
      <c r="AK402" s="201"/>
      <c r="AL402" s="71"/>
      <c r="AM402" s="227"/>
      <c r="AN402" s="71"/>
      <c r="AO402" s="201"/>
      <c r="AP402" s="71"/>
      <c r="AQ402" s="227"/>
      <c r="AR402" s="71"/>
      <c r="AS402" s="227"/>
      <c r="AT402" s="228"/>
      <c r="AU402" s="227"/>
      <c r="AV402" s="228"/>
      <c r="AW402" s="227"/>
      <c r="AX402" s="229" t="n">
        <f aca="false">SUM(R402+T402+V402+X402+Z402+AB402+AD402+AF402+AH402+AJ402+AL402+AN402+AP402+AR402)</f>
        <v>0</v>
      </c>
      <c r="AY402" s="230" t="n">
        <f aca="false">SUM(AX402*1000)/48</f>
        <v>0</v>
      </c>
      <c r="AZ402" s="231" t="n">
        <f aca="false">IFERROR(VLOOKUP(A402,'Site check'!$A$14:$O$47,15,0),0)</f>
        <v>0</v>
      </c>
      <c r="BA402" s="232" t="n">
        <f aca="false">SUM(AZ402*1000)/48</f>
        <v>0</v>
      </c>
      <c r="BB402" s="90" t="n">
        <f aca="false">SUM(P402/2)+E402</f>
        <v>0</v>
      </c>
      <c r="BC402" s="90" t="n">
        <f aca="false">SUM(P402/2)+F402</f>
        <v>0</v>
      </c>
    </row>
    <row r="403" customFormat="false" ht="13.15" hidden="false" customHeight="false" outlineLevel="0" collapsed="false">
      <c r="A403" s="0" t="str">
        <f aca="false">[2]Sheet1!A403</f>
        <v>DCDB @ c08</v>
      </c>
      <c r="B403" s="0" t="str">
        <f aca="false">[2]Sheet1!B403</f>
        <v>SDNN11;DC SYS01</v>
      </c>
      <c r="C403" s="44" t="str">
        <f aca="false">[2]Sheet1!C403</f>
        <v>SDNN11</v>
      </c>
      <c r="D403" s="44" t="s">
        <v>858</v>
      </c>
      <c r="E403" s="0" t="n">
        <f aca="false">[2]Sheet1!D403</f>
        <v>0</v>
      </c>
      <c r="F403" s="0" t="n">
        <f aca="false">[2]Sheet1!E403</f>
        <v>0</v>
      </c>
      <c r="G403" s="45" t="n">
        <f aca="false">[2]Sheet1!F403</f>
        <v>0</v>
      </c>
      <c r="H403" s="0" t="n">
        <f aca="false">[2]Sheet1!G403</f>
        <v>300</v>
      </c>
      <c r="I403" s="0" t="n">
        <f aca="false">[2]Sheet1!H403</f>
        <v>0</v>
      </c>
      <c r="J403" s="0" t="n">
        <f aca="false">[2]Sheet1!I403</f>
        <v>0</v>
      </c>
      <c r="K403" s="0" t="n">
        <f aca="false">[2]Sheet1!J403</f>
        <v>0</v>
      </c>
      <c r="L403" s="0" t="n">
        <f aca="false">[2]Sheet1!K403</f>
        <v>0</v>
      </c>
      <c r="M403" s="0" t="n">
        <f aca="false">[2]Sheet1!L403</f>
        <v>0</v>
      </c>
      <c r="N403" s="0" t="n">
        <f aca="false">[2]Sheet1!M403</f>
        <v>0</v>
      </c>
      <c r="O403" s="0" t="n">
        <f aca="false">[2]Sheet1!N403</f>
        <v>0</v>
      </c>
      <c r="P403" s="226" t="n">
        <f aca="false">SUM(AY403+BA403)</f>
        <v>0</v>
      </c>
      <c r="Q403" s="201"/>
      <c r="R403" s="71"/>
      <c r="S403" s="227"/>
      <c r="T403" s="71"/>
      <c r="U403" s="201"/>
      <c r="V403" s="71"/>
      <c r="W403" s="227"/>
      <c r="X403" s="71"/>
      <c r="Y403" s="201"/>
      <c r="Z403" s="71"/>
      <c r="AA403" s="227"/>
      <c r="AB403" s="71"/>
      <c r="AC403" s="201"/>
      <c r="AD403" s="71"/>
      <c r="AE403" s="227"/>
      <c r="AF403" s="71"/>
      <c r="AG403" s="201"/>
      <c r="AH403" s="71"/>
      <c r="AI403" s="227"/>
      <c r="AJ403" s="71"/>
      <c r="AK403" s="201"/>
      <c r="AL403" s="71"/>
      <c r="AM403" s="227"/>
      <c r="AN403" s="71"/>
      <c r="AO403" s="201"/>
      <c r="AP403" s="71"/>
      <c r="AQ403" s="227"/>
      <c r="AR403" s="71"/>
      <c r="AS403" s="227"/>
      <c r="AT403" s="228"/>
      <c r="AU403" s="227"/>
      <c r="AV403" s="228"/>
      <c r="AW403" s="227"/>
      <c r="AX403" s="229" t="n">
        <f aca="false">SUM(R403+T403+V403+X403+Z403+AB403+AD403+AF403+AH403+AJ403+AL403+AN403+AP403+AR403)</f>
        <v>0</v>
      </c>
      <c r="AY403" s="230" t="n">
        <f aca="false">SUM(AX403*1000)/48</f>
        <v>0</v>
      </c>
      <c r="AZ403" s="231" t="n">
        <f aca="false">IFERROR(VLOOKUP(A403,'Site check'!$A$14:$O$47,15,0),0)</f>
        <v>0</v>
      </c>
      <c r="BA403" s="232" t="n">
        <f aca="false">SUM(AZ403*1000)/48</f>
        <v>0</v>
      </c>
      <c r="BB403" s="90" t="n">
        <f aca="false">SUM(P403/2)+E403</f>
        <v>0</v>
      </c>
      <c r="BC403" s="90" t="n">
        <f aca="false">SUM(P403/2)+F403</f>
        <v>0</v>
      </c>
    </row>
    <row r="404" customFormat="false" ht="13.15" hidden="false" customHeight="false" outlineLevel="0" collapsed="false">
      <c r="A404" s="0" t="str">
        <f aca="false">[2]Sheet1!A404</f>
        <v>SDNN13_SEC_EATON_ WALL_New</v>
      </c>
      <c r="B404" s="0" t="str">
        <f aca="false">[2]Sheet1!B404</f>
        <v>SDNN13;DC SYS01</v>
      </c>
      <c r="C404" s="44" t="str">
        <f aca="false">[2]Sheet1!C404</f>
        <v>SDNN13</v>
      </c>
      <c r="D404" s="44" t="s">
        <v>754</v>
      </c>
      <c r="E404" s="0" t="n">
        <f aca="false">[2]Sheet1!D404</f>
        <v>0</v>
      </c>
      <c r="F404" s="0" t="n">
        <f aca="false">[2]Sheet1!E404</f>
        <v>0</v>
      </c>
      <c r="G404" s="45" t="n">
        <f aca="false">[2]Sheet1!F404</f>
        <v>0</v>
      </c>
      <c r="H404" s="0" t="n">
        <f aca="false">[2]Sheet1!G404</f>
        <v>300</v>
      </c>
      <c r="I404" s="0" t="n">
        <f aca="false">[2]Sheet1!H404</f>
        <v>300</v>
      </c>
      <c r="J404" s="0" t="n">
        <f aca="false">[2]Sheet1!I404</f>
        <v>0</v>
      </c>
      <c r="K404" s="0" t="n">
        <f aca="false">[2]Sheet1!J404</f>
        <v>0</v>
      </c>
      <c r="L404" s="0" t="n">
        <f aca="false">[2]Sheet1!K404</f>
        <v>0</v>
      </c>
      <c r="M404" s="0" t="n">
        <f aca="false">[2]Sheet1!L404</f>
        <v>0</v>
      </c>
      <c r="N404" s="0" t="n">
        <f aca="false">[2]Sheet1!M404</f>
        <v>0</v>
      </c>
      <c r="O404" s="0" t="n">
        <f aca="false">[2]Sheet1!N404</f>
        <v>27</v>
      </c>
      <c r="P404" s="226" t="n">
        <f aca="false">SUM(AY404+BA404)</f>
        <v>97.9166666666667</v>
      </c>
      <c r="Q404" s="181" t="s">
        <v>1063</v>
      </c>
      <c r="R404" s="237" t="n">
        <v>1.8</v>
      </c>
      <c r="S404" s="181" t="s">
        <v>1175</v>
      </c>
      <c r="T404" s="237" t="n">
        <v>2.9</v>
      </c>
      <c r="U404" s="201"/>
      <c r="V404" s="71"/>
      <c r="W404" s="227"/>
      <c r="X404" s="71"/>
      <c r="Y404" s="201"/>
      <c r="Z404" s="71"/>
      <c r="AA404" s="227"/>
      <c r="AB404" s="71"/>
      <c r="AC404" s="201"/>
      <c r="AD404" s="71"/>
      <c r="AE404" s="227"/>
      <c r="AF404" s="71"/>
      <c r="AG404" s="201"/>
      <c r="AH404" s="71"/>
      <c r="AI404" s="227"/>
      <c r="AJ404" s="71"/>
      <c r="AK404" s="201"/>
      <c r="AL404" s="71"/>
      <c r="AM404" s="227"/>
      <c r="AN404" s="71"/>
      <c r="AO404" s="201"/>
      <c r="AP404" s="71"/>
      <c r="AQ404" s="227"/>
      <c r="AR404" s="71"/>
      <c r="AS404" s="227"/>
      <c r="AT404" s="228"/>
      <c r="AU404" s="227"/>
      <c r="AV404" s="228"/>
      <c r="AW404" s="227"/>
      <c r="AX404" s="229" t="n">
        <f aca="false">SUM(R404+T404+V404+X404+Z404+AB404+AD404+AF404+AH404+AJ404+AL404+AN404+AP404+AR404)</f>
        <v>4.7</v>
      </c>
      <c r="AY404" s="230" t="n">
        <f aca="false">SUM(AX404*1000)/48</f>
        <v>97.9166666666667</v>
      </c>
      <c r="AZ404" s="231" t="n">
        <f aca="false">IFERROR(VLOOKUP(A404,'Site check'!$A$14:$O$47,15,0),0)</f>
        <v>0</v>
      </c>
      <c r="BA404" s="232" t="n">
        <f aca="false">SUM(AZ404*1000)/48</f>
        <v>0</v>
      </c>
      <c r="BB404" s="90" t="n">
        <f aca="false">SUM(P404/2)+E404</f>
        <v>48.9583333333333</v>
      </c>
      <c r="BC404" s="90" t="n">
        <f aca="false">SUM(P404/2)+F404</f>
        <v>48.9583333333333</v>
      </c>
    </row>
    <row r="405" customFormat="false" ht="13.15" hidden="false" customHeight="false" outlineLevel="0" collapsed="false">
      <c r="A405" s="0" t="str">
        <f aca="false">[2]Sheet1!A405</f>
        <v>TNTTN1_PDU1A_B</v>
      </c>
      <c r="B405" s="0" t="str">
        <f aca="false">[2]Sheet1!B405</f>
        <v>TNTTN1;DC SYS01</v>
      </c>
      <c r="C405" s="44" t="str">
        <f aca="false">[2]Sheet1!C405</f>
        <v>TNTTN1</v>
      </c>
      <c r="D405" s="44" t="s">
        <v>800</v>
      </c>
      <c r="E405" s="0" t="n">
        <f aca="false">[2]Sheet1!D405</f>
        <v>11.3</v>
      </c>
      <c r="F405" s="0" t="n">
        <f aca="false">[2]Sheet1!E405</f>
        <v>7.37</v>
      </c>
      <c r="G405" s="45" t="n">
        <f aca="false">[2]Sheet1!F405</f>
        <v>45631</v>
      </c>
      <c r="H405" s="0" t="n">
        <f aca="false">[2]Sheet1!G405</f>
        <v>360</v>
      </c>
      <c r="I405" s="0" t="n">
        <f aca="false">[2]Sheet1!H405</f>
        <v>360</v>
      </c>
      <c r="J405" s="0" t="n">
        <f aca="false">[2]Sheet1!I405</f>
        <v>0</v>
      </c>
      <c r="K405" s="0" t="n">
        <f aca="false">[2]Sheet1!J405</f>
        <v>0</v>
      </c>
      <c r="L405" s="0" t="n">
        <f aca="false">[2]Sheet1!K405</f>
        <v>0</v>
      </c>
      <c r="M405" s="0" t="n">
        <f aca="false">[2]Sheet1!L405</f>
        <v>0</v>
      </c>
      <c r="N405" s="0" t="n">
        <f aca="false">[2]Sheet1!M405</f>
        <v>0</v>
      </c>
      <c r="O405" s="0" t="n">
        <f aca="false">[2]Sheet1!N405</f>
        <v>0</v>
      </c>
      <c r="P405" s="226" t="n">
        <f aca="false">SUM(AY405+BA405)</f>
        <v>312.5</v>
      </c>
      <c r="Q405" s="170" t="s">
        <v>1415</v>
      </c>
      <c r="R405" s="234" t="n">
        <v>11.6</v>
      </c>
      <c r="S405" s="202" t="s">
        <v>1416</v>
      </c>
      <c r="T405" s="242" t="n">
        <v>3.4</v>
      </c>
      <c r="U405" s="201"/>
      <c r="V405" s="71"/>
      <c r="W405" s="227"/>
      <c r="X405" s="71"/>
      <c r="Y405" s="201"/>
      <c r="Z405" s="71"/>
      <c r="AA405" s="227"/>
      <c r="AB405" s="71"/>
      <c r="AC405" s="201"/>
      <c r="AD405" s="71"/>
      <c r="AE405" s="227"/>
      <c r="AF405" s="71"/>
      <c r="AG405" s="201"/>
      <c r="AH405" s="71"/>
      <c r="AI405" s="227"/>
      <c r="AJ405" s="71"/>
      <c r="AK405" s="201"/>
      <c r="AL405" s="71"/>
      <c r="AM405" s="227"/>
      <c r="AN405" s="71"/>
      <c r="AO405" s="201"/>
      <c r="AP405" s="71"/>
      <c r="AQ405" s="227"/>
      <c r="AR405" s="71"/>
      <c r="AS405" s="227"/>
      <c r="AT405" s="228"/>
      <c r="AU405" s="227"/>
      <c r="AV405" s="228"/>
      <c r="AW405" s="227"/>
      <c r="AX405" s="229" t="n">
        <f aca="false">SUM(R405+T405+V405+X405+Z405+AB405+AD405+AF405+AH405+AJ405+AL405+AN405+AP405+AR405)</f>
        <v>15</v>
      </c>
      <c r="AY405" s="230" t="n">
        <f aca="false">SUM(AX405*1000)/48</f>
        <v>312.5</v>
      </c>
      <c r="AZ405" s="231" t="n">
        <f aca="false">IFERROR(VLOOKUP(A405,'Site check'!$A$14:$O$47,15,0),0)</f>
        <v>0</v>
      </c>
      <c r="BA405" s="232" t="n">
        <f aca="false">SUM(AZ405*1000)/48</f>
        <v>0</v>
      </c>
      <c r="BB405" s="90" t="n">
        <f aca="false">SUM(P405/2)+E405</f>
        <v>167.55</v>
      </c>
      <c r="BC405" s="90" t="n">
        <f aca="false">SUM(P405/2)+F405</f>
        <v>163.62</v>
      </c>
    </row>
    <row r="406" customFormat="false" ht="13.15" hidden="false" customHeight="false" outlineLevel="0" collapsed="false">
      <c r="A406" s="0" t="str">
        <f aca="false">[2]Sheet1!A406</f>
        <v>TNTTN1_SEC_DD770_ GH12</v>
      </c>
      <c r="B406" s="0" t="str">
        <f aca="false">[2]Sheet1!B406</f>
        <v>TNTTN1;DC SYS01</v>
      </c>
      <c r="C406" s="44" t="str">
        <f aca="false">[2]Sheet1!C406</f>
        <v>TNTTN1</v>
      </c>
      <c r="D406" s="44" t="s">
        <v>800</v>
      </c>
      <c r="E406" s="0" t="n">
        <f aca="false">[2]Sheet1!D406</f>
        <v>55</v>
      </c>
      <c r="F406" s="0" t="n">
        <f aca="false">[2]Sheet1!E406</f>
        <v>55</v>
      </c>
      <c r="G406" s="45" t="n">
        <f aca="false">[2]Sheet1!F406</f>
        <v>45000</v>
      </c>
      <c r="H406" s="0" t="n">
        <f aca="false">[2]Sheet1!G406</f>
        <v>300</v>
      </c>
      <c r="I406" s="0" t="n">
        <f aca="false">[2]Sheet1!H406</f>
        <v>300</v>
      </c>
      <c r="J406" s="0" t="n">
        <f aca="false">[2]Sheet1!I406</f>
        <v>5</v>
      </c>
      <c r="K406" s="0" t="n">
        <f aca="false">[2]Sheet1!J406</f>
        <v>4</v>
      </c>
      <c r="L406" s="0" t="n">
        <f aca="false">[2]Sheet1!K406</f>
        <v>0</v>
      </c>
      <c r="M406" s="0" t="n">
        <f aca="false">[2]Sheet1!L406</f>
        <v>13</v>
      </c>
      <c r="N406" s="0" t="n">
        <f aca="false">[2]Sheet1!M406</f>
        <v>0</v>
      </c>
      <c r="O406" s="0" t="n">
        <f aca="false">[2]Sheet1!N406</f>
        <v>18</v>
      </c>
      <c r="P406" s="226" t="n">
        <f aca="false">SUM(AY406+BA406)</f>
        <v>0</v>
      </c>
      <c r="Q406" s="201"/>
      <c r="R406" s="71"/>
      <c r="S406" s="227"/>
      <c r="T406" s="71"/>
      <c r="U406" s="201"/>
      <c r="V406" s="71"/>
      <c r="W406" s="227"/>
      <c r="X406" s="71"/>
      <c r="Y406" s="201"/>
      <c r="Z406" s="71"/>
      <c r="AA406" s="227"/>
      <c r="AB406" s="71"/>
      <c r="AC406" s="201"/>
      <c r="AD406" s="71"/>
      <c r="AE406" s="227"/>
      <c r="AF406" s="71"/>
      <c r="AG406" s="201"/>
      <c r="AH406" s="71"/>
      <c r="AI406" s="227"/>
      <c r="AJ406" s="71"/>
      <c r="AK406" s="201"/>
      <c r="AL406" s="71"/>
      <c r="AM406" s="227"/>
      <c r="AN406" s="71"/>
      <c r="AO406" s="201"/>
      <c r="AP406" s="71"/>
      <c r="AQ406" s="227"/>
      <c r="AR406" s="71"/>
      <c r="AS406" s="227"/>
      <c r="AT406" s="228"/>
      <c r="AU406" s="227"/>
      <c r="AV406" s="228"/>
      <c r="AW406" s="227"/>
      <c r="AX406" s="229" t="n">
        <f aca="false">SUM(R406+T406+V406+X406+Z406+AB406+AD406+AF406+AH406+AJ406+AL406+AN406+AP406+AR406)</f>
        <v>0</v>
      </c>
      <c r="AY406" s="230" t="n">
        <f aca="false">SUM(AX406*1000)/48</f>
        <v>0</v>
      </c>
      <c r="AZ406" s="231" t="n">
        <f aca="false">IFERROR(VLOOKUP(A406,'Site check'!$A$14:$O$47,15,0),0)</f>
        <v>0</v>
      </c>
      <c r="BA406" s="232" t="n">
        <f aca="false">SUM(AZ406*1000)/48</f>
        <v>0</v>
      </c>
      <c r="BB406" s="90" t="n">
        <f aca="false">SUM(P406/2)+E406</f>
        <v>55</v>
      </c>
      <c r="BC406" s="90" t="n">
        <f aca="false">SUM(P406/2)+F406</f>
        <v>55</v>
      </c>
    </row>
    <row r="407" customFormat="false" ht="13.15" hidden="false" customHeight="false" outlineLevel="0" collapsed="false">
      <c r="A407" s="0" t="str">
        <f aca="false">[2]Sheet1!A407</f>
        <v>DC DD770 TRON01</v>
      </c>
      <c r="B407" s="0" t="str">
        <f aca="false">[2]Sheet1!B407</f>
        <v>TRON01;DC SYS01</v>
      </c>
      <c r="C407" s="44" t="str">
        <f aca="false">[2]Sheet1!C407</f>
        <v>TRON01</v>
      </c>
      <c r="D407" s="44" t="s">
        <v>802</v>
      </c>
      <c r="E407" s="0" t="n">
        <f aca="false">[2]Sheet1!D407</f>
        <v>15</v>
      </c>
      <c r="F407" s="0" t="n">
        <f aca="false">[2]Sheet1!E407</f>
        <v>15</v>
      </c>
      <c r="G407" s="45" t="n">
        <f aca="false">[2]Sheet1!F407</f>
        <v>44399</v>
      </c>
      <c r="H407" s="0" t="n">
        <f aca="false">[2]Sheet1!G407</f>
        <v>300</v>
      </c>
      <c r="I407" s="0" t="n">
        <f aca="false">[2]Sheet1!H407</f>
        <v>300</v>
      </c>
      <c r="J407" s="0" t="n">
        <f aca="false">[2]Sheet1!I407</f>
        <v>6</v>
      </c>
      <c r="K407" s="0" t="n">
        <f aca="false">[2]Sheet1!J407</f>
        <v>8</v>
      </c>
      <c r="L407" s="0" t="n">
        <f aca="false">[2]Sheet1!K407</f>
        <v>0</v>
      </c>
      <c r="M407" s="0" t="n">
        <f aca="false">[2]Sheet1!L407</f>
        <v>22</v>
      </c>
      <c r="N407" s="0" t="n">
        <f aca="false">[2]Sheet1!M407</f>
        <v>5</v>
      </c>
      <c r="O407" s="0" t="n">
        <f aca="false">[2]Sheet1!N407</f>
        <v>0</v>
      </c>
      <c r="P407" s="226" t="n">
        <f aca="false">SUM(AY407+BA407)</f>
        <v>0</v>
      </c>
      <c r="Q407" s="170"/>
      <c r="R407" s="234"/>
      <c r="S407" s="227"/>
      <c r="T407" s="71"/>
      <c r="U407" s="201"/>
      <c r="V407" s="71"/>
      <c r="W407" s="227"/>
      <c r="X407" s="71"/>
      <c r="Y407" s="201"/>
      <c r="Z407" s="71"/>
      <c r="AA407" s="227"/>
      <c r="AB407" s="71"/>
      <c r="AC407" s="201"/>
      <c r="AD407" s="71"/>
      <c r="AE407" s="227"/>
      <c r="AF407" s="71"/>
      <c r="AG407" s="201"/>
      <c r="AH407" s="71"/>
      <c r="AI407" s="227"/>
      <c r="AJ407" s="71"/>
      <c r="AK407" s="201"/>
      <c r="AL407" s="71"/>
      <c r="AM407" s="227"/>
      <c r="AN407" s="71"/>
      <c r="AO407" s="201"/>
      <c r="AP407" s="71"/>
      <c r="AQ407" s="227"/>
      <c r="AR407" s="71"/>
      <c r="AS407" s="227"/>
      <c r="AT407" s="228"/>
      <c r="AU407" s="227"/>
      <c r="AV407" s="228"/>
      <c r="AW407" s="227"/>
      <c r="AX407" s="229" t="n">
        <f aca="false">SUM(R407+T407+V407+X407+Z407+AB407+AD407+AF407+AH407+AJ407+AL407+AN407+AP407+AR407)</f>
        <v>0</v>
      </c>
      <c r="AY407" s="230" t="n">
        <f aca="false">SUM(AX407*1000)/48</f>
        <v>0</v>
      </c>
      <c r="AZ407" s="231" t="n">
        <f aca="false">IFERROR(VLOOKUP(A407,'Site check'!$A$14:$O$47,15,0),0)</f>
        <v>0</v>
      </c>
      <c r="BA407" s="232" t="n">
        <f aca="false">SUM(AZ407*1000)/48</f>
        <v>0</v>
      </c>
      <c r="BB407" s="90" t="n">
        <f aca="false">SUM(P407/2)+E407</f>
        <v>15</v>
      </c>
      <c r="BC407" s="90" t="n">
        <f aca="false">SUM(P407/2)+F407</f>
        <v>15</v>
      </c>
    </row>
    <row r="408" customFormat="false" ht="13.15" hidden="false" customHeight="false" outlineLevel="0" collapsed="false">
      <c r="A408" s="0" t="str">
        <f aca="false">[2]Sheet1!A408</f>
        <v>BSG_SEC_DD770_BC17_02</v>
      </c>
      <c r="B408" s="0" t="str">
        <f aca="false">[2]Sheet1!B408</f>
        <v>BSG;DC SYS01</v>
      </c>
      <c r="C408" s="44" t="str">
        <f aca="false">[2]Sheet1!C408</f>
        <v>BSG</v>
      </c>
      <c r="D408" s="44" t="s">
        <v>454</v>
      </c>
      <c r="E408" s="0" t="n">
        <f aca="false">[2]Sheet1!D408</f>
        <v>100</v>
      </c>
      <c r="F408" s="0" t="n">
        <f aca="false">[2]Sheet1!E408</f>
        <v>100</v>
      </c>
      <c r="G408" s="45" t="n">
        <f aca="false">[2]Sheet1!F408</f>
        <v>45068</v>
      </c>
      <c r="H408" s="0" t="n">
        <f aca="false">[2]Sheet1!G408</f>
        <v>300</v>
      </c>
      <c r="I408" s="0" t="n">
        <f aca="false">[2]Sheet1!H408</f>
        <v>300</v>
      </c>
      <c r="J408" s="0" t="n">
        <f aca="false">[2]Sheet1!I408</f>
        <v>4</v>
      </c>
      <c r="K408" s="0" t="n">
        <f aca="false">[2]Sheet1!J408</f>
        <v>0</v>
      </c>
      <c r="L408" s="0" t="n">
        <f aca="false">[2]Sheet1!K408</f>
        <v>1</v>
      </c>
      <c r="M408" s="0" t="n">
        <f aca="false">[2]Sheet1!L408</f>
        <v>6</v>
      </c>
      <c r="N408" s="0" t="n">
        <f aca="false">[2]Sheet1!M408</f>
        <v>9</v>
      </c>
      <c r="O408" s="0" t="n">
        <f aca="false">[2]Sheet1!N408</f>
        <v>0</v>
      </c>
      <c r="P408" s="226" t="n">
        <f aca="false">SUM(AY408+BA408)</f>
        <v>0</v>
      </c>
      <c r="Q408" s="201"/>
      <c r="R408" s="71"/>
      <c r="S408" s="227"/>
      <c r="T408" s="71"/>
      <c r="U408" s="201"/>
      <c r="V408" s="71"/>
      <c r="W408" s="227"/>
      <c r="X408" s="71"/>
      <c r="Y408" s="201"/>
      <c r="Z408" s="71"/>
      <c r="AA408" s="227"/>
      <c r="AB408" s="71"/>
      <c r="AC408" s="201"/>
      <c r="AD408" s="71"/>
      <c r="AE408" s="227"/>
      <c r="AF408" s="71"/>
      <c r="AG408" s="201"/>
      <c r="AH408" s="71"/>
      <c r="AI408" s="227"/>
      <c r="AJ408" s="71"/>
      <c r="AK408" s="201"/>
      <c r="AL408" s="71"/>
      <c r="AM408" s="227"/>
      <c r="AN408" s="71"/>
      <c r="AO408" s="201"/>
      <c r="AP408" s="71"/>
      <c r="AQ408" s="227"/>
      <c r="AR408" s="71"/>
      <c r="AS408" s="227"/>
      <c r="AT408" s="228"/>
      <c r="AU408" s="227"/>
      <c r="AV408" s="228"/>
      <c r="AW408" s="227"/>
      <c r="AX408" s="229" t="n">
        <f aca="false">SUM(R408+T408+V408+X408+Z408+AB408+AD408+AF408+AH408+AJ408+AL408+AN408+AP408+AR408)</f>
        <v>0</v>
      </c>
      <c r="AY408" s="230" t="n">
        <f aca="false">SUM(AX408*1000)/48</f>
        <v>0</v>
      </c>
      <c r="AZ408" s="231" t="n">
        <f aca="false">IFERROR(VLOOKUP(A408,'Site check'!$A$14:$O$47,15,0),0)</f>
        <v>0</v>
      </c>
      <c r="BA408" s="232" t="n">
        <f aca="false">SUM(AZ408*1000)/48</f>
        <v>0</v>
      </c>
      <c r="BB408" s="90" t="n">
        <f aca="false">SUM(P408/2)+E408</f>
        <v>100</v>
      </c>
      <c r="BC408" s="90" t="n">
        <f aca="false">SUM(P408/2)+F408</f>
        <v>100</v>
      </c>
    </row>
    <row r="409" customFormat="false" ht="13.15" hidden="false" customHeight="false" outlineLevel="0" collapsed="false">
      <c r="A409" s="0" t="str">
        <f aca="false">[2]Sheet1!A409</f>
        <v>BSG_SEC_DD770_HJ16_01</v>
      </c>
      <c r="B409" s="0" t="str">
        <f aca="false">[2]Sheet1!B409</f>
        <v>BSG;DC SYS01</v>
      </c>
      <c r="C409" s="44" t="str">
        <f aca="false">[2]Sheet1!C409</f>
        <v>BSG</v>
      </c>
      <c r="D409" s="44" t="s">
        <v>454</v>
      </c>
      <c r="E409" s="0" t="n">
        <f aca="false">[2]Sheet1!D409</f>
        <v>35</v>
      </c>
      <c r="F409" s="0" t="n">
        <f aca="false">[2]Sheet1!E409</f>
        <v>35</v>
      </c>
      <c r="G409" s="45" t="n">
        <f aca="false">[2]Sheet1!F409</f>
        <v>45295</v>
      </c>
      <c r="H409" s="0" t="n">
        <f aca="false">[2]Sheet1!G409</f>
        <v>300</v>
      </c>
      <c r="I409" s="0" t="n">
        <f aca="false">[2]Sheet1!H409</f>
        <v>300</v>
      </c>
      <c r="J409" s="0" t="n">
        <f aca="false">[2]Sheet1!I409</f>
        <v>3</v>
      </c>
      <c r="K409" s="0" t="n">
        <f aca="false">[2]Sheet1!J409</f>
        <v>0</v>
      </c>
      <c r="L409" s="0" t="n">
        <f aca="false">[2]Sheet1!K409</f>
        <v>4</v>
      </c>
      <c r="M409" s="0" t="n">
        <f aca="false">[2]Sheet1!L409</f>
        <v>20</v>
      </c>
      <c r="N409" s="0" t="n">
        <f aca="false">[2]Sheet1!M409</f>
        <v>10</v>
      </c>
      <c r="O409" s="0" t="n">
        <f aca="false">[2]Sheet1!N409</f>
        <v>0</v>
      </c>
      <c r="P409" s="226" t="n">
        <f aca="false">SUM(AY409+BA409)</f>
        <v>170.833333333333</v>
      </c>
      <c r="Q409" s="177" t="s">
        <v>1043</v>
      </c>
      <c r="R409" s="235" t="n">
        <v>3</v>
      </c>
      <c r="S409" s="181" t="s">
        <v>1044</v>
      </c>
      <c r="T409" s="237" t="n">
        <v>1</v>
      </c>
      <c r="U409" s="179" t="s">
        <v>1045</v>
      </c>
      <c r="V409" s="180" t="n">
        <v>4.2</v>
      </c>
      <c r="W409" s="227"/>
      <c r="X409" s="71"/>
      <c r="Y409" s="201"/>
      <c r="Z409" s="71"/>
      <c r="AA409" s="227"/>
      <c r="AB409" s="71"/>
      <c r="AC409" s="201"/>
      <c r="AD409" s="71"/>
      <c r="AE409" s="227"/>
      <c r="AF409" s="71"/>
      <c r="AG409" s="201"/>
      <c r="AH409" s="71"/>
      <c r="AI409" s="227"/>
      <c r="AJ409" s="71"/>
      <c r="AK409" s="201"/>
      <c r="AL409" s="71"/>
      <c r="AM409" s="227"/>
      <c r="AN409" s="71"/>
      <c r="AO409" s="201"/>
      <c r="AP409" s="71"/>
      <c r="AQ409" s="227"/>
      <c r="AR409" s="71"/>
      <c r="AS409" s="227"/>
      <c r="AT409" s="228"/>
      <c r="AU409" s="227"/>
      <c r="AV409" s="228"/>
      <c r="AW409" s="227"/>
      <c r="AX409" s="229" t="n">
        <f aca="false">SUM(R409+T409+V409+X409+Z409+AB409+AD409+AF409+AH409+AJ409+AL409+AN409+AP409+AR409)</f>
        <v>8.2</v>
      </c>
      <c r="AY409" s="230" t="n">
        <f aca="false">SUM(AX409*1000)/48</f>
        <v>170.833333333333</v>
      </c>
      <c r="AZ409" s="231" t="n">
        <f aca="false">IFERROR(VLOOKUP(A409,'Site check'!$A$14:$O$47,15,0),0)</f>
        <v>0</v>
      </c>
      <c r="BA409" s="232" t="n">
        <f aca="false">SUM(AZ409*1000)/48</f>
        <v>0</v>
      </c>
      <c r="BB409" s="90" t="n">
        <f aca="false">SUM(P409/2)+E409</f>
        <v>120.416666666667</v>
      </c>
      <c r="BC409" s="90" t="n">
        <f aca="false">SUM(P409/2)+F409</f>
        <v>120.416666666667</v>
      </c>
    </row>
    <row r="410" customFormat="false" ht="13.15" hidden="false" customHeight="false" outlineLevel="0" collapsed="false">
      <c r="A410" s="0" t="str">
        <f aca="false">[2]Sheet1!A410</f>
        <v>BTN_SEC_DD770_EF09_02</v>
      </c>
      <c r="B410" s="0" t="str">
        <f aca="false">[2]Sheet1!B410</f>
        <v>BTN-DCSYS01</v>
      </c>
      <c r="C410" s="44" t="str">
        <f aca="false">[2]Sheet1!C410</f>
        <v>BTN</v>
      </c>
      <c r="D410" s="44" t="s">
        <v>471</v>
      </c>
      <c r="E410" s="0" t="n">
        <f aca="false">[2]Sheet1!D410</f>
        <v>120</v>
      </c>
      <c r="F410" s="0" t="n">
        <f aca="false">[2]Sheet1!E410</f>
        <v>110</v>
      </c>
      <c r="G410" s="45" t="n">
        <f aca="false">[2]Sheet1!F410</f>
        <v>44992</v>
      </c>
      <c r="H410" s="0" t="n">
        <f aca="false">[2]Sheet1!G410</f>
        <v>300</v>
      </c>
      <c r="I410" s="0" t="n">
        <f aca="false">[2]Sheet1!H410</f>
        <v>300</v>
      </c>
      <c r="J410" s="0" t="n">
        <f aca="false">[2]Sheet1!I410</f>
        <v>1</v>
      </c>
      <c r="K410" s="0" t="n">
        <f aca="false">[2]Sheet1!J410</f>
        <v>0</v>
      </c>
      <c r="L410" s="0" t="n">
        <f aca="false">[2]Sheet1!K410</f>
        <v>0</v>
      </c>
      <c r="M410" s="0" t="n">
        <f aca="false">[2]Sheet1!L410</f>
        <v>9</v>
      </c>
      <c r="N410" s="0" t="n">
        <f aca="false">[2]Sheet1!M410</f>
        <v>8</v>
      </c>
      <c r="O410" s="0" t="n">
        <f aca="false">[2]Sheet1!N410</f>
        <v>0</v>
      </c>
      <c r="P410" s="226" t="n">
        <f aca="false">SUM(AY410+BA410)</f>
        <v>0</v>
      </c>
      <c r="Q410" s="201"/>
      <c r="R410" s="71"/>
      <c r="S410" s="227"/>
      <c r="T410" s="71"/>
      <c r="U410" s="201"/>
      <c r="V410" s="71"/>
      <c r="W410" s="227"/>
      <c r="X410" s="71"/>
      <c r="Y410" s="201"/>
      <c r="Z410" s="71"/>
      <c r="AA410" s="227"/>
      <c r="AB410" s="71"/>
      <c r="AC410" s="201"/>
      <c r="AD410" s="71"/>
      <c r="AE410" s="227"/>
      <c r="AF410" s="71"/>
      <c r="AG410" s="201"/>
      <c r="AH410" s="71"/>
      <c r="AI410" s="227"/>
      <c r="AJ410" s="71"/>
      <c r="AK410" s="201"/>
      <c r="AL410" s="71"/>
      <c r="AM410" s="227"/>
      <c r="AN410" s="71"/>
      <c r="AO410" s="201"/>
      <c r="AP410" s="71"/>
      <c r="AQ410" s="227"/>
      <c r="AR410" s="71"/>
      <c r="AS410" s="227"/>
      <c r="AT410" s="228"/>
      <c r="AU410" s="227"/>
      <c r="AV410" s="228"/>
      <c r="AW410" s="227"/>
      <c r="AX410" s="229" t="n">
        <f aca="false">SUM(R410+T410+V410+X410+Z410+AB410+AD410+AF410+AH410+AJ410+AL410+AN410+AP410+AR410)</f>
        <v>0</v>
      </c>
      <c r="AY410" s="230" t="n">
        <f aca="false">SUM(AX410*1000)/48</f>
        <v>0</v>
      </c>
      <c r="AZ410" s="231" t="n">
        <f aca="false">IFERROR(VLOOKUP(A410,'Site check'!$A$14:$O$47,15,0),0)</f>
        <v>0</v>
      </c>
      <c r="BA410" s="232" t="n">
        <f aca="false">SUM(AZ410*1000)/48</f>
        <v>0</v>
      </c>
      <c r="BB410" s="90" t="n">
        <f aca="false">SUM(P410/2)+E410</f>
        <v>120</v>
      </c>
      <c r="BC410" s="90" t="n">
        <f aca="false">SUM(P410/2)+F410</f>
        <v>110</v>
      </c>
    </row>
    <row r="411" customFormat="false" ht="13.15" hidden="false" customHeight="false" outlineLevel="0" collapsed="false">
      <c r="A411" s="0" t="str">
        <f aca="false">[2]Sheet1!A411</f>
        <v>BTN_SEC_DD770_YZ01_01</v>
      </c>
      <c r="B411" s="0" t="str">
        <f aca="false">[2]Sheet1!B411</f>
        <v>BTN-DCSYS01</v>
      </c>
      <c r="C411" s="44" t="str">
        <f aca="false">[2]Sheet1!C411</f>
        <v>BTN</v>
      </c>
      <c r="D411" s="44" t="s">
        <v>471</v>
      </c>
      <c r="E411" s="0" t="n">
        <f aca="false">[2]Sheet1!D411</f>
        <v>65</v>
      </c>
      <c r="F411" s="0" t="n">
        <f aca="false">[2]Sheet1!E411</f>
        <v>45</v>
      </c>
      <c r="G411" s="45" t="n">
        <f aca="false">[2]Sheet1!F411</f>
        <v>44992</v>
      </c>
      <c r="H411" s="0" t="n">
        <f aca="false">[2]Sheet1!G411</f>
        <v>300</v>
      </c>
      <c r="I411" s="0" t="n">
        <f aca="false">[2]Sheet1!H411</f>
        <v>300</v>
      </c>
      <c r="J411" s="0" t="n">
        <f aca="false">[2]Sheet1!I411</f>
        <v>0</v>
      </c>
      <c r="K411" s="0" t="n">
        <f aca="false">[2]Sheet1!J411</f>
        <v>0</v>
      </c>
      <c r="L411" s="0" t="n">
        <f aca="false">[2]Sheet1!K411</f>
        <v>5</v>
      </c>
      <c r="M411" s="0" t="n">
        <f aca="false">[2]Sheet1!L411</f>
        <v>23</v>
      </c>
      <c r="N411" s="0" t="n">
        <f aca="false">[2]Sheet1!M411</f>
        <v>12</v>
      </c>
      <c r="O411" s="0" t="n">
        <f aca="false">[2]Sheet1!N411</f>
        <v>0</v>
      </c>
      <c r="P411" s="226" t="n">
        <f aca="false">SUM(AY411+BA411)</f>
        <v>212.5</v>
      </c>
      <c r="Q411" s="170" t="s">
        <v>1104</v>
      </c>
      <c r="R411" s="234" t="n">
        <v>5</v>
      </c>
      <c r="S411" s="212" t="s">
        <v>1105</v>
      </c>
      <c r="T411" s="221" t="n">
        <v>1</v>
      </c>
      <c r="U411" s="179" t="s">
        <v>1106</v>
      </c>
      <c r="V411" s="180" t="n">
        <v>4.2</v>
      </c>
      <c r="W411" s="227"/>
      <c r="X411" s="71"/>
      <c r="Y411" s="201"/>
      <c r="Z411" s="71"/>
      <c r="AA411" s="227"/>
      <c r="AB411" s="71"/>
      <c r="AC411" s="201"/>
      <c r="AD411" s="71"/>
      <c r="AE411" s="227"/>
      <c r="AF411" s="71"/>
      <c r="AG411" s="201"/>
      <c r="AH411" s="71"/>
      <c r="AI411" s="227"/>
      <c r="AJ411" s="71"/>
      <c r="AK411" s="201"/>
      <c r="AL411" s="71"/>
      <c r="AM411" s="227"/>
      <c r="AN411" s="71"/>
      <c r="AO411" s="201"/>
      <c r="AP411" s="71"/>
      <c r="AQ411" s="227"/>
      <c r="AR411" s="71"/>
      <c r="AS411" s="227"/>
      <c r="AT411" s="228"/>
      <c r="AU411" s="227"/>
      <c r="AV411" s="228"/>
      <c r="AW411" s="227"/>
      <c r="AX411" s="229" t="n">
        <f aca="false">SUM(R411+T411+V411+X411+Z411+AB411+AD411+AF411+AH411+AJ411+AL411+AN411+AP411+AR411)</f>
        <v>10.2</v>
      </c>
      <c r="AY411" s="230" t="n">
        <f aca="false">SUM(AX411*1000)/48</f>
        <v>212.5</v>
      </c>
      <c r="AZ411" s="231" t="n">
        <f aca="false">IFERROR(VLOOKUP(A411,'Site check'!$A$14:$O$47,15,0),0)</f>
        <v>0</v>
      </c>
      <c r="BA411" s="232" t="n">
        <f aca="false">SUM(AZ411*1000)/48</f>
        <v>0</v>
      </c>
      <c r="BB411" s="90" t="n">
        <f aca="false">SUM(P411/2)+E411</f>
        <v>171.25</v>
      </c>
      <c r="BC411" s="90" t="n">
        <f aca="false">SUM(P411/2)+F411</f>
        <v>151.25</v>
      </c>
    </row>
    <row r="412" customFormat="false" ht="13.15" hidden="false" customHeight="false" outlineLevel="0" collapsed="false">
      <c r="A412" s="0" t="str">
        <f aca="false">[2]Sheet1!A412</f>
        <v>GFDCD1_SEC_DCDB_T0</v>
      </c>
      <c r="B412" s="0" t="str">
        <f aca="false">[2]Sheet1!B412</f>
        <v>GFDCD1;DC SYS01A</v>
      </c>
      <c r="C412" s="44" t="str">
        <f aca="false">[2]Sheet1!C412</f>
        <v>GFDCD1</v>
      </c>
      <c r="D412" s="44" t="s">
        <v>592</v>
      </c>
      <c r="E412" s="0" t="n">
        <f aca="false">[2]Sheet1!D412</f>
        <v>75</v>
      </c>
      <c r="F412" s="0" t="n">
        <f aca="false">[2]Sheet1!E412</f>
        <v>100</v>
      </c>
      <c r="G412" s="45" t="n">
        <f aca="false">[2]Sheet1!F412</f>
        <v>45068</v>
      </c>
      <c r="H412" s="0" t="n">
        <f aca="false">[2]Sheet1!G412</f>
        <v>200</v>
      </c>
      <c r="I412" s="0" t="n">
        <f aca="false">[2]Sheet1!H412</f>
        <v>200</v>
      </c>
      <c r="J412" s="0" t="n">
        <f aca="false">[2]Sheet1!I412</f>
        <v>3</v>
      </c>
      <c r="K412" s="0" t="n">
        <f aca="false">[2]Sheet1!J412</f>
        <v>0</v>
      </c>
      <c r="L412" s="0" t="n">
        <f aca="false">[2]Sheet1!K412</f>
        <v>0</v>
      </c>
      <c r="M412" s="0" t="n">
        <f aca="false">[2]Sheet1!L412</f>
        <v>0</v>
      </c>
      <c r="N412" s="0" t="n">
        <f aca="false">[2]Sheet1!M412</f>
        <v>0</v>
      </c>
      <c r="O412" s="0" t="n">
        <f aca="false">[2]Sheet1!N412</f>
        <v>30</v>
      </c>
      <c r="P412" s="226" t="n">
        <f aca="false">SUM(AY412+BA412)</f>
        <v>287.5</v>
      </c>
      <c r="Q412" s="170" t="s">
        <v>1190</v>
      </c>
      <c r="R412" s="234" t="n">
        <v>4.3</v>
      </c>
      <c r="S412" s="170" t="s">
        <v>1191</v>
      </c>
      <c r="T412" s="234" t="n">
        <v>4.7</v>
      </c>
      <c r="U412" s="170" t="s">
        <v>1192</v>
      </c>
      <c r="V412" s="234" t="n">
        <v>2.6</v>
      </c>
      <c r="W412" s="202" t="s">
        <v>1193</v>
      </c>
      <c r="X412" s="235" t="n">
        <v>1.6</v>
      </c>
      <c r="Y412" s="210" t="s">
        <v>1194</v>
      </c>
      <c r="Z412" s="211" t="n">
        <v>0.6</v>
      </c>
      <c r="AA412" s="227"/>
      <c r="AB412" s="71"/>
      <c r="AC412" s="201"/>
      <c r="AD412" s="71"/>
      <c r="AE412" s="227"/>
      <c r="AF412" s="71"/>
      <c r="AG412" s="201"/>
      <c r="AH412" s="71"/>
      <c r="AI412" s="227"/>
      <c r="AJ412" s="71"/>
      <c r="AK412" s="201"/>
      <c r="AL412" s="71"/>
      <c r="AM412" s="227"/>
      <c r="AN412" s="71"/>
      <c r="AO412" s="201"/>
      <c r="AP412" s="71"/>
      <c r="AQ412" s="227"/>
      <c r="AR412" s="71"/>
      <c r="AS412" s="227"/>
      <c r="AT412" s="228"/>
      <c r="AU412" s="227"/>
      <c r="AV412" s="228"/>
      <c r="AW412" s="227"/>
      <c r="AX412" s="229" t="n">
        <f aca="false">SUM(R412+T412+V412+X412+Z412+AB412+AD412+AF412+AH412+AJ412+AL412+AN412+AP412+AR412)</f>
        <v>13.8</v>
      </c>
      <c r="AY412" s="230" t="n">
        <f aca="false">SUM(AX412*1000)/48</f>
        <v>287.5</v>
      </c>
      <c r="AZ412" s="231" t="n">
        <f aca="false">IFERROR(VLOOKUP(A412,'Site check'!$A$14:$O$47,15,0),0)</f>
        <v>0</v>
      </c>
      <c r="BA412" s="232" t="n">
        <f aca="false">SUM(AZ412*1000)/48</f>
        <v>0</v>
      </c>
      <c r="BB412" s="90" t="n">
        <f aca="false">SUM(P412/2)+E412</f>
        <v>218.75</v>
      </c>
      <c r="BC412" s="90" t="n">
        <f aca="false">SUM(P412/2)+F412</f>
        <v>243.75</v>
      </c>
    </row>
    <row r="413" customFormat="false" ht="13.15" hidden="false" customHeight="false" outlineLevel="0" collapsed="false">
      <c r="A413" s="0" t="str">
        <f aca="false">[2]Sheet1!A413</f>
        <v>GFDCD1_SEC_DD770_M09</v>
      </c>
      <c r="B413" s="0" t="str">
        <f aca="false">[2]Sheet1!B413</f>
        <v>GFDCD1;DC SYS01A</v>
      </c>
      <c r="C413" s="44" t="str">
        <f aca="false">[2]Sheet1!C413</f>
        <v>GFDCD1</v>
      </c>
      <c r="D413" s="44" t="s">
        <v>592</v>
      </c>
      <c r="E413" s="0" t="n">
        <f aca="false">[2]Sheet1!D413</f>
        <v>140</v>
      </c>
      <c r="F413" s="0" t="n">
        <f aca="false">[2]Sheet1!E413</f>
        <v>170</v>
      </c>
      <c r="G413" s="45" t="n">
        <f aca="false">[2]Sheet1!F413</f>
        <v>45068</v>
      </c>
      <c r="H413" s="0" t="n">
        <f aca="false">[2]Sheet1!G413</f>
        <v>300</v>
      </c>
      <c r="I413" s="0" t="n">
        <f aca="false">[2]Sheet1!H413</f>
        <v>300</v>
      </c>
      <c r="J413" s="0" t="n">
        <f aca="false">[2]Sheet1!I413</f>
        <v>3</v>
      </c>
      <c r="K413" s="0" t="n">
        <f aca="false">[2]Sheet1!J413</f>
        <v>0</v>
      </c>
      <c r="L413" s="0" t="n">
        <f aca="false">[2]Sheet1!K413</f>
        <v>1</v>
      </c>
      <c r="M413" s="0" t="n">
        <f aca="false">[2]Sheet1!L413</f>
        <v>0</v>
      </c>
      <c r="N413" s="0" t="n">
        <f aca="false">[2]Sheet1!M413</f>
        <v>8</v>
      </c>
      <c r="O413" s="0" t="n">
        <f aca="false">[2]Sheet1!N413</f>
        <v>0</v>
      </c>
      <c r="P413" s="226" t="n">
        <f aca="false">SUM(AY413+BA413)</f>
        <v>0</v>
      </c>
      <c r="Q413" s="212"/>
      <c r="R413" s="221"/>
      <c r="S413" s="227"/>
      <c r="T413" s="71"/>
      <c r="U413" s="201"/>
      <c r="V413" s="71"/>
      <c r="W413" s="227"/>
      <c r="X413" s="71"/>
      <c r="Y413" s="201"/>
      <c r="Z413" s="71"/>
      <c r="AA413" s="227"/>
      <c r="AB413" s="71"/>
      <c r="AC413" s="201"/>
      <c r="AD413" s="71"/>
      <c r="AE413" s="227"/>
      <c r="AF413" s="71"/>
      <c r="AG413" s="201"/>
      <c r="AH413" s="71"/>
      <c r="AI413" s="227"/>
      <c r="AJ413" s="71"/>
      <c r="AK413" s="201"/>
      <c r="AL413" s="71"/>
      <c r="AM413" s="227"/>
      <c r="AN413" s="71"/>
      <c r="AO413" s="201"/>
      <c r="AP413" s="71"/>
      <c r="AQ413" s="227"/>
      <c r="AR413" s="71"/>
      <c r="AS413" s="227"/>
      <c r="AT413" s="228"/>
      <c r="AU413" s="227"/>
      <c r="AV413" s="228"/>
      <c r="AW413" s="227"/>
      <c r="AX413" s="229" t="n">
        <f aca="false">SUM(R413+T413+V413+X413+Z413+AB413+AD413+AF413+AH413+AJ413+AL413+AN413+AP413+AR413)</f>
        <v>0</v>
      </c>
      <c r="AY413" s="230" t="n">
        <f aca="false">SUM(AX413*1000)/48</f>
        <v>0</v>
      </c>
      <c r="AZ413" s="231" t="n">
        <f aca="false">IFERROR(VLOOKUP(A413,'Site check'!$A$14:$O$47,15,0),0)</f>
        <v>0</v>
      </c>
      <c r="BA413" s="232" t="n">
        <f aca="false">SUM(AZ413*1000)/48</f>
        <v>0</v>
      </c>
      <c r="BB413" s="90" t="n">
        <f aca="false">SUM(P413/2)+E413</f>
        <v>140</v>
      </c>
      <c r="BC413" s="90" t="n">
        <f aca="false">SUM(P413/2)+F413</f>
        <v>170</v>
      </c>
    </row>
    <row r="414" customFormat="false" ht="13.15" hidden="false" customHeight="false" outlineLevel="0" collapsed="false">
      <c r="A414" s="0" t="str">
        <f aca="false">[2]Sheet1!A414</f>
        <v>PTMN03_SEC_DD770_BCBD01</v>
      </c>
      <c r="B414" s="0" t="str">
        <f aca="false">[2]Sheet1!B414</f>
        <v>PTMN03;DC SYS01</v>
      </c>
      <c r="C414" s="44" t="str">
        <f aca="false">[2]Sheet1!C414</f>
        <v>PTMN03</v>
      </c>
      <c r="D414" s="44" t="s">
        <v>733</v>
      </c>
      <c r="E414" s="0" t="n">
        <f aca="false">[2]Sheet1!D414</f>
        <v>30</v>
      </c>
      <c r="F414" s="0" t="n">
        <f aca="false">[2]Sheet1!E414</f>
        <v>0</v>
      </c>
      <c r="G414" s="45" t="n">
        <f aca="false">[2]Sheet1!F414</f>
        <v>44169</v>
      </c>
      <c r="H414" s="0" t="n">
        <f aca="false">[2]Sheet1!G414</f>
        <v>300</v>
      </c>
      <c r="I414" s="0" t="n">
        <f aca="false">[2]Sheet1!H414</f>
        <v>300</v>
      </c>
      <c r="J414" s="0" t="n">
        <f aca="false">[2]Sheet1!I414</f>
        <v>6</v>
      </c>
      <c r="K414" s="0" t="n">
        <f aca="false">[2]Sheet1!J414</f>
        <v>12</v>
      </c>
      <c r="L414" s="0" t="n">
        <f aca="false">[2]Sheet1!K414</f>
        <v>0</v>
      </c>
      <c r="M414" s="0" t="n">
        <f aca="false">[2]Sheet1!L414</f>
        <v>24</v>
      </c>
      <c r="N414" s="0" t="n">
        <f aca="false">[2]Sheet1!M414</f>
        <v>7</v>
      </c>
      <c r="O414" s="0" t="n">
        <f aca="false">[2]Sheet1!N414</f>
        <v>0</v>
      </c>
      <c r="P414" s="226" t="n">
        <f aca="false">SUM(AY414+BA414)</f>
        <v>0</v>
      </c>
      <c r="Q414" s="201"/>
      <c r="R414" s="71"/>
      <c r="S414" s="227"/>
      <c r="T414" s="71"/>
      <c r="U414" s="201"/>
      <c r="V414" s="71"/>
      <c r="W414" s="227"/>
      <c r="X414" s="71"/>
      <c r="Y414" s="201"/>
      <c r="Z414" s="71"/>
      <c r="AA414" s="227"/>
      <c r="AB414" s="71"/>
      <c r="AC414" s="201"/>
      <c r="AD414" s="71"/>
      <c r="AE414" s="227"/>
      <c r="AF414" s="71"/>
      <c r="AG414" s="201"/>
      <c r="AH414" s="71"/>
      <c r="AI414" s="227"/>
      <c r="AJ414" s="71"/>
      <c r="AK414" s="201"/>
      <c r="AL414" s="71"/>
      <c r="AM414" s="227"/>
      <c r="AN414" s="71"/>
      <c r="AO414" s="201"/>
      <c r="AP414" s="71"/>
      <c r="AQ414" s="227"/>
      <c r="AR414" s="71"/>
      <c r="AS414" s="227"/>
      <c r="AT414" s="228"/>
      <c r="AU414" s="227"/>
      <c r="AV414" s="228"/>
      <c r="AW414" s="227"/>
      <c r="AX414" s="229" t="n">
        <f aca="false">SUM(R414+T414+V414+X414+Z414+AB414+AD414+AF414+AH414+AJ414+AL414+AN414+AP414+AR414)</f>
        <v>0</v>
      </c>
      <c r="AY414" s="230" t="n">
        <f aca="false">SUM(AX414*1000)/48</f>
        <v>0</v>
      </c>
      <c r="AZ414" s="231" t="n">
        <f aca="false">IFERROR(VLOOKUP(A414,'Site check'!$A$14:$O$47,15,0),0)</f>
        <v>0</v>
      </c>
      <c r="BA414" s="232" t="n">
        <f aca="false">SUM(AZ414*1000)/48</f>
        <v>0</v>
      </c>
      <c r="BB414" s="90" t="n">
        <f aca="false">SUM(P414/2)+E414</f>
        <v>30</v>
      </c>
      <c r="BC414" s="90" t="n">
        <f aca="false">SUM(P414/2)+F414</f>
        <v>0</v>
      </c>
    </row>
    <row r="415" customFormat="false" ht="13.15" hidden="false" customHeight="false" outlineLevel="0" collapsed="false">
      <c r="A415" s="0" t="str">
        <f aca="false">[2]Sheet1!A415</f>
        <v>PTMN03_SEC_DD770_GH01</v>
      </c>
      <c r="B415" s="0" t="str">
        <f aca="false">[2]Sheet1!B415</f>
        <v>PTMN03;DC SYS01</v>
      </c>
      <c r="C415" s="44" t="str">
        <f aca="false">[2]Sheet1!C415</f>
        <v>PTMN03</v>
      </c>
      <c r="D415" s="44" t="s">
        <v>733</v>
      </c>
      <c r="E415" s="0" t="n">
        <f aca="false">[2]Sheet1!D415</f>
        <v>40</v>
      </c>
      <c r="F415" s="0" t="n">
        <f aca="false">[2]Sheet1!E415</f>
        <v>40</v>
      </c>
      <c r="G415" s="45" t="n">
        <f aca="false">[2]Sheet1!F415</f>
        <v>44169</v>
      </c>
      <c r="H415" s="0" t="n">
        <f aca="false">[2]Sheet1!G415</f>
        <v>300</v>
      </c>
      <c r="I415" s="0" t="n">
        <f aca="false">[2]Sheet1!H415</f>
        <v>300</v>
      </c>
      <c r="J415" s="0" t="n">
        <f aca="false">[2]Sheet1!I415</f>
        <v>6</v>
      </c>
      <c r="K415" s="0" t="n">
        <f aca="false">[2]Sheet1!J415</f>
        <v>10</v>
      </c>
      <c r="L415" s="0" t="n">
        <f aca="false">[2]Sheet1!K415</f>
        <v>0</v>
      </c>
      <c r="M415" s="0" t="n">
        <f aca="false">[2]Sheet1!L415</f>
        <v>18</v>
      </c>
      <c r="N415" s="0" t="n">
        <f aca="false">[2]Sheet1!M415</f>
        <v>10</v>
      </c>
      <c r="O415" s="0" t="n">
        <f aca="false">[2]Sheet1!N415</f>
        <v>0</v>
      </c>
      <c r="P415" s="226" t="n">
        <f aca="false">SUM(AY415+BA415)</f>
        <v>0</v>
      </c>
      <c r="Q415" s="201"/>
      <c r="R415" s="71"/>
      <c r="S415" s="227"/>
      <c r="T415" s="71"/>
      <c r="U415" s="201"/>
      <c r="V415" s="71"/>
      <c r="W415" s="227"/>
      <c r="X415" s="71"/>
      <c r="Y415" s="201"/>
      <c r="Z415" s="71"/>
      <c r="AA415" s="227"/>
      <c r="AB415" s="71"/>
      <c r="AC415" s="201"/>
      <c r="AD415" s="71"/>
      <c r="AE415" s="227"/>
      <c r="AF415" s="71"/>
      <c r="AG415" s="201"/>
      <c r="AH415" s="71"/>
      <c r="AI415" s="227"/>
      <c r="AJ415" s="71"/>
      <c r="AK415" s="201"/>
      <c r="AL415" s="71"/>
      <c r="AM415" s="227"/>
      <c r="AN415" s="71"/>
      <c r="AO415" s="201"/>
      <c r="AP415" s="71"/>
      <c r="AQ415" s="227"/>
      <c r="AR415" s="71"/>
      <c r="AS415" s="227"/>
      <c r="AT415" s="228"/>
      <c r="AU415" s="227"/>
      <c r="AV415" s="228"/>
      <c r="AW415" s="227"/>
      <c r="AX415" s="229" t="n">
        <f aca="false">SUM(R415+T415+V415+X415+Z415+AB415+AD415+AF415+AH415+AJ415+AL415+AN415+AP415+AR415)</f>
        <v>0</v>
      </c>
      <c r="AY415" s="230" t="n">
        <f aca="false">SUM(AX415*1000)/48</f>
        <v>0</v>
      </c>
      <c r="AZ415" s="231" t="n">
        <f aca="false">IFERROR(VLOOKUP(A415,'Site check'!$A$14:$O$47,15,0),0)</f>
        <v>0</v>
      </c>
      <c r="BA415" s="232" t="n">
        <f aca="false">SUM(AZ415*1000)/48</f>
        <v>0</v>
      </c>
      <c r="BB415" s="90" t="n">
        <f aca="false">SUM(P415/2)+E415</f>
        <v>40</v>
      </c>
      <c r="BC415" s="90" t="n">
        <f aca="false">SUM(P415/2)+F415</f>
        <v>40</v>
      </c>
    </row>
    <row r="416" customFormat="false" ht="13.15" hidden="false" customHeight="false" outlineLevel="0" collapsed="false">
      <c r="A416" s="0" t="str">
        <f aca="false">[2]Sheet1!A416</f>
        <v>PTMN03_SEC_DD770_LM01</v>
      </c>
      <c r="B416" s="0" t="str">
        <f aca="false">[2]Sheet1!B416</f>
        <v>PTMN03;DC SYS01</v>
      </c>
      <c r="C416" s="44" t="str">
        <f aca="false">[2]Sheet1!C416</f>
        <v>PTMN03</v>
      </c>
      <c r="D416" s="44" t="s">
        <v>733</v>
      </c>
      <c r="E416" s="0" t="n">
        <f aca="false">[2]Sheet1!D416</f>
        <v>60</v>
      </c>
      <c r="F416" s="0" t="n">
        <f aca="false">[2]Sheet1!E416</f>
        <v>60</v>
      </c>
      <c r="G416" s="45" t="n">
        <f aca="false">[2]Sheet1!F416</f>
        <v>44169</v>
      </c>
      <c r="H416" s="0" t="n">
        <f aca="false">[2]Sheet1!G416</f>
        <v>300</v>
      </c>
      <c r="I416" s="0" t="n">
        <f aca="false">[2]Sheet1!H416</f>
        <v>300</v>
      </c>
      <c r="J416" s="0" t="n">
        <f aca="false">[2]Sheet1!I416</f>
        <v>4</v>
      </c>
      <c r="K416" s="0" t="n">
        <f aca="false">[2]Sheet1!J416</f>
        <v>10</v>
      </c>
      <c r="L416" s="0" t="n">
        <f aca="false">[2]Sheet1!K416</f>
        <v>0</v>
      </c>
      <c r="M416" s="0" t="n">
        <f aca="false">[2]Sheet1!L416</f>
        <v>7</v>
      </c>
      <c r="N416" s="0" t="n">
        <f aca="false">[2]Sheet1!M416</f>
        <v>1</v>
      </c>
      <c r="O416" s="0" t="n">
        <f aca="false">[2]Sheet1!N416</f>
        <v>0</v>
      </c>
      <c r="P416" s="226" t="n">
        <f aca="false">SUM(AY416+BA416)</f>
        <v>87.5</v>
      </c>
      <c r="Q416" s="179" t="s">
        <v>1349</v>
      </c>
      <c r="R416" s="180" t="n">
        <v>4.2</v>
      </c>
      <c r="S416" s="227"/>
      <c r="T416" s="71"/>
      <c r="U416" s="201"/>
      <c r="V416" s="71"/>
      <c r="W416" s="227"/>
      <c r="X416" s="71"/>
      <c r="Y416" s="201"/>
      <c r="Z416" s="71"/>
      <c r="AA416" s="227"/>
      <c r="AB416" s="71"/>
      <c r="AC416" s="201"/>
      <c r="AD416" s="71"/>
      <c r="AE416" s="227"/>
      <c r="AF416" s="71"/>
      <c r="AG416" s="201"/>
      <c r="AH416" s="71"/>
      <c r="AI416" s="227"/>
      <c r="AJ416" s="71"/>
      <c r="AK416" s="201"/>
      <c r="AL416" s="71"/>
      <c r="AM416" s="227"/>
      <c r="AN416" s="71"/>
      <c r="AO416" s="201"/>
      <c r="AP416" s="71"/>
      <c r="AQ416" s="227"/>
      <c r="AR416" s="71"/>
      <c r="AS416" s="227"/>
      <c r="AT416" s="228"/>
      <c r="AU416" s="227"/>
      <c r="AV416" s="228"/>
      <c r="AW416" s="227"/>
      <c r="AX416" s="229" t="n">
        <f aca="false">SUM(R416+T416+V416+X416+Z416+AB416+AD416+AF416+AH416+AJ416+AL416+AN416+AP416+AR416)</f>
        <v>4.2</v>
      </c>
      <c r="AY416" s="230" t="n">
        <f aca="false">SUM(AX416*1000)/48</f>
        <v>87.5</v>
      </c>
      <c r="AZ416" s="231" t="n">
        <f aca="false">IFERROR(VLOOKUP(A416,'Site check'!$A$14:$O$47,15,0),0)</f>
        <v>0</v>
      </c>
      <c r="BA416" s="232" t="n">
        <f aca="false">SUM(AZ416*1000)/48</f>
        <v>0</v>
      </c>
      <c r="BB416" s="90" t="n">
        <f aca="false">SUM(P416/2)+E416</f>
        <v>103.75</v>
      </c>
      <c r="BC416" s="90" t="n">
        <f aca="false">SUM(P416/2)+F416</f>
        <v>103.75</v>
      </c>
    </row>
    <row r="417" customFormat="false" ht="13.15" hidden="false" customHeight="false" outlineLevel="0" collapsed="false">
      <c r="A417" s="0" t="str">
        <f aca="false">[2]Sheet1!A417</f>
        <v>PTMN03_SEC_DD770_QR01</v>
      </c>
      <c r="B417" s="0" t="str">
        <f aca="false">[2]Sheet1!B417</f>
        <v>PTMN03;DC SYS01</v>
      </c>
      <c r="C417" s="44" t="str">
        <f aca="false">[2]Sheet1!C417</f>
        <v>PTMN03</v>
      </c>
      <c r="D417" s="44" t="s">
        <v>733</v>
      </c>
      <c r="E417" s="0" t="n">
        <f aca="false">[2]Sheet1!D417</f>
        <v>50</v>
      </c>
      <c r="F417" s="0" t="n">
        <f aca="false">[2]Sheet1!E417</f>
        <v>50</v>
      </c>
      <c r="G417" s="45" t="n">
        <f aca="false">[2]Sheet1!F417</f>
        <v>44169</v>
      </c>
      <c r="H417" s="0" t="n">
        <f aca="false">[2]Sheet1!G417</f>
        <v>300</v>
      </c>
      <c r="I417" s="0" t="n">
        <f aca="false">[2]Sheet1!H417</f>
        <v>300</v>
      </c>
      <c r="J417" s="0" t="n">
        <f aca="false">[2]Sheet1!I417</f>
        <v>6</v>
      </c>
      <c r="K417" s="0" t="n">
        <f aca="false">[2]Sheet1!J417</f>
        <v>0</v>
      </c>
      <c r="L417" s="0" t="n">
        <f aca="false">[2]Sheet1!K417</f>
        <v>0</v>
      </c>
      <c r="M417" s="0" t="n">
        <f aca="false">[2]Sheet1!L417</f>
        <v>23</v>
      </c>
      <c r="N417" s="0" t="n">
        <f aca="false">[2]Sheet1!M417</f>
        <v>11</v>
      </c>
      <c r="O417" s="0" t="n">
        <f aca="false">[2]Sheet1!N417</f>
        <v>0</v>
      </c>
      <c r="P417" s="226" t="n">
        <f aca="false">SUM(AY417+BA417)</f>
        <v>0</v>
      </c>
      <c r="Q417" s="201"/>
      <c r="R417" s="71"/>
      <c r="S417" s="227"/>
      <c r="T417" s="71"/>
      <c r="U417" s="201"/>
      <c r="V417" s="71"/>
      <c r="W417" s="227"/>
      <c r="X417" s="71"/>
      <c r="Y417" s="201"/>
      <c r="Z417" s="71"/>
      <c r="AA417" s="227"/>
      <c r="AB417" s="71"/>
      <c r="AC417" s="201"/>
      <c r="AD417" s="71"/>
      <c r="AE417" s="227"/>
      <c r="AF417" s="71"/>
      <c r="AG417" s="201"/>
      <c r="AH417" s="71"/>
      <c r="AI417" s="227"/>
      <c r="AJ417" s="71"/>
      <c r="AK417" s="201"/>
      <c r="AL417" s="71"/>
      <c r="AM417" s="227"/>
      <c r="AN417" s="71"/>
      <c r="AO417" s="201"/>
      <c r="AP417" s="71"/>
      <c r="AQ417" s="227"/>
      <c r="AR417" s="71"/>
      <c r="AS417" s="227"/>
      <c r="AT417" s="228"/>
      <c r="AU417" s="227"/>
      <c r="AV417" s="228"/>
      <c r="AW417" s="227"/>
      <c r="AX417" s="229" t="n">
        <f aca="false">SUM(R417+T417+V417+X417+Z417+AB417+AD417+AF417+AH417+AJ417+AL417+AN417+AP417+AR417)</f>
        <v>0</v>
      </c>
      <c r="AY417" s="230" t="n">
        <f aca="false">SUM(AX417*1000)/48</f>
        <v>0</v>
      </c>
      <c r="AZ417" s="231" t="n">
        <f aca="false">IFERROR(VLOOKUP(A417,'Site check'!$A$14:$O$47,15,0),0)</f>
        <v>0</v>
      </c>
      <c r="BA417" s="232" t="n">
        <f aca="false">SUM(AZ417*1000)/48</f>
        <v>0</v>
      </c>
      <c r="BB417" s="90" t="n">
        <f aca="false">SUM(P417/2)+E417</f>
        <v>50</v>
      </c>
      <c r="BC417" s="90" t="n">
        <f aca="false">SUM(P417/2)+F417</f>
        <v>50</v>
      </c>
    </row>
    <row r="418" customFormat="false" ht="13.15" hidden="false" customHeight="false" outlineLevel="0" collapsed="false">
      <c r="A418" s="0" t="str">
        <f aca="false">[2]Sheet1!A418</f>
        <v>PTMN03_SEC_DD770_UV01</v>
      </c>
      <c r="B418" s="0" t="str">
        <f aca="false">[2]Sheet1!B418</f>
        <v>PTMN03;DC SYS01</v>
      </c>
      <c r="C418" s="44" t="str">
        <f aca="false">[2]Sheet1!C418</f>
        <v>PTMN03</v>
      </c>
      <c r="D418" s="44" t="s">
        <v>733</v>
      </c>
      <c r="E418" s="0" t="n">
        <f aca="false">[2]Sheet1!D418</f>
        <v>20</v>
      </c>
      <c r="F418" s="0" t="n">
        <f aca="false">[2]Sheet1!E418</f>
        <v>20</v>
      </c>
      <c r="G418" s="45" t="n">
        <f aca="false">[2]Sheet1!F418</f>
        <v>44169</v>
      </c>
      <c r="H418" s="0" t="n">
        <f aca="false">[2]Sheet1!G418</f>
        <v>300</v>
      </c>
      <c r="I418" s="0" t="n">
        <f aca="false">[2]Sheet1!H418</f>
        <v>300</v>
      </c>
      <c r="J418" s="0" t="n">
        <f aca="false">[2]Sheet1!I418</f>
        <v>6</v>
      </c>
      <c r="K418" s="0" t="n">
        <f aca="false">[2]Sheet1!J418</f>
        <v>8</v>
      </c>
      <c r="L418" s="0" t="n">
        <f aca="false">[2]Sheet1!K418</f>
        <v>0</v>
      </c>
      <c r="M418" s="0" t="n">
        <f aca="false">[2]Sheet1!L418</f>
        <v>23</v>
      </c>
      <c r="N418" s="0" t="n">
        <f aca="false">[2]Sheet1!M418</f>
        <v>12</v>
      </c>
      <c r="O418" s="0" t="n">
        <f aca="false">[2]Sheet1!N418</f>
        <v>0</v>
      </c>
      <c r="P418" s="226" t="n">
        <f aca="false">SUM(AY418+BA418)</f>
        <v>125</v>
      </c>
      <c r="Q418" s="170" t="s">
        <v>1347</v>
      </c>
      <c r="R418" s="234" t="n">
        <v>5</v>
      </c>
      <c r="S418" s="202" t="s">
        <v>1348</v>
      </c>
      <c r="T418" s="235" t="n">
        <v>1</v>
      </c>
      <c r="U418" s="201"/>
      <c r="V418" s="71"/>
      <c r="W418" s="227"/>
      <c r="X418" s="71"/>
      <c r="Y418" s="201"/>
      <c r="Z418" s="71"/>
      <c r="AA418" s="227"/>
      <c r="AB418" s="71"/>
      <c r="AC418" s="201"/>
      <c r="AD418" s="71"/>
      <c r="AE418" s="227"/>
      <c r="AF418" s="71"/>
      <c r="AG418" s="201"/>
      <c r="AH418" s="71"/>
      <c r="AI418" s="227"/>
      <c r="AJ418" s="71"/>
      <c r="AK418" s="201"/>
      <c r="AL418" s="71"/>
      <c r="AM418" s="227"/>
      <c r="AN418" s="71"/>
      <c r="AO418" s="201"/>
      <c r="AP418" s="71"/>
      <c r="AQ418" s="227"/>
      <c r="AR418" s="71"/>
      <c r="AS418" s="227"/>
      <c r="AT418" s="228"/>
      <c r="AU418" s="227"/>
      <c r="AV418" s="228"/>
      <c r="AW418" s="227"/>
      <c r="AX418" s="229" t="n">
        <f aca="false">SUM(R418+T418+V418+X418+Z418+AB418+AD418+AF418+AH418+AJ418+AL418+AN418+AP418+AR418)</f>
        <v>6</v>
      </c>
      <c r="AY418" s="230" t="n">
        <f aca="false">SUM(AX418*1000)/48</f>
        <v>125</v>
      </c>
      <c r="AZ418" s="231" t="n">
        <f aca="false">IFERROR(VLOOKUP(A418,'Site check'!$A$14:$O$47,15,0),0)</f>
        <v>0</v>
      </c>
      <c r="BA418" s="232" t="n">
        <f aca="false">SUM(AZ418*1000)/48</f>
        <v>0</v>
      </c>
      <c r="BB418" s="90" t="n">
        <f aca="false">SUM(P418/2)+E418</f>
        <v>82.5</v>
      </c>
      <c r="BC418" s="90" t="n">
        <f aca="false">SUM(P418/2)+F418</f>
        <v>82.5</v>
      </c>
    </row>
    <row r="419" customFormat="false" ht="13.15" hidden="false" customHeight="false" outlineLevel="0" collapsed="false">
      <c r="A419" s="0" t="str">
        <f aca="false">[2]Sheet1!A419</f>
        <v>SHTN03_SEC_DD770_AD10</v>
      </c>
      <c r="B419" s="0" t="str">
        <f aca="false">[2]Sheet1!B419</f>
        <v>SHTN03;DC SYS01</v>
      </c>
      <c r="C419" s="44" t="str">
        <f aca="false">[2]Sheet1!C419</f>
        <v>SHTN03</v>
      </c>
      <c r="D419" s="44" t="s">
        <v>760</v>
      </c>
      <c r="E419" s="0" t="n">
        <f aca="false">[2]Sheet1!D419</f>
        <v>210</v>
      </c>
      <c r="F419" s="0" t="n">
        <f aca="false">[2]Sheet1!E419</f>
        <v>210</v>
      </c>
      <c r="G419" s="45" t="n">
        <f aca="false">[2]Sheet1!F419</f>
        <v>45301</v>
      </c>
      <c r="H419" s="0" t="n">
        <f aca="false">[2]Sheet1!G419</f>
        <v>240</v>
      </c>
      <c r="I419" s="0" t="n">
        <f aca="false">[2]Sheet1!H419</f>
        <v>240</v>
      </c>
      <c r="J419" s="0" t="n">
        <f aca="false">[2]Sheet1!I419</f>
        <v>1</v>
      </c>
      <c r="K419" s="0" t="n">
        <f aca="false">[2]Sheet1!J419</f>
        <v>1</v>
      </c>
      <c r="L419" s="0" t="n">
        <f aca="false">[2]Sheet1!K419</f>
        <v>0</v>
      </c>
      <c r="M419" s="0" t="n">
        <f aca="false">[2]Sheet1!L419</f>
        <v>0</v>
      </c>
      <c r="N419" s="0" t="n">
        <f aca="false">[2]Sheet1!M419</f>
        <v>5</v>
      </c>
      <c r="O419" s="0" t="n">
        <f aca="false">[2]Sheet1!N419</f>
        <v>0</v>
      </c>
      <c r="P419" s="226" t="n">
        <f aca="false">SUM(AY419+BA419)</f>
        <v>0</v>
      </c>
      <c r="Q419" s="201"/>
      <c r="R419" s="71"/>
      <c r="S419" s="227"/>
      <c r="T419" s="71"/>
      <c r="U419" s="201"/>
      <c r="V419" s="71"/>
      <c r="W419" s="227"/>
      <c r="X419" s="71"/>
      <c r="Y419" s="201"/>
      <c r="Z419" s="71"/>
      <c r="AA419" s="227"/>
      <c r="AB419" s="71"/>
      <c r="AC419" s="201"/>
      <c r="AD419" s="71"/>
      <c r="AE419" s="227"/>
      <c r="AF419" s="71"/>
      <c r="AG419" s="201"/>
      <c r="AH419" s="71"/>
      <c r="AI419" s="227"/>
      <c r="AJ419" s="71"/>
      <c r="AK419" s="201"/>
      <c r="AL419" s="71"/>
      <c r="AM419" s="227"/>
      <c r="AN419" s="71"/>
      <c r="AO419" s="201"/>
      <c r="AP419" s="71"/>
      <c r="AQ419" s="227"/>
      <c r="AR419" s="71"/>
      <c r="AS419" s="227"/>
      <c r="AT419" s="228"/>
      <c r="AU419" s="227"/>
      <c r="AV419" s="228"/>
      <c r="AW419" s="227"/>
      <c r="AX419" s="229" t="n">
        <f aca="false">SUM(R419+T419+V419+X419+Z419+AB419+AD419+AF419+AH419+AJ419+AL419+AN419+AP419+AR419)</f>
        <v>0</v>
      </c>
      <c r="AY419" s="230" t="n">
        <f aca="false">SUM(AX419*1000)/48</f>
        <v>0</v>
      </c>
      <c r="AZ419" s="231" t="n">
        <f aca="false">IFERROR(VLOOKUP(A419,'Site check'!$A$14:$O$47,15,0),0)</f>
        <v>0</v>
      </c>
      <c r="BA419" s="232" t="n">
        <f aca="false">SUM(AZ419*1000)/48</f>
        <v>0</v>
      </c>
      <c r="BB419" s="90" t="n">
        <f aca="false">SUM(P419/2)+E419</f>
        <v>210</v>
      </c>
      <c r="BC419" s="90" t="n">
        <f aca="false">SUM(P419/2)+F419</f>
        <v>210</v>
      </c>
    </row>
    <row r="420" customFormat="false" ht="13.15" hidden="false" customHeight="false" outlineLevel="0" collapsed="false">
      <c r="A420" s="0" t="str">
        <f aca="false">[2]Sheet1!A420</f>
        <v>SHTN03_SEC_Eaton_ ANAP0</v>
      </c>
      <c r="B420" s="0" t="str">
        <f aca="false">[2]Sheet1!B420</f>
        <v>SHTN03;DC SYS01</v>
      </c>
      <c r="C420" s="44" t="str">
        <f aca="false">[2]Sheet1!C420</f>
        <v>SHTN03</v>
      </c>
      <c r="D420" s="44" t="s">
        <v>760</v>
      </c>
      <c r="E420" s="0" t="n">
        <f aca="false">[2]Sheet1!D420</f>
        <v>30</v>
      </c>
      <c r="F420" s="0" t="n">
        <f aca="false">[2]Sheet1!E420</f>
        <v>27</v>
      </c>
      <c r="G420" s="45" t="n">
        <f aca="false">[2]Sheet1!F420</f>
        <v>44937</v>
      </c>
      <c r="H420" s="0" t="n">
        <f aca="false">[2]Sheet1!G420</f>
        <v>300</v>
      </c>
      <c r="I420" s="0" t="n">
        <f aca="false">[2]Sheet1!H420</f>
        <v>300</v>
      </c>
      <c r="J420" s="0" t="n">
        <f aca="false">[2]Sheet1!I420</f>
        <v>0</v>
      </c>
      <c r="K420" s="0" t="n">
        <f aca="false">[2]Sheet1!J420</f>
        <v>0</v>
      </c>
      <c r="L420" s="0" t="n">
        <f aca="false">[2]Sheet1!K420</f>
        <v>0</v>
      </c>
      <c r="M420" s="0" t="n">
        <f aca="false">[2]Sheet1!L420</f>
        <v>0</v>
      </c>
      <c r="N420" s="0" t="n">
        <f aca="false">[2]Sheet1!M420</f>
        <v>0</v>
      </c>
      <c r="O420" s="0" t="n">
        <f aca="false">[2]Sheet1!N420</f>
        <v>54</v>
      </c>
      <c r="P420" s="226" t="n">
        <f aca="false">SUM(AY420+BA420)</f>
        <v>233.333333333333</v>
      </c>
      <c r="Q420" s="170" t="s">
        <v>1375</v>
      </c>
      <c r="R420" s="234" t="n">
        <v>5</v>
      </c>
      <c r="S420" s="170" t="s">
        <v>1379</v>
      </c>
      <c r="T420" s="234" t="n">
        <v>1</v>
      </c>
      <c r="U420" s="204" t="s">
        <v>1376</v>
      </c>
      <c r="V420" s="221" t="n">
        <v>1</v>
      </c>
      <c r="W420" s="181" t="s">
        <v>1377</v>
      </c>
      <c r="X420" s="175" t="n">
        <v>4.2</v>
      </c>
      <c r="Y420" s="201"/>
      <c r="Z420" s="71"/>
      <c r="AA420" s="227"/>
      <c r="AB420" s="71"/>
      <c r="AC420" s="201"/>
      <c r="AD420" s="71"/>
      <c r="AE420" s="227"/>
      <c r="AF420" s="71"/>
      <c r="AG420" s="201"/>
      <c r="AH420" s="71"/>
      <c r="AI420" s="227"/>
      <c r="AJ420" s="71"/>
      <c r="AK420" s="201"/>
      <c r="AL420" s="71"/>
      <c r="AM420" s="227"/>
      <c r="AN420" s="71"/>
      <c r="AO420" s="201"/>
      <c r="AP420" s="71"/>
      <c r="AQ420" s="227"/>
      <c r="AR420" s="71"/>
      <c r="AS420" s="227"/>
      <c r="AT420" s="228"/>
      <c r="AU420" s="227"/>
      <c r="AV420" s="228"/>
      <c r="AW420" s="227"/>
      <c r="AX420" s="229" t="n">
        <f aca="false">SUM(R420+T420+V420+X420+Z420+AB420+AD420+AF420+AH420+AJ420+AL420+AN420+AP420+AR420)</f>
        <v>11.2</v>
      </c>
      <c r="AY420" s="230" t="n">
        <f aca="false">SUM(AX420*1000)/48</f>
        <v>233.333333333333</v>
      </c>
      <c r="AZ420" s="231" t="n">
        <f aca="false">IFERROR(VLOOKUP(A420,'Site check'!$A$14:$O$47,15,0),0)</f>
        <v>0</v>
      </c>
      <c r="BA420" s="232" t="n">
        <f aca="false">SUM(AZ420*1000)/48</f>
        <v>0</v>
      </c>
      <c r="BB420" s="90" t="n">
        <f aca="false">SUM(P420/2)+E420</f>
        <v>146.666666666667</v>
      </c>
      <c r="BC420" s="90" t="n">
        <f aca="false">SUM(P420/2)+F420</f>
        <v>143.666666666667</v>
      </c>
    </row>
    <row r="421" customFormat="false" ht="13.15" hidden="false" customHeight="false" outlineLevel="0" collapsed="false">
      <c r="A421" s="0" t="str">
        <f aca="false">[2]Sheet1!A421</f>
        <v>DCDB_WKGN01_CD1.</v>
      </c>
      <c r="B421" s="0" t="str">
        <f aca="false">[2]Sheet1!B421</f>
        <v>WKGN01;DC SYS01</v>
      </c>
      <c r="C421" s="44" t="str">
        <f aca="false">[2]Sheet1!C421</f>
        <v>WKGN01</v>
      </c>
      <c r="D421" s="44" t="s">
        <v>821</v>
      </c>
      <c r="E421" s="0" t="n">
        <f aca="false">[2]Sheet1!D421</f>
        <v>25</v>
      </c>
      <c r="F421" s="0" t="n">
        <f aca="false">[2]Sheet1!E421</f>
        <v>25</v>
      </c>
      <c r="G421" s="45" t="n">
        <f aca="false">[2]Sheet1!F421</f>
        <v>44092</v>
      </c>
      <c r="H421" s="0" t="n">
        <f aca="false">[2]Sheet1!G421</f>
        <v>300</v>
      </c>
      <c r="I421" s="0" t="n">
        <f aca="false">[2]Sheet1!H421</f>
        <v>300</v>
      </c>
      <c r="J421" s="0" t="n">
        <f aca="false">[2]Sheet1!I421</f>
        <v>6</v>
      </c>
      <c r="K421" s="0" t="n">
        <f aca="false">[2]Sheet1!J421</f>
        <v>5</v>
      </c>
      <c r="L421" s="0" t="n">
        <f aca="false">[2]Sheet1!K421</f>
        <v>12</v>
      </c>
      <c r="M421" s="0" t="n">
        <f aca="false">[2]Sheet1!L421</f>
        <v>15</v>
      </c>
      <c r="N421" s="0" t="n">
        <f aca="false">[2]Sheet1!M421</f>
        <v>12</v>
      </c>
      <c r="O421" s="0" t="n">
        <f aca="false">[2]Sheet1!N421</f>
        <v>0</v>
      </c>
      <c r="P421" s="226" t="n">
        <f aca="false">SUM(AY421+BA421)</f>
        <v>0</v>
      </c>
      <c r="Q421" s="201"/>
      <c r="R421" s="71"/>
      <c r="S421" s="227"/>
      <c r="T421" s="71"/>
      <c r="U421" s="201"/>
      <c r="V421" s="71"/>
      <c r="W421" s="227"/>
      <c r="X421" s="71"/>
      <c r="Y421" s="201"/>
      <c r="Z421" s="71"/>
      <c r="AA421" s="227"/>
      <c r="AB421" s="71"/>
      <c r="AC421" s="201"/>
      <c r="AD421" s="71"/>
      <c r="AE421" s="227"/>
      <c r="AF421" s="71"/>
      <c r="AG421" s="201"/>
      <c r="AH421" s="71"/>
      <c r="AI421" s="227"/>
      <c r="AJ421" s="71"/>
      <c r="AK421" s="201"/>
      <c r="AL421" s="71"/>
      <c r="AM421" s="227"/>
      <c r="AN421" s="71"/>
      <c r="AO421" s="201"/>
      <c r="AP421" s="71"/>
      <c r="AQ421" s="227"/>
      <c r="AR421" s="71"/>
      <c r="AS421" s="227"/>
      <c r="AT421" s="228"/>
      <c r="AU421" s="227"/>
      <c r="AV421" s="228"/>
      <c r="AW421" s="227"/>
      <c r="AX421" s="229" t="n">
        <f aca="false">SUM(R421+T421+V421+X421+Z421+AB421+AD421+AF421+AH421+AJ421+AL421+AN421+AP421+AR421)</f>
        <v>0</v>
      </c>
      <c r="AY421" s="230" t="n">
        <f aca="false">SUM(AX421*1000)/48</f>
        <v>0</v>
      </c>
      <c r="AZ421" s="231" t="n">
        <f aca="false">IFERROR(VLOOKUP(A421,'Site check'!$A$14:$O$47,15,0),0)</f>
        <v>0</v>
      </c>
      <c r="BA421" s="232" t="n">
        <f aca="false">SUM(AZ421*1000)/48</f>
        <v>0</v>
      </c>
      <c r="BB421" s="90" t="n">
        <f aca="false">SUM(P421/2)+E421</f>
        <v>25</v>
      </c>
      <c r="BC421" s="90" t="n">
        <f aca="false">SUM(P421/2)+F421</f>
        <v>25</v>
      </c>
    </row>
    <row r="422" customFormat="false" ht="13.15" hidden="false" customHeight="false" outlineLevel="0" collapsed="false">
      <c r="A422" s="0" t="str">
        <f aca="false">[2]Sheet1!A422</f>
        <v>DCDB_WKGN01_EF1.</v>
      </c>
      <c r="B422" s="0" t="str">
        <f aca="false">[2]Sheet1!B422</f>
        <v>WKGN01;DC SYS01</v>
      </c>
      <c r="C422" s="44" t="str">
        <f aca="false">[2]Sheet1!C422</f>
        <v>WKGN01</v>
      </c>
      <c r="D422" s="44" t="s">
        <v>821</v>
      </c>
      <c r="E422" s="0" t="n">
        <f aca="false">[2]Sheet1!D422</f>
        <v>20</v>
      </c>
      <c r="F422" s="0" t="n">
        <f aca="false">[2]Sheet1!E422</f>
        <v>20</v>
      </c>
      <c r="G422" s="45" t="n">
        <f aca="false">[2]Sheet1!F422</f>
        <v>0</v>
      </c>
      <c r="H422" s="0" t="n">
        <f aca="false">[2]Sheet1!G422</f>
        <v>300</v>
      </c>
      <c r="I422" s="0" t="n">
        <f aca="false">[2]Sheet1!H422</f>
        <v>300</v>
      </c>
      <c r="J422" s="0" t="n">
        <f aca="false">[2]Sheet1!I422</f>
        <v>6</v>
      </c>
      <c r="K422" s="0" t="n">
        <f aca="false">[2]Sheet1!J422</f>
        <v>2</v>
      </c>
      <c r="L422" s="0" t="n">
        <f aca="false">[2]Sheet1!K422</f>
        <v>7</v>
      </c>
      <c r="M422" s="0" t="n">
        <f aca="false">[2]Sheet1!L422</f>
        <v>23</v>
      </c>
      <c r="N422" s="0" t="n">
        <f aca="false">[2]Sheet1!M422</f>
        <v>11</v>
      </c>
      <c r="O422" s="0" t="n">
        <f aca="false">[2]Sheet1!N422</f>
        <v>0</v>
      </c>
      <c r="P422" s="226" t="n">
        <f aca="false">SUM(AY422+BA422)</f>
        <v>104.166666666667</v>
      </c>
      <c r="Q422" s="170" t="s">
        <v>1439</v>
      </c>
      <c r="R422" s="234" t="n">
        <v>5</v>
      </c>
      <c r="S422" s="227"/>
      <c r="T422" s="71"/>
      <c r="U422" s="201"/>
      <c r="V422" s="71"/>
      <c r="W422" s="227"/>
      <c r="X422" s="71"/>
      <c r="Y422" s="201"/>
      <c r="Z422" s="71"/>
      <c r="AA422" s="227"/>
      <c r="AB422" s="71"/>
      <c r="AC422" s="201"/>
      <c r="AD422" s="71"/>
      <c r="AE422" s="227"/>
      <c r="AF422" s="71"/>
      <c r="AG422" s="201"/>
      <c r="AH422" s="71"/>
      <c r="AI422" s="227"/>
      <c r="AJ422" s="71"/>
      <c r="AK422" s="201"/>
      <c r="AL422" s="71"/>
      <c r="AM422" s="227"/>
      <c r="AN422" s="71"/>
      <c r="AO422" s="201"/>
      <c r="AP422" s="71"/>
      <c r="AQ422" s="227"/>
      <c r="AR422" s="71"/>
      <c r="AS422" s="227"/>
      <c r="AT422" s="228"/>
      <c r="AU422" s="227"/>
      <c r="AV422" s="228"/>
      <c r="AW422" s="227"/>
      <c r="AX422" s="229" t="n">
        <f aca="false">SUM(R422+T422+V422+X422+Z422+AB422+AD422+AF422+AH422+AJ422+AL422+AN422+AP422+AR422)</f>
        <v>5</v>
      </c>
      <c r="AY422" s="230" t="n">
        <f aca="false">SUM(AX422*1000)/48</f>
        <v>104.166666666667</v>
      </c>
      <c r="AZ422" s="231" t="n">
        <f aca="false">IFERROR(VLOOKUP(A422,'Site check'!$A$14:$O$47,15,0),0)</f>
        <v>0</v>
      </c>
      <c r="BA422" s="232" t="n">
        <f aca="false">SUM(AZ422*1000)/48</f>
        <v>0</v>
      </c>
      <c r="BB422" s="90" t="n">
        <f aca="false">SUM(P422/2)+E422</f>
        <v>72.0833333333333</v>
      </c>
      <c r="BC422" s="90" t="n">
        <f aca="false">SUM(P422/2)+F422</f>
        <v>72.0833333333333</v>
      </c>
    </row>
    <row r="423" customFormat="false" ht="13.15" hidden="false" customHeight="false" outlineLevel="0" collapsed="false">
      <c r="A423" s="0" t="str">
        <f aca="false">[2]Sheet1!A423</f>
        <v>ASMN02_SEC_DD770_CD1</v>
      </c>
      <c r="B423" s="0" t="str">
        <f aca="false">[2]Sheet1!B423</f>
        <v>ASMN02;DC SYS01</v>
      </c>
      <c r="C423" s="44" t="str">
        <f aca="false">[2]Sheet1!C423</f>
        <v>ASMN02</v>
      </c>
      <c r="D423" s="44" t="s">
        <v>363</v>
      </c>
      <c r="E423" s="0" t="n">
        <f aca="false">[2]Sheet1!D423</f>
        <v>20</v>
      </c>
      <c r="F423" s="0" t="n">
        <f aca="false">[2]Sheet1!E423</f>
        <v>20</v>
      </c>
      <c r="G423" s="45" t="n">
        <f aca="false">[2]Sheet1!F423</f>
        <v>44119</v>
      </c>
      <c r="H423" s="0" t="n">
        <f aca="false">[2]Sheet1!G423</f>
        <v>300</v>
      </c>
      <c r="I423" s="0" t="n">
        <f aca="false">[2]Sheet1!H423</f>
        <v>300</v>
      </c>
      <c r="J423" s="0" t="n">
        <f aca="false">[2]Sheet1!I423</f>
        <v>6</v>
      </c>
      <c r="K423" s="0" t="n">
        <f aca="false">[2]Sheet1!J423</f>
        <v>5</v>
      </c>
      <c r="L423" s="0" t="n">
        <f aca="false">[2]Sheet1!K423</f>
        <v>7</v>
      </c>
      <c r="M423" s="0" t="n">
        <f aca="false">[2]Sheet1!L423</f>
        <v>23</v>
      </c>
      <c r="N423" s="0" t="n">
        <f aca="false">[2]Sheet1!M423</f>
        <v>12</v>
      </c>
      <c r="O423" s="0" t="n">
        <f aca="false">[2]Sheet1!N423</f>
        <v>0</v>
      </c>
      <c r="P423" s="226" t="n">
        <f aca="false">SUM(AY423+BA423)</f>
        <v>0</v>
      </c>
      <c r="Q423" s="201"/>
      <c r="R423" s="71"/>
      <c r="S423" s="227"/>
      <c r="T423" s="71"/>
      <c r="U423" s="201"/>
      <c r="V423" s="71"/>
      <c r="W423" s="227"/>
      <c r="X423" s="71"/>
      <c r="Y423" s="201"/>
      <c r="Z423" s="71"/>
      <c r="AA423" s="227"/>
      <c r="AB423" s="71"/>
      <c r="AC423" s="201"/>
      <c r="AD423" s="71"/>
      <c r="AE423" s="227"/>
      <c r="AF423" s="71"/>
      <c r="AG423" s="201"/>
      <c r="AH423" s="71"/>
      <c r="AI423" s="227"/>
      <c r="AJ423" s="71"/>
      <c r="AK423" s="201"/>
      <c r="AL423" s="71"/>
      <c r="AM423" s="227"/>
      <c r="AN423" s="71"/>
      <c r="AO423" s="201"/>
      <c r="AP423" s="71"/>
      <c r="AQ423" s="227"/>
      <c r="AR423" s="71"/>
      <c r="AS423" s="227"/>
      <c r="AT423" s="228"/>
      <c r="AU423" s="227"/>
      <c r="AV423" s="228"/>
      <c r="AW423" s="227"/>
      <c r="AX423" s="229" t="n">
        <f aca="false">SUM(R423+T423+V423+X423+Z423+AB423+AD423+AF423+AH423+AJ423+AL423+AN423+AP423+AR423)</f>
        <v>0</v>
      </c>
      <c r="AY423" s="230" t="n">
        <f aca="false">SUM(AX423*1000)/48</f>
        <v>0</v>
      </c>
      <c r="AZ423" s="231" t="n">
        <f aca="false">IFERROR(VLOOKUP(A423,'Site check'!$A$14:$O$47,15,0),0)</f>
        <v>0</v>
      </c>
      <c r="BA423" s="232" t="n">
        <f aca="false">SUM(AZ423*1000)/48</f>
        <v>0</v>
      </c>
      <c r="BB423" s="90" t="n">
        <f aca="false">SUM(P423/2)+E423</f>
        <v>20</v>
      </c>
      <c r="BC423" s="90" t="n">
        <f aca="false">SUM(P423/2)+F423</f>
        <v>20</v>
      </c>
    </row>
    <row r="424" customFormat="false" ht="13.15" hidden="false" customHeight="false" outlineLevel="0" collapsed="false">
      <c r="A424" s="0" t="str">
        <f aca="false">[2]Sheet1!A424</f>
        <v>ASMN02_SEC_DD770_EF1</v>
      </c>
      <c r="B424" s="0" t="str">
        <f aca="false">[2]Sheet1!B424</f>
        <v>ASMN02;DC SYS01</v>
      </c>
      <c r="C424" s="44" t="str">
        <f aca="false">[2]Sheet1!C424</f>
        <v>ASMN02</v>
      </c>
      <c r="D424" s="44" t="s">
        <v>363</v>
      </c>
      <c r="E424" s="0" t="n">
        <f aca="false">[2]Sheet1!D424</f>
        <v>0</v>
      </c>
      <c r="F424" s="0" t="n">
        <f aca="false">[2]Sheet1!E424</f>
        <v>0</v>
      </c>
      <c r="G424" s="45" t="n">
        <f aca="false">[2]Sheet1!F424</f>
        <v>44119</v>
      </c>
      <c r="H424" s="0" t="n">
        <f aca="false">[2]Sheet1!G424</f>
        <v>0</v>
      </c>
      <c r="I424" s="0" t="n">
        <f aca="false">[2]Sheet1!H424</f>
        <v>0</v>
      </c>
      <c r="J424" s="0" t="n">
        <f aca="false">[2]Sheet1!I424</f>
        <v>0</v>
      </c>
      <c r="K424" s="0" t="n">
        <f aca="false">[2]Sheet1!J424</f>
        <v>6</v>
      </c>
      <c r="L424" s="0" t="n">
        <f aca="false">[2]Sheet1!K424</f>
        <v>0</v>
      </c>
      <c r="M424" s="0" t="n">
        <f aca="false">[2]Sheet1!L424</f>
        <v>24</v>
      </c>
      <c r="N424" s="0" t="n">
        <f aca="false">[2]Sheet1!M424</f>
        <v>12</v>
      </c>
      <c r="O424" s="0" t="n">
        <f aca="false">[2]Sheet1!N424</f>
        <v>6</v>
      </c>
      <c r="P424" s="226" t="n">
        <f aca="false">SUM(AY424+BA424)</f>
        <v>0</v>
      </c>
      <c r="Q424" s="201"/>
      <c r="R424" s="71"/>
      <c r="S424" s="227"/>
      <c r="T424" s="71"/>
      <c r="U424" s="201"/>
      <c r="V424" s="71"/>
      <c r="W424" s="227"/>
      <c r="X424" s="71"/>
      <c r="Y424" s="201"/>
      <c r="Z424" s="71"/>
      <c r="AA424" s="227"/>
      <c r="AB424" s="71"/>
      <c r="AC424" s="201"/>
      <c r="AD424" s="71"/>
      <c r="AE424" s="227"/>
      <c r="AF424" s="71"/>
      <c r="AG424" s="201"/>
      <c r="AH424" s="71"/>
      <c r="AI424" s="227"/>
      <c r="AJ424" s="71"/>
      <c r="AK424" s="201"/>
      <c r="AL424" s="71"/>
      <c r="AM424" s="227"/>
      <c r="AN424" s="71"/>
      <c r="AO424" s="201"/>
      <c r="AP424" s="71"/>
      <c r="AQ424" s="227"/>
      <c r="AR424" s="71"/>
      <c r="AS424" s="227"/>
      <c r="AT424" s="228"/>
      <c r="AU424" s="227"/>
      <c r="AV424" s="228"/>
      <c r="AW424" s="227"/>
      <c r="AX424" s="229" t="n">
        <f aca="false">SUM(R424+T424+V424+X424+Z424+AB424+AD424+AF424+AH424+AJ424+AL424+AN424+AP424+AR424)</f>
        <v>0</v>
      </c>
      <c r="AY424" s="230" t="n">
        <f aca="false">SUM(AX424*1000)/48</f>
        <v>0</v>
      </c>
      <c r="AZ424" s="231" t="n">
        <f aca="false">IFERROR(VLOOKUP(A424,'Site check'!$A$14:$O$47,15,0),0)</f>
        <v>0</v>
      </c>
      <c r="BA424" s="232" t="n">
        <f aca="false">SUM(AZ424*1000)/48</f>
        <v>0</v>
      </c>
      <c r="BB424" s="90" t="n">
        <f aca="false">SUM(P424/2)+E424</f>
        <v>0</v>
      </c>
      <c r="BC424" s="90" t="n">
        <f aca="false">SUM(P424/2)+F424</f>
        <v>0</v>
      </c>
    </row>
    <row r="425" customFormat="false" ht="13.15" hidden="false" customHeight="false" outlineLevel="0" collapsed="false">
      <c r="A425" s="0" t="str">
        <f aca="false">[2]Sheet1!A425</f>
        <v>BKLN05_SEC_CBDB_BUBV01</v>
      </c>
      <c r="B425" s="0" t="str">
        <f aca="false">[2]Sheet1!B425</f>
        <v>BKLN05;DC SYS03;NEAR CK</v>
      </c>
      <c r="C425" s="44" t="str">
        <f aca="false">[2]Sheet1!C425</f>
        <v>BKLN05</v>
      </c>
      <c r="D425" s="44" t="s">
        <v>427</v>
      </c>
      <c r="E425" s="0" t="n">
        <f aca="false">[2]Sheet1!D425</f>
        <v>225</v>
      </c>
      <c r="F425" s="0" t="n">
        <f aca="false">[2]Sheet1!E425</f>
        <v>225</v>
      </c>
      <c r="G425" s="45" t="n">
        <f aca="false">[2]Sheet1!F425</f>
        <v>45358</v>
      </c>
      <c r="H425" s="0" t="n">
        <f aca="false">[2]Sheet1!G425</f>
        <v>300</v>
      </c>
      <c r="I425" s="0" t="n">
        <f aca="false">[2]Sheet1!H425</f>
        <v>300</v>
      </c>
      <c r="J425" s="0" t="n">
        <f aca="false">[2]Sheet1!I425</f>
        <v>0</v>
      </c>
      <c r="K425" s="0" t="n">
        <f aca="false">[2]Sheet1!J425</f>
        <v>3</v>
      </c>
      <c r="L425" s="0" t="n">
        <f aca="false">[2]Sheet1!K425</f>
        <v>0</v>
      </c>
      <c r="M425" s="0" t="n">
        <f aca="false">[2]Sheet1!L425</f>
        <v>0</v>
      </c>
      <c r="N425" s="0" t="n">
        <f aca="false">[2]Sheet1!M425</f>
        <v>0</v>
      </c>
      <c r="O425" s="0" t="n">
        <f aca="false">[2]Sheet1!N425</f>
        <v>26</v>
      </c>
      <c r="P425" s="226" t="n">
        <f aca="false">SUM(AY425+BA425)</f>
        <v>102.291666666667</v>
      </c>
      <c r="Q425" s="204" t="s">
        <v>1035</v>
      </c>
      <c r="R425" s="241" t="n">
        <v>4.91</v>
      </c>
      <c r="S425" s="227"/>
      <c r="T425" s="71"/>
      <c r="U425" s="201"/>
      <c r="V425" s="71"/>
      <c r="W425" s="227"/>
      <c r="X425" s="71"/>
      <c r="Y425" s="201"/>
      <c r="Z425" s="71"/>
      <c r="AA425" s="227"/>
      <c r="AB425" s="71"/>
      <c r="AC425" s="201"/>
      <c r="AD425" s="71"/>
      <c r="AE425" s="227"/>
      <c r="AF425" s="71"/>
      <c r="AG425" s="201"/>
      <c r="AH425" s="71"/>
      <c r="AI425" s="227"/>
      <c r="AJ425" s="71"/>
      <c r="AK425" s="201"/>
      <c r="AL425" s="71"/>
      <c r="AM425" s="227"/>
      <c r="AN425" s="71"/>
      <c r="AO425" s="201"/>
      <c r="AP425" s="71"/>
      <c r="AQ425" s="227"/>
      <c r="AR425" s="71"/>
      <c r="AS425" s="227"/>
      <c r="AT425" s="228"/>
      <c r="AU425" s="227"/>
      <c r="AV425" s="228"/>
      <c r="AW425" s="227"/>
      <c r="AX425" s="229" t="n">
        <f aca="false">SUM(R425+T425+V425+X425+Z425+AB425+AD425+AF425+AH425+AJ425+AL425+AN425+AP425+AR425)</f>
        <v>4.91</v>
      </c>
      <c r="AY425" s="230" t="n">
        <f aca="false">SUM(AX425*1000)/48</f>
        <v>102.291666666667</v>
      </c>
      <c r="AZ425" s="231" t="n">
        <f aca="false">IFERROR(VLOOKUP(A425,'Site check'!$A$14:$O$47,15,0),0)</f>
        <v>0</v>
      </c>
      <c r="BA425" s="232" t="n">
        <f aca="false">SUM(AZ425*1000)/48</f>
        <v>0</v>
      </c>
      <c r="BB425" s="90" t="n">
        <f aca="false">SUM(P425/2)+E425</f>
        <v>276.145833333333</v>
      </c>
      <c r="BC425" s="90" t="n">
        <f aca="false">SUM(P425/2)+F425</f>
        <v>276.145833333333</v>
      </c>
    </row>
    <row r="426" customFormat="false" ht="13.15" hidden="false" customHeight="false" outlineLevel="0" collapsed="false">
      <c r="A426" s="0" t="str">
        <f aca="false">[2]Sheet1!A426</f>
        <v>BKLN05_SEC_CBDB_BWBX01</v>
      </c>
      <c r="B426" s="0" t="str">
        <f aca="false">[2]Sheet1!B426</f>
        <v>BKLN05;DC SYS02</v>
      </c>
      <c r="C426" s="44" t="str">
        <f aca="false">[2]Sheet1!C426</f>
        <v>BKLN05</v>
      </c>
      <c r="D426" s="44" t="s">
        <v>427</v>
      </c>
      <c r="E426" s="0" t="n">
        <f aca="false">[2]Sheet1!D426</f>
        <v>100</v>
      </c>
      <c r="F426" s="0" t="n">
        <f aca="false">[2]Sheet1!E426</f>
        <v>110</v>
      </c>
      <c r="G426" s="45" t="n">
        <f aca="false">[2]Sheet1!F426</f>
        <v>44470</v>
      </c>
      <c r="H426" s="0" t="n">
        <f aca="false">[2]Sheet1!G426</f>
        <v>300</v>
      </c>
      <c r="I426" s="0" t="n">
        <f aca="false">[2]Sheet1!H426</f>
        <v>300</v>
      </c>
      <c r="J426" s="0" t="n">
        <f aca="false">[2]Sheet1!I426</f>
        <v>0</v>
      </c>
      <c r="K426" s="0" t="n">
        <f aca="false">[2]Sheet1!J426</f>
        <v>0</v>
      </c>
      <c r="L426" s="0" t="n">
        <f aca="false">[2]Sheet1!K426</f>
        <v>0</v>
      </c>
      <c r="M426" s="0" t="n">
        <f aca="false">[2]Sheet1!L426</f>
        <v>0</v>
      </c>
      <c r="N426" s="0" t="n">
        <f aca="false">[2]Sheet1!M426</f>
        <v>0</v>
      </c>
      <c r="O426" s="0" t="n">
        <f aca="false">[2]Sheet1!N426</f>
        <v>48</v>
      </c>
      <c r="P426" s="226" t="n">
        <f aca="false">SUM(AY426+BA426)</f>
        <v>183.333333333333</v>
      </c>
      <c r="Q426" s="181" t="s">
        <v>1013</v>
      </c>
      <c r="R426" s="237" t="n">
        <v>2</v>
      </c>
      <c r="S426" s="181" t="s">
        <v>1014</v>
      </c>
      <c r="T426" s="237" t="n">
        <v>2.9</v>
      </c>
      <c r="U426" s="181" t="s">
        <v>1015</v>
      </c>
      <c r="V426" s="237" t="n">
        <v>3.9</v>
      </c>
      <c r="W426" s="227"/>
      <c r="X426" s="71"/>
      <c r="Y426" s="201"/>
      <c r="Z426" s="71"/>
      <c r="AA426" s="227"/>
      <c r="AB426" s="71"/>
      <c r="AC426" s="201"/>
      <c r="AD426" s="71"/>
      <c r="AE426" s="227"/>
      <c r="AF426" s="71"/>
      <c r="AG426" s="201"/>
      <c r="AH426" s="71"/>
      <c r="AI426" s="227"/>
      <c r="AJ426" s="71"/>
      <c r="AK426" s="201"/>
      <c r="AL426" s="71"/>
      <c r="AM426" s="227"/>
      <c r="AN426" s="71"/>
      <c r="AO426" s="201"/>
      <c r="AP426" s="71"/>
      <c r="AQ426" s="227"/>
      <c r="AR426" s="71"/>
      <c r="AS426" s="227"/>
      <c r="AT426" s="228"/>
      <c r="AU426" s="227"/>
      <c r="AV426" s="228"/>
      <c r="AW426" s="227"/>
      <c r="AX426" s="229" t="n">
        <f aca="false">SUM(R426+T426+V426+X426+Z426+AB426+AD426+AF426+AH426+AJ426+AL426+AN426+AP426+AR426)</f>
        <v>8.8</v>
      </c>
      <c r="AY426" s="230" t="n">
        <f aca="false">SUM(AX426*1000)/48</f>
        <v>183.333333333333</v>
      </c>
      <c r="AZ426" s="231" t="n">
        <f aca="false">IFERROR(VLOOKUP(A426,'Site check'!$A$14:$O$47,15,0),0)</f>
        <v>0</v>
      </c>
      <c r="BA426" s="232" t="n">
        <f aca="false">SUM(AZ426*1000)/48</f>
        <v>0</v>
      </c>
      <c r="BB426" s="90" t="n">
        <f aca="false">SUM(P426/2)+E426</f>
        <v>191.666666666667</v>
      </c>
      <c r="BC426" s="90" t="n">
        <f aca="false">SUM(P426/2)+F426</f>
        <v>201.666666666667</v>
      </c>
    </row>
    <row r="427" customFormat="false" ht="13.15" hidden="false" customHeight="false" outlineLevel="0" collapsed="false">
      <c r="A427" s="0" t="str">
        <f aca="false">[2]Sheet1!A427</f>
        <v>BKLN05_SEC_DD770_ACAD01</v>
      </c>
      <c r="B427" s="0" t="str">
        <f aca="false">[2]Sheet1!B427</f>
        <v>BKLN05;DC SYS02</v>
      </c>
      <c r="C427" s="44" t="str">
        <f aca="false">[2]Sheet1!C427</f>
        <v>BKLN05</v>
      </c>
      <c r="D427" s="44" t="s">
        <v>427</v>
      </c>
      <c r="E427" s="0" t="n">
        <f aca="false">[2]Sheet1!D427</f>
        <v>120</v>
      </c>
      <c r="F427" s="0" t="n">
        <f aca="false">[2]Sheet1!E427</f>
        <v>120</v>
      </c>
      <c r="G427" s="45" t="n">
        <f aca="false">[2]Sheet1!F427</f>
        <v>44484</v>
      </c>
      <c r="H427" s="0" t="n">
        <f aca="false">[2]Sheet1!G427</f>
        <v>300</v>
      </c>
      <c r="I427" s="0" t="n">
        <f aca="false">[2]Sheet1!H427</f>
        <v>300</v>
      </c>
      <c r="J427" s="0" t="n">
        <f aca="false">[2]Sheet1!I427</f>
        <v>3</v>
      </c>
      <c r="K427" s="0" t="n">
        <f aca="false">[2]Sheet1!J427</f>
        <v>6</v>
      </c>
      <c r="L427" s="0" t="n">
        <f aca="false">[2]Sheet1!K427</f>
        <v>0</v>
      </c>
      <c r="M427" s="0" t="n">
        <f aca="false">[2]Sheet1!L427</f>
        <v>13</v>
      </c>
      <c r="N427" s="0" t="n">
        <f aca="false">[2]Sheet1!M427</f>
        <v>10</v>
      </c>
      <c r="O427" s="0" t="n">
        <f aca="false">[2]Sheet1!N427</f>
        <v>7</v>
      </c>
      <c r="P427" s="226" t="n">
        <f aca="false">SUM(AY427+BA427)</f>
        <v>125</v>
      </c>
      <c r="Q427" s="190" t="s">
        <v>1030</v>
      </c>
      <c r="R427" s="250" t="n">
        <v>2</v>
      </c>
      <c r="S427" s="198" t="s">
        <v>1031</v>
      </c>
      <c r="T427" s="239" t="n">
        <v>2</v>
      </c>
      <c r="U427" s="190" t="s">
        <v>1032</v>
      </c>
      <c r="V427" s="250" t="n">
        <v>2</v>
      </c>
      <c r="W427" s="227"/>
      <c r="X427" s="71"/>
      <c r="Y427" s="201"/>
      <c r="Z427" s="71"/>
      <c r="AA427" s="227"/>
      <c r="AB427" s="71"/>
      <c r="AC427" s="201"/>
      <c r="AD427" s="71"/>
      <c r="AE427" s="227"/>
      <c r="AF427" s="71"/>
      <c r="AG427" s="201"/>
      <c r="AH427" s="71"/>
      <c r="AI427" s="227"/>
      <c r="AJ427" s="71"/>
      <c r="AK427" s="201"/>
      <c r="AL427" s="71"/>
      <c r="AM427" s="227"/>
      <c r="AN427" s="71"/>
      <c r="AO427" s="201"/>
      <c r="AP427" s="71"/>
      <c r="AQ427" s="227"/>
      <c r="AR427" s="71"/>
      <c r="AS427" s="227"/>
      <c r="AT427" s="228"/>
      <c r="AU427" s="227"/>
      <c r="AV427" s="228"/>
      <c r="AW427" s="227"/>
      <c r="AX427" s="229" t="n">
        <f aca="false">SUM(R427+T427+V427+X427+Z427+AB427+AD427+AF427+AH427+AJ427+AL427+AN427+AP427+AR427)</f>
        <v>6</v>
      </c>
      <c r="AY427" s="230" t="n">
        <f aca="false">SUM(AX427*1000)/48</f>
        <v>125</v>
      </c>
      <c r="AZ427" s="231" t="n">
        <f aca="false">IFERROR(VLOOKUP(A427,'Site check'!$A$14:$O$47,15,0),0)</f>
        <v>0</v>
      </c>
      <c r="BA427" s="232" t="n">
        <f aca="false">SUM(AZ427*1000)/48</f>
        <v>0</v>
      </c>
      <c r="BB427" s="90" t="n">
        <f aca="false">SUM(P427/2)+E427</f>
        <v>182.5</v>
      </c>
      <c r="BC427" s="90" t="n">
        <f aca="false">SUM(P427/2)+F427</f>
        <v>182.5</v>
      </c>
    </row>
    <row r="428" customFormat="false" ht="13.15" hidden="false" customHeight="false" outlineLevel="0" collapsed="false">
      <c r="A428" s="0" t="str">
        <f aca="false">[2]Sheet1!A428</f>
        <v>BKLN05_SEC_DD770_AGAH01</v>
      </c>
      <c r="B428" s="0" t="str">
        <f aca="false">[2]Sheet1!B428</f>
        <v>BKLN05;DC SYS03;NEAR CK</v>
      </c>
      <c r="C428" s="44" t="str">
        <f aca="false">[2]Sheet1!C428</f>
        <v>BKLN05</v>
      </c>
      <c r="D428" s="44" t="s">
        <v>427</v>
      </c>
      <c r="E428" s="0" t="n">
        <f aca="false">[2]Sheet1!D428</f>
        <v>90</v>
      </c>
      <c r="F428" s="0" t="n">
        <f aca="false">[2]Sheet1!E428</f>
        <v>85</v>
      </c>
      <c r="G428" s="45" t="n">
        <f aca="false">[2]Sheet1!F428</f>
        <v>44470</v>
      </c>
      <c r="H428" s="0" t="n">
        <f aca="false">[2]Sheet1!G428</f>
        <v>300</v>
      </c>
      <c r="I428" s="0" t="n">
        <f aca="false">[2]Sheet1!H428</f>
        <v>300</v>
      </c>
      <c r="J428" s="0" t="n">
        <f aca="false">[2]Sheet1!I428</f>
        <v>5</v>
      </c>
      <c r="K428" s="0" t="n">
        <f aca="false">[2]Sheet1!J428</f>
        <v>5</v>
      </c>
      <c r="L428" s="0" t="n">
        <f aca="false">[2]Sheet1!K428</f>
        <v>0</v>
      </c>
      <c r="M428" s="0" t="n">
        <f aca="false">[2]Sheet1!L428</f>
        <v>3</v>
      </c>
      <c r="N428" s="0" t="n">
        <f aca="false">[2]Sheet1!M428</f>
        <v>12</v>
      </c>
      <c r="O428" s="0" t="n">
        <f aca="false">[2]Sheet1!N428</f>
        <v>0</v>
      </c>
      <c r="P428" s="226" t="n">
        <f aca="false">SUM(AY428+BA428)</f>
        <v>0</v>
      </c>
      <c r="Q428" s="179"/>
      <c r="R428" s="233"/>
      <c r="S428" s="227"/>
      <c r="T428" s="71"/>
      <c r="U428" s="201"/>
      <c r="V428" s="71"/>
      <c r="W428" s="227"/>
      <c r="X428" s="71"/>
      <c r="Y428" s="201"/>
      <c r="Z428" s="71"/>
      <c r="AA428" s="227"/>
      <c r="AB428" s="71"/>
      <c r="AC428" s="201"/>
      <c r="AD428" s="71"/>
      <c r="AE428" s="227"/>
      <c r="AF428" s="71"/>
      <c r="AG428" s="201"/>
      <c r="AH428" s="71"/>
      <c r="AI428" s="227"/>
      <c r="AJ428" s="71"/>
      <c r="AK428" s="201"/>
      <c r="AL428" s="71"/>
      <c r="AM428" s="227"/>
      <c r="AN428" s="71"/>
      <c r="AO428" s="201"/>
      <c r="AP428" s="71"/>
      <c r="AQ428" s="227"/>
      <c r="AR428" s="71"/>
      <c r="AS428" s="227"/>
      <c r="AT428" s="228"/>
      <c r="AU428" s="227"/>
      <c r="AV428" s="228"/>
      <c r="AW428" s="227"/>
      <c r="AX428" s="229" t="n">
        <f aca="false">SUM(R428+T428+V428+X428+Z428+AB428+AD428+AF428+AH428+AJ428+AL428+AN428+AP428+AR428)</f>
        <v>0</v>
      </c>
      <c r="AY428" s="230" t="n">
        <f aca="false">SUM(AX428*1000)/48</f>
        <v>0</v>
      </c>
      <c r="AZ428" s="231" t="n">
        <f aca="false">IFERROR(VLOOKUP(A428,'Site check'!$A$14:$O$47,15,0),0)</f>
        <v>0</v>
      </c>
      <c r="BA428" s="232" t="n">
        <f aca="false">SUM(AZ428*1000)/48</f>
        <v>0</v>
      </c>
      <c r="BB428" s="90" t="n">
        <f aca="false">SUM(P428/2)+E428</f>
        <v>90</v>
      </c>
      <c r="BC428" s="90" t="n">
        <f aca="false">SUM(P428/2)+F428</f>
        <v>85</v>
      </c>
    </row>
    <row r="429" customFormat="false" ht="13.15" hidden="false" customHeight="false" outlineLevel="0" collapsed="false">
      <c r="A429" s="0" t="str">
        <f aca="false">[2]Sheet1!A429</f>
        <v>BKLN05_SEC_DD770_BABB01</v>
      </c>
      <c r="B429" s="0" t="str">
        <f aca="false">[2]Sheet1!B429</f>
        <v>BKLN05-DCSYS04a</v>
      </c>
      <c r="C429" s="44" t="str">
        <f aca="false">[2]Sheet1!C429</f>
        <v>BKLN05</v>
      </c>
      <c r="D429" s="44" t="s">
        <v>427</v>
      </c>
      <c r="E429" s="0" t="n">
        <f aca="false">[2]Sheet1!D429</f>
        <v>190</v>
      </c>
      <c r="F429" s="0" t="n">
        <f aca="false">[2]Sheet1!E429</f>
        <v>195</v>
      </c>
      <c r="G429" s="45" t="n">
        <f aca="false">[2]Sheet1!F429</f>
        <v>44470</v>
      </c>
      <c r="H429" s="0" t="n">
        <f aca="false">[2]Sheet1!G429</f>
        <v>300</v>
      </c>
      <c r="I429" s="0" t="n">
        <f aca="false">[2]Sheet1!H429</f>
        <v>300</v>
      </c>
      <c r="J429" s="0" t="n">
        <f aca="false">[2]Sheet1!I429</f>
        <v>2</v>
      </c>
      <c r="K429" s="0" t="n">
        <f aca="false">[2]Sheet1!J429</f>
        <v>3</v>
      </c>
      <c r="L429" s="0" t="n">
        <f aca="false">[2]Sheet1!K429</f>
        <v>0</v>
      </c>
      <c r="M429" s="0" t="n">
        <f aca="false">[2]Sheet1!L429</f>
        <v>9</v>
      </c>
      <c r="N429" s="0" t="n">
        <f aca="false">[2]Sheet1!M429</f>
        <v>12</v>
      </c>
      <c r="O429" s="0" t="n">
        <f aca="false">[2]Sheet1!N429</f>
        <v>0</v>
      </c>
      <c r="P429" s="226" t="n">
        <f aca="false">SUM(AY429+BA429)</f>
        <v>93.75</v>
      </c>
      <c r="Q429" s="177" t="s">
        <v>1548</v>
      </c>
      <c r="R429" s="235" t="n">
        <v>4.5</v>
      </c>
      <c r="S429" s="227"/>
      <c r="T429" s="71"/>
      <c r="U429" s="201"/>
      <c r="V429" s="71"/>
      <c r="W429" s="227"/>
      <c r="X429" s="71"/>
      <c r="Y429" s="201"/>
      <c r="Z429" s="71"/>
      <c r="AA429" s="227"/>
      <c r="AB429" s="71"/>
      <c r="AC429" s="201"/>
      <c r="AD429" s="71"/>
      <c r="AE429" s="227"/>
      <c r="AF429" s="71"/>
      <c r="AG429" s="201"/>
      <c r="AH429" s="71"/>
      <c r="AI429" s="227"/>
      <c r="AJ429" s="71"/>
      <c r="AK429" s="201"/>
      <c r="AL429" s="71"/>
      <c r="AM429" s="227"/>
      <c r="AN429" s="71"/>
      <c r="AO429" s="201"/>
      <c r="AP429" s="71"/>
      <c r="AQ429" s="227"/>
      <c r="AR429" s="71"/>
      <c r="AS429" s="227"/>
      <c r="AT429" s="228"/>
      <c r="AU429" s="227"/>
      <c r="AV429" s="228"/>
      <c r="AW429" s="227"/>
      <c r="AX429" s="229" t="n">
        <f aca="false">SUM(R429+T429+V429+X429+Z429+AB429+AD429+AF429+AH429+AJ429+AL429+AN429+AP429+AR429)</f>
        <v>4.5</v>
      </c>
      <c r="AY429" s="230" t="n">
        <f aca="false">SUM(AX429*1000)/48</f>
        <v>93.75</v>
      </c>
      <c r="AZ429" s="231" t="n">
        <f aca="false">IFERROR(VLOOKUP(A429,'Site check'!$A$14:$O$47,15,0),0)</f>
        <v>0</v>
      </c>
      <c r="BA429" s="232" t="n">
        <f aca="false">SUM(AZ429*1000)/48</f>
        <v>0</v>
      </c>
      <c r="BB429" s="90" t="n">
        <f aca="false">SUM(P429/2)+E429</f>
        <v>236.875</v>
      </c>
      <c r="BC429" s="90" t="n">
        <f aca="false">SUM(P429/2)+F429</f>
        <v>241.875</v>
      </c>
    </row>
    <row r="430" customFormat="false" ht="13.15" hidden="false" customHeight="false" outlineLevel="0" collapsed="false">
      <c r="A430" s="0" t="str">
        <f aca="false">[2]Sheet1!A430</f>
        <v>BKLN05_SEC_DD770_BLBM01</v>
      </c>
      <c r="B430" s="0" t="str">
        <f aca="false">[2]Sheet1!B430</f>
        <v>BKLN05-DCSYS04a</v>
      </c>
      <c r="C430" s="44" t="str">
        <f aca="false">[2]Sheet1!C430</f>
        <v>BKLN05</v>
      </c>
      <c r="D430" s="44" t="s">
        <v>427</v>
      </c>
      <c r="E430" s="0" t="n">
        <f aca="false">[2]Sheet1!D430</f>
        <v>115</v>
      </c>
      <c r="F430" s="0" t="n">
        <f aca="false">[2]Sheet1!E430</f>
        <v>100</v>
      </c>
      <c r="G430" s="45" t="n">
        <f aca="false">[2]Sheet1!F430</f>
        <v>44470</v>
      </c>
      <c r="H430" s="0" t="n">
        <f aca="false">[2]Sheet1!G430</f>
        <v>300</v>
      </c>
      <c r="I430" s="0" t="n">
        <f aca="false">[2]Sheet1!H430</f>
        <v>300</v>
      </c>
      <c r="J430" s="0" t="n">
        <f aca="false">[2]Sheet1!I430</f>
        <v>0</v>
      </c>
      <c r="K430" s="0" t="n">
        <f aca="false">[2]Sheet1!J430</f>
        <v>0</v>
      </c>
      <c r="L430" s="0" t="n">
        <f aca="false">[2]Sheet1!K430</f>
        <v>0</v>
      </c>
      <c r="M430" s="0" t="n">
        <f aca="false">[2]Sheet1!L430</f>
        <v>17</v>
      </c>
      <c r="N430" s="0" t="n">
        <f aca="false">[2]Sheet1!M430</f>
        <v>6</v>
      </c>
      <c r="O430" s="0" t="n">
        <f aca="false">[2]Sheet1!N430</f>
        <v>0</v>
      </c>
      <c r="P430" s="226" t="n">
        <f aca="false">SUM(AY430+BA430)</f>
        <v>20.8333333333333</v>
      </c>
      <c r="Q430" s="179" t="s">
        <v>1549</v>
      </c>
      <c r="R430" s="233" t="n">
        <v>1</v>
      </c>
      <c r="S430" s="227"/>
      <c r="T430" s="71"/>
      <c r="U430" s="201"/>
      <c r="V430" s="71"/>
      <c r="W430" s="227"/>
      <c r="X430" s="71"/>
      <c r="Y430" s="201"/>
      <c r="Z430" s="71"/>
      <c r="AA430" s="227"/>
      <c r="AB430" s="71"/>
      <c r="AC430" s="201"/>
      <c r="AD430" s="71"/>
      <c r="AE430" s="227"/>
      <c r="AF430" s="71"/>
      <c r="AG430" s="201"/>
      <c r="AH430" s="71"/>
      <c r="AI430" s="227"/>
      <c r="AJ430" s="71"/>
      <c r="AK430" s="201"/>
      <c r="AL430" s="71"/>
      <c r="AM430" s="227"/>
      <c r="AN430" s="71"/>
      <c r="AO430" s="201"/>
      <c r="AP430" s="71"/>
      <c r="AQ430" s="227"/>
      <c r="AR430" s="71"/>
      <c r="AS430" s="227"/>
      <c r="AT430" s="228"/>
      <c r="AU430" s="227"/>
      <c r="AV430" s="228"/>
      <c r="AW430" s="227"/>
      <c r="AX430" s="229" t="n">
        <f aca="false">SUM(R430+T430+V430+X430+Z430+AB430+AD430+AF430+AH430+AJ430+AL430+AN430+AP430+AR430)</f>
        <v>1</v>
      </c>
      <c r="AY430" s="230" t="n">
        <f aca="false">SUM(AX430*1000)/48</f>
        <v>20.8333333333333</v>
      </c>
      <c r="AZ430" s="231" t="n">
        <f aca="false">IFERROR(VLOOKUP(A430,'Site check'!$A$14:$O$47,15,0),0)</f>
        <v>0</v>
      </c>
      <c r="BA430" s="232" t="n">
        <f aca="false">SUM(AZ430*1000)/48</f>
        <v>0</v>
      </c>
      <c r="BB430" s="90" t="n">
        <f aca="false">SUM(P430/2)+E430</f>
        <v>125.416666666667</v>
      </c>
      <c r="BC430" s="90" t="n">
        <f aca="false">SUM(P430/2)+F430</f>
        <v>110.416666666667</v>
      </c>
    </row>
    <row r="431" customFormat="false" ht="13.15" hidden="false" customHeight="false" outlineLevel="0" collapsed="false">
      <c r="A431" s="0" t="str">
        <f aca="false">[2]Sheet1!A431</f>
        <v>BKLN05_SEC_DD770_BQBR01</v>
      </c>
      <c r="B431" s="0" t="str">
        <f aca="false">[2]Sheet1!B431</f>
        <v>BKLN05;DC SYS03;NEAR CK</v>
      </c>
      <c r="C431" s="44" t="str">
        <f aca="false">[2]Sheet1!C431</f>
        <v>BKLN05</v>
      </c>
      <c r="D431" s="44" t="s">
        <v>427</v>
      </c>
      <c r="E431" s="0" t="n">
        <f aca="false">[2]Sheet1!D431</f>
        <v>135</v>
      </c>
      <c r="F431" s="0" t="n">
        <f aca="false">[2]Sheet1!E431</f>
        <v>140</v>
      </c>
      <c r="G431" s="45" t="n">
        <f aca="false">[2]Sheet1!F431</f>
        <v>44470</v>
      </c>
      <c r="H431" s="0" t="n">
        <f aca="false">[2]Sheet1!G431</f>
        <v>300</v>
      </c>
      <c r="I431" s="0" t="n">
        <f aca="false">[2]Sheet1!H431</f>
        <v>300</v>
      </c>
      <c r="J431" s="0" t="n">
        <f aca="false">[2]Sheet1!I431</f>
        <v>0</v>
      </c>
      <c r="K431" s="0" t="n">
        <f aca="false">[2]Sheet1!J431</f>
        <v>0</v>
      </c>
      <c r="L431" s="0" t="n">
        <f aca="false">[2]Sheet1!K431</f>
        <v>0</v>
      </c>
      <c r="M431" s="0" t="n">
        <f aca="false">[2]Sheet1!L431</f>
        <v>19</v>
      </c>
      <c r="N431" s="0" t="n">
        <f aca="false">[2]Sheet1!M431</f>
        <v>8</v>
      </c>
      <c r="O431" s="0" t="n">
        <f aca="false">[2]Sheet1!N431</f>
        <v>0</v>
      </c>
      <c r="P431" s="226" t="n">
        <f aca="false">SUM(AY431+BA431)</f>
        <v>41.6666666666667</v>
      </c>
      <c r="Q431" s="179" t="s">
        <v>1018</v>
      </c>
      <c r="R431" s="180" t="n">
        <v>2</v>
      </c>
      <c r="S431" s="227"/>
      <c r="T431" s="71"/>
      <c r="U431" s="201"/>
      <c r="V431" s="71"/>
      <c r="W431" s="227"/>
      <c r="X431" s="71"/>
      <c r="Y431" s="201"/>
      <c r="Z431" s="71"/>
      <c r="AA431" s="227"/>
      <c r="AB431" s="71"/>
      <c r="AC431" s="201"/>
      <c r="AD431" s="71"/>
      <c r="AE431" s="227"/>
      <c r="AF431" s="71"/>
      <c r="AG431" s="201"/>
      <c r="AH431" s="71"/>
      <c r="AI431" s="227"/>
      <c r="AJ431" s="71"/>
      <c r="AK431" s="201"/>
      <c r="AL431" s="71"/>
      <c r="AM431" s="227"/>
      <c r="AN431" s="71"/>
      <c r="AO431" s="201"/>
      <c r="AP431" s="71"/>
      <c r="AQ431" s="227"/>
      <c r="AR431" s="71"/>
      <c r="AS431" s="227"/>
      <c r="AT431" s="228"/>
      <c r="AU431" s="227"/>
      <c r="AV431" s="228"/>
      <c r="AW431" s="227"/>
      <c r="AX431" s="229" t="n">
        <f aca="false">SUM(R431+T431+V431+X431+Z431+AB431+AD431+AF431+AH431+AJ431+AL431+AN431+AP431+AR431)</f>
        <v>2</v>
      </c>
      <c r="AY431" s="230" t="n">
        <f aca="false">SUM(AX431*1000)/48</f>
        <v>41.6666666666667</v>
      </c>
      <c r="AZ431" s="231" t="n">
        <f aca="false">IFERROR(VLOOKUP(A431,'Site check'!$A$14:$O$47,15,0),0)</f>
        <v>0</v>
      </c>
      <c r="BA431" s="232" t="n">
        <f aca="false">SUM(AZ431*1000)/48</f>
        <v>0</v>
      </c>
      <c r="BB431" s="90" t="n">
        <f aca="false">SUM(P431/2)+E431</f>
        <v>155.833333333333</v>
      </c>
      <c r="BC431" s="90" t="n">
        <f aca="false">SUM(P431/2)+F431</f>
        <v>160.833333333333</v>
      </c>
    </row>
    <row r="432" customFormat="false" ht="13.15" hidden="false" customHeight="false" outlineLevel="0" collapsed="false">
      <c r="A432" s="0" t="str">
        <f aca="false">[2]Sheet1!A432</f>
        <v>BKLN05_SEC_DD770_BYBZ01</v>
      </c>
      <c r="B432" s="0" t="str">
        <f aca="false">[2]Sheet1!B432</f>
        <v>BKLN05;DC SYS03;NEAR CK</v>
      </c>
      <c r="C432" s="44" t="str">
        <f aca="false">[2]Sheet1!C432</f>
        <v>BKLN05</v>
      </c>
      <c r="D432" s="44" t="s">
        <v>427</v>
      </c>
      <c r="E432" s="0" t="n">
        <f aca="false">[2]Sheet1!D432</f>
        <v>105</v>
      </c>
      <c r="F432" s="0" t="n">
        <f aca="false">[2]Sheet1!E432</f>
        <v>110</v>
      </c>
      <c r="G432" s="45" t="n">
        <f aca="false">[2]Sheet1!F432</f>
        <v>44473</v>
      </c>
      <c r="H432" s="0" t="n">
        <f aca="false">[2]Sheet1!G432</f>
        <v>300</v>
      </c>
      <c r="I432" s="0" t="n">
        <f aca="false">[2]Sheet1!H432</f>
        <v>300</v>
      </c>
      <c r="J432" s="0" t="n">
        <f aca="false">[2]Sheet1!I432</f>
        <v>4</v>
      </c>
      <c r="K432" s="0" t="n">
        <f aca="false">[2]Sheet1!J432</f>
        <v>6</v>
      </c>
      <c r="L432" s="0" t="n">
        <f aca="false">[2]Sheet1!K432</f>
        <v>0</v>
      </c>
      <c r="M432" s="0" t="n">
        <f aca="false">[2]Sheet1!L432</f>
        <v>11</v>
      </c>
      <c r="N432" s="0" t="n">
        <f aca="false">[2]Sheet1!M432</f>
        <v>10</v>
      </c>
      <c r="O432" s="0" t="n">
        <f aca="false">[2]Sheet1!N432</f>
        <v>0</v>
      </c>
      <c r="P432" s="226" t="n">
        <f aca="false">SUM(AY432+BA432)</f>
        <v>0</v>
      </c>
      <c r="Q432" s="201"/>
      <c r="R432" s="71"/>
      <c r="S432" s="227"/>
      <c r="T432" s="71"/>
      <c r="U432" s="201"/>
      <c r="V432" s="71"/>
      <c r="W432" s="227"/>
      <c r="X432" s="71"/>
      <c r="Y432" s="201"/>
      <c r="Z432" s="71"/>
      <c r="AA432" s="227"/>
      <c r="AB432" s="71"/>
      <c r="AC432" s="201"/>
      <c r="AD432" s="71"/>
      <c r="AE432" s="227"/>
      <c r="AF432" s="71"/>
      <c r="AG432" s="201"/>
      <c r="AH432" s="71"/>
      <c r="AI432" s="227"/>
      <c r="AJ432" s="71"/>
      <c r="AK432" s="201"/>
      <c r="AL432" s="71"/>
      <c r="AM432" s="227"/>
      <c r="AN432" s="71"/>
      <c r="AO432" s="201"/>
      <c r="AP432" s="71"/>
      <c r="AQ432" s="227"/>
      <c r="AR432" s="71"/>
      <c r="AS432" s="227"/>
      <c r="AT432" s="228"/>
      <c r="AU432" s="227"/>
      <c r="AV432" s="228"/>
      <c r="AW432" s="227"/>
      <c r="AX432" s="229" t="n">
        <f aca="false">SUM(R432+T432+V432+X432+Z432+AB432+AD432+AF432+AH432+AJ432+AL432+AN432+AP432+AR432)</f>
        <v>0</v>
      </c>
      <c r="AY432" s="230" t="n">
        <f aca="false">SUM(AX432*1000)/48</f>
        <v>0</v>
      </c>
      <c r="AZ432" s="231" t="n">
        <f aca="false">IFERROR(VLOOKUP(A432,'Site check'!$A$14:$O$47,15,0),0)</f>
        <v>0</v>
      </c>
      <c r="BA432" s="232" t="n">
        <f aca="false">SUM(AZ432*1000)/48</f>
        <v>0</v>
      </c>
      <c r="BB432" s="90" t="n">
        <f aca="false">SUM(P432/2)+E432</f>
        <v>105</v>
      </c>
      <c r="BC432" s="90" t="n">
        <f aca="false">SUM(P432/2)+F432</f>
        <v>110</v>
      </c>
    </row>
    <row r="433" customFormat="false" ht="34.9" hidden="false" customHeight="false" outlineLevel="0" collapsed="false">
      <c r="A433" s="0" t="str">
        <f aca="false">[2]Sheet1!A433</f>
        <v>BKLN05_SEC_DD770_CD01</v>
      </c>
      <c r="B433" s="0" t="str">
        <f aca="false">[2]Sheet1!B433</f>
        <v>BKLN05-DCSYS04a</v>
      </c>
      <c r="C433" s="44" t="str">
        <f aca="false">[2]Sheet1!C433</f>
        <v>BKLN05</v>
      </c>
      <c r="D433" s="44" t="s">
        <v>427</v>
      </c>
      <c r="E433" s="0" t="n">
        <f aca="false">[2]Sheet1!D433</f>
        <v>115</v>
      </c>
      <c r="F433" s="0" t="n">
        <f aca="false">[2]Sheet1!E433</f>
        <v>140</v>
      </c>
      <c r="G433" s="45" t="n">
        <f aca="false">[2]Sheet1!F433</f>
        <v>44470</v>
      </c>
      <c r="H433" s="0" t="n">
        <f aca="false">[2]Sheet1!G433</f>
        <v>300</v>
      </c>
      <c r="I433" s="0" t="n">
        <f aca="false">[2]Sheet1!H433</f>
        <v>300</v>
      </c>
      <c r="J433" s="0" t="n">
        <f aca="false">[2]Sheet1!I433</f>
        <v>4</v>
      </c>
      <c r="K433" s="0" t="n">
        <f aca="false">[2]Sheet1!J433</f>
        <v>1</v>
      </c>
      <c r="L433" s="0" t="n">
        <f aca="false">[2]Sheet1!K433</f>
        <v>0</v>
      </c>
      <c r="M433" s="0" t="n">
        <f aca="false">[2]Sheet1!L433</f>
        <v>11</v>
      </c>
      <c r="N433" s="0" t="n">
        <f aca="false">[2]Sheet1!M433</f>
        <v>11</v>
      </c>
      <c r="O433" s="0" t="n">
        <f aca="false">[2]Sheet1!N433</f>
        <v>0</v>
      </c>
      <c r="P433" s="226" t="n">
        <f aca="false">SUM(AY433+BA433)</f>
        <v>137.5</v>
      </c>
      <c r="Q433" s="181" t="s">
        <v>1017</v>
      </c>
      <c r="R433" s="175" t="n">
        <v>5</v>
      </c>
      <c r="S433" s="185" t="s">
        <v>1033</v>
      </c>
      <c r="T433" s="180" t="n">
        <v>1.6</v>
      </c>
      <c r="U433" s="201"/>
      <c r="V433" s="71"/>
      <c r="W433" s="227"/>
      <c r="X433" s="71"/>
      <c r="Y433" s="201"/>
      <c r="Z433" s="71"/>
      <c r="AA433" s="227"/>
      <c r="AB433" s="71"/>
      <c r="AC433" s="201"/>
      <c r="AD433" s="71"/>
      <c r="AE433" s="227"/>
      <c r="AF433" s="71"/>
      <c r="AG433" s="201"/>
      <c r="AH433" s="71"/>
      <c r="AI433" s="227"/>
      <c r="AJ433" s="71"/>
      <c r="AK433" s="201"/>
      <c r="AL433" s="71"/>
      <c r="AM433" s="227"/>
      <c r="AN433" s="71"/>
      <c r="AO433" s="201"/>
      <c r="AP433" s="71"/>
      <c r="AQ433" s="227"/>
      <c r="AR433" s="71"/>
      <c r="AS433" s="227"/>
      <c r="AT433" s="228"/>
      <c r="AU433" s="227"/>
      <c r="AV433" s="228"/>
      <c r="AW433" s="227"/>
      <c r="AX433" s="229" t="n">
        <f aca="false">SUM(R433+T433+V433+X433+Z433+AB433+AD433+AF433+AH433+AJ433+AL433+AN433+AP433+AR433)</f>
        <v>6.6</v>
      </c>
      <c r="AY433" s="230" t="n">
        <f aca="false">SUM(AX433*1000)/48</f>
        <v>137.5</v>
      </c>
      <c r="AZ433" s="231" t="n">
        <f aca="false">IFERROR(VLOOKUP(A433,'Site check'!$A$14:$O$47,15,0),0)</f>
        <v>0</v>
      </c>
      <c r="BA433" s="232" t="n">
        <f aca="false">SUM(AZ433*1000)/48</f>
        <v>0</v>
      </c>
      <c r="BB433" s="90" t="n">
        <f aca="false">SUM(P433/2)+E433</f>
        <v>183.75</v>
      </c>
      <c r="BC433" s="90" t="n">
        <f aca="false">SUM(P433/2)+F433</f>
        <v>208.75</v>
      </c>
    </row>
    <row r="434" customFormat="false" ht="13.15" hidden="false" customHeight="false" outlineLevel="0" collapsed="false">
      <c r="A434" s="0" t="str">
        <f aca="false">[2]Sheet1!A434</f>
        <v>BKLN05_SEC_DD770_CJCK01</v>
      </c>
      <c r="B434" s="0" t="str">
        <f aca="false">[2]Sheet1!B434</f>
        <v>BKLN05;DC SYS03;NEAR CK</v>
      </c>
      <c r="C434" s="44" t="str">
        <f aca="false">[2]Sheet1!C434</f>
        <v>BKLN05</v>
      </c>
      <c r="D434" s="44" t="s">
        <v>427</v>
      </c>
      <c r="E434" s="0" t="n">
        <f aca="false">[2]Sheet1!D434</f>
        <v>210</v>
      </c>
      <c r="F434" s="0" t="n">
        <f aca="false">[2]Sheet1!E434</f>
        <v>200</v>
      </c>
      <c r="G434" s="45" t="n">
        <f aca="false">[2]Sheet1!F434</f>
        <v>44470</v>
      </c>
      <c r="H434" s="0" t="n">
        <f aca="false">[2]Sheet1!G434</f>
        <v>300</v>
      </c>
      <c r="I434" s="0" t="n">
        <f aca="false">[2]Sheet1!H434</f>
        <v>300</v>
      </c>
      <c r="J434" s="0" t="n">
        <f aca="false">[2]Sheet1!I434</f>
        <v>6</v>
      </c>
      <c r="K434" s="0" t="n">
        <f aca="false">[2]Sheet1!J434</f>
        <v>1</v>
      </c>
      <c r="L434" s="0" t="n">
        <f aca="false">[2]Sheet1!K434</f>
        <v>0</v>
      </c>
      <c r="M434" s="0" t="n">
        <f aca="false">[2]Sheet1!L434</f>
        <v>10</v>
      </c>
      <c r="N434" s="0" t="n">
        <f aca="false">[2]Sheet1!M434</f>
        <v>12</v>
      </c>
      <c r="O434" s="0" t="n">
        <f aca="false">[2]Sheet1!N434</f>
        <v>0</v>
      </c>
      <c r="P434" s="226" t="n">
        <f aca="false">SUM(AY434+BA434)</f>
        <v>0</v>
      </c>
      <c r="Q434" s="201"/>
      <c r="R434" s="71"/>
      <c r="S434" s="227"/>
      <c r="T434" s="71"/>
      <c r="U434" s="201"/>
      <c r="V434" s="71"/>
      <c r="W434" s="227"/>
      <c r="X434" s="71"/>
      <c r="Y434" s="201"/>
      <c r="Z434" s="71"/>
      <c r="AA434" s="227"/>
      <c r="AB434" s="71"/>
      <c r="AC434" s="201"/>
      <c r="AD434" s="71"/>
      <c r="AE434" s="227"/>
      <c r="AF434" s="71"/>
      <c r="AG434" s="201"/>
      <c r="AH434" s="71"/>
      <c r="AI434" s="227"/>
      <c r="AJ434" s="71"/>
      <c r="AK434" s="201"/>
      <c r="AL434" s="71"/>
      <c r="AM434" s="227"/>
      <c r="AN434" s="71"/>
      <c r="AO434" s="201"/>
      <c r="AP434" s="71"/>
      <c r="AQ434" s="227"/>
      <c r="AR434" s="71"/>
      <c r="AS434" s="227"/>
      <c r="AT434" s="228"/>
      <c r="AU434" s="227"/>
      <c r="AV434" s="228"/>
      <c r="AW434" s="227"/>
      <c r="AX434" s="229" t="n">
        <f aca="false">SUM(R434+T434+V434+X434+Z434+AB434+AD434+AF434+AH434+AJ434+AL434+AN434+AP434+AR434)</f>
        <v>0</v>
      </c>
      <c r="AY434" s="230" t="n">
        <f aca="false">SUM(AX434*1000)/48</f>
        <v>0</v>
      </c>
      <c r="AZ434" s="231" t="n">
        <f aca="false">IFERROR(VLOOKUP(A434,'Site check'!$A$14:$O$47,15,0),0)</f>
        <v>0</v>
      </c>
      <c r="BA434" s="232" t="n">
        <f aca="false">SUM(AZ434*1000)/48</f>
        <v>0</v>
      </c>
      <c r="BB434" s="90" t="n">
        <f aca="false">SUM(P434/2)+E434</f>
        <v>210</v>
      </c>
      <c r="BC434" s="90" t="n">
        <f aca="false">SUM(P434/2)+F434</f>
        <v>200</v>
      </c>
    </row>
    <row r="435" customFormat="false" ht="13.15" hidden="false" customHeight="false" outlineLevel="0" collapsed="false">
      <c r="A435" s="0" t="str">
        <f aca="false">[2]Sheet1!A435</f>
        <v>BKLN05_SEC_DD770_GH01</v>
      </c>
      <c r="B435" s="0" t="str">
        <f aca="false">[2]Sheet1!B435</f>
        <v>BKLN05-DCSYS04a</v>
      </c>
      <c r="C435" s="44" t="str">
        <f aca="false">[2]Sheet1!C435</f>
        <v>BKLN05</v>
      </c>
      <c r="D435" s="44" t="s">
        <v>427</v>
      </c>
      <c r="E435" s="0" t="n">
        <f aca="false">[2]Sheet1!D435</f>
        <v>135</v>
      </c>
      <c r="F435" s="0" t="n">
        <f aca="false">[2]Sheet1!E435</f>
        <v>140</v>
      </c>
      <c r="G435" s="45" t="n">
        <f aca="false">[2]Sheet1!F435</f>
        <v>44470</v>
      </c>
      <c r="H435" s="0" t="n">
        <f aca="false">[2]Sheet1!G435</f>
        <v>300</v>
      </c>
      <c r="I435" s="0" t="n">
        <f aca="false">[2]Sheet1!H435</f>
        <v>300</v>
      </c>
      <c r="J435" s="0" t="n">
        <f aca="false">[2]Sheet1!I435</f>
        <v>4</v>
      </c>
      <c r="K435" s="0" t="n">
        <f aca="false">[2]Sheet1!J435</f>
        <v>0</v>
      </c>
      <c r="L435" s="0" t="n">
        <f aca="false">[2]Sheet1!K435</f>
        <v>0</v>
      </c>
      <c r="M435" s="0" t="n">
        <f aca="false">[2]Sheet1!L435</f>
        <v>11</v>
      </c>
      <c r="N435" s="0" t="n">
        <f aca="false">[2]Sheet1!M435</f>
        <v>8</v>
      </c>
      <c r="O435" s="0" t="n">
        <f aca="false">[2]Sheet1!N435</f>
        <v>0</v>
      </c>
      <c r="P435" s="226" t="n">
        <f aca="false">SUM(AY435+BA435)</f>
        <v>0</v>
      </c>
      <c r="Q435" s="201"/>
      <c r="R435" s="71"/>
      <c r="S435" s="227"/>
      <c r="T435" s="71"/>
      <c r="U435" s="201"/>
      <c r="V435" s="71"/>
      <c r="W435" s="227"/>
      <c r="X435" s="71"/>
      <c r="Y435" s="201"/>
      <c r="Z435" s="71"/>
      <c r="AA435" s="227"/>
      <c r="AB435" s="71"/>
      <c r="AC435" s="201"/>
      <c r="AD435" s="71"/>
      <c r="AE435" s="227"/>
      <c r="AF435" s="71"/>
      <c r="AG435" s="201"/>
      <c r="AH435" s="71"/>
      <c r="AI435" s="227"/>
      <c r="AJ435" s="71"/>
      <c r="AK435" s="201"/>
      <c r="AL435" s="71"/>
      <c r="AM435" s="227"/>
      <c r="AN435" s="71"/>
      <c r="AO435" s="201"/>
      <c r="AP435" s="71"/>
      <c r="AQ435" s="227"/>
      <c r="AR435" s="71"/>
      <c r="AS435" s="227"/>
      <c r="AT435" s="228"/>
      <c r="AU435" s="227"/>
      <c r="AV435" s="228"/>
      <c r="AW435" s="227"/>
      <c r="AX435" s="229" t="n">
        <f aca="false">SUM(R435+T435+V435+X435+Z435+AB435+AD435+AF435+AH435+AJ435+AL435+AN435+AP435+AR435)</f>
        <v>0</v>
      </c>
      <c r="AY435" s="230" t="n">
        <f aca="false">SUM(AX435*1000)/48</f>
        <v>0</v>
      </c>
      <c r="AZ435" s="231" t="n">
        <f aca="false">IFERROR(VLOOKUP(A435,'Site check'!$A$14:$O$47,15,0),0)</f>
        <v>0</v>
      </c>
      <c r="BA435" s="232" t="n">
        <f aca="false">SUM(AZ435*1000)/48</f>
        <v>0</v>
      </c>
      <c r="BB435" s="90" t="n">
        <f aca="false">SUM(P435/2)+E435</f>
        <v>135</v>
      </c>
      <c r="BC435" s="90" t="n">
        <f aca="false">SUM(P435/2)+F435</f>
        <v>140</v>
      </c>
    </row>
    <row r="436" customFormat="false" ht="13.15" hidden="false" customHeight="false" outlineLevel="0" collapsed="false">
      <c r="A436" s="0" t="str">
        <f aca="false">[2]Sheet1!A436</f>
        <v>BKLN05_SEC_DD770_LM01</v>
      </c>
      <c r="B436" s="0" t="str">
        <f aca="false">[2]Sheet1!B436</f>
        <v>BKLN05-DCSYS04a</v>
      </c>
      <c r="C436" s="44" t="str">
        <f aca="false">[2]Sheet1!C436</f>
        <v>BKLN05</v>
      </c>
      <c r="D436" s="44" t="s">
        <v>427</v>
      </c>
      <c r="E436" s="0" t="n">
        <f aca="false">[2]Sheet1!D436</f>
        <v>10.6</v>
      </c>
      <c r="F436" s="0" t="str">
        <f aca="false">[2]Sheet1!E436</f>
        <v>NA</v>
      </c>
      <c r="G436" s="45" t="n">
        <f aca="false">[2]Sheet1!F436</f>
        <v>44824</v>
      </c>
      <c r="H436" s="0" t="n">
        <f aca="false">[2]Sheet1!G436</f>
        <v>300</v>
      </c>
      <c r="I436" s="0" t="n">
        <f aca="false">[2]Sheet1!H436</f>
        <v>300</v>
      </c>
      <c r="J436" s="0" t="n">
        <f aca="false">[2]Sheet1!I436</f>
        <v>3</v>
      </c>
      <c r="K436" s="0" t="n">
        <f aca="false">[2]Sheet1!J436</f>
        <v>0</v>
      </c>
      <c r="L436" s="0" t="n">
        <f aca="false">[2]Sheet1!K436</f>
        <v>0</v>
      </c>
      <c r="M436" s="0" t="n">
        <f aca="false">[2]Sheet1!L436</f>
        <v>3</v>
      </c>
      <c r="N436" s="0" t="n">
        <f aca="false">[2]Sheet1!M436</f>
        <v>4</v>
      </c>
      <c r="O436" s="0" t="n">
        <f aca="false">[2]Sheet1!N436</f>
        <v>1</v>
      </c>
      <c r="P436" s="226" t="n">
        <f aca="false">SUM(AY436+BA436)</f>
        <v>10.4166666666667</v>
      </c>
      <c r="Q436" s="204" t="s">
        <v>1036</v>
      </c>
      <c r="R436" s="241" t="n">
        <v>0.5</v>
      </c>
      <c r="S436" s="227"/>
      <c r="T436" s="71"/>
      <c r="U436" s="201"/>
      <c r="V436" s="71"/>
      <c r="W436" s="227"/>
      <c r="X436" s="71"/>
      <c r="Y436" s="201"/>
      <c r="Z436" s="71"/>
      <c r="AA436" s="227"/>
      <c r="AB436" s="71"/>
      <c r="AC436" s="201"/>
      <c r="AD436" s="71"/>
      <c r="AE436" s="227"/>
      <c r="AF436" s="71"/>
      <c r="AG436" s="201"/>
      <c r="AH436" s="71"/>
      <c r="AI436" s="227"/>
      <c r="AJ436" s="71"/>
      <c r="AK436" s="201"/>
      <c r="AL436" s="71"/>
      <c r="AM436" s="227"/>
      <c r="AN436" s="71"/>
      <c r="AO436" s="201"/>
      <c r="AP436" s="71"/>
      <c r="AQ436" s="227"/>
      <c r="AR436" s="71"/>
      <c r="AS436" s="227"/>
      <c r="AT436" s="228"/>
      <c r="AU436" s="227"/>
      <c r="AV436" s="228"/>
      <c r="AW436" s="227"/>
      <c r="AX436" s="229" t="n">
        <f aca="false">SUM(R436+T436+V436+X436+Z436+AB436+AD436+AF436+AH436+AJ436+AL436+AN436+AP436+AR436)</f>
        <v>0.5</v>
      </c>
      <c r="AY436" s="230" t="n">
        <f aca="false">SUM(AX436*1000)/48</f>
        <v>10.4166666666667</v>
      </c>
      <c r="AZ436" s="231" t="n">
        <f aca="false">IFERROR(VLOOKUP(A436,'Site check'!$A$14:$O$47,15,0),0)</f>
        <v>0</v>
      </c>
      <c r="BA436" s="232" t="n">
        <f aca="false">SUM(AZ436*1000)/48</f>
        <v>0</v>
      </c>
      <c r="BB436" s="90" t="n">
        <f aca="false">SUM(P436/2)+E436</f>
        <v>15.8083333333333</v>
      </c>
      <c r="BC436" s="90" t="e">
        <f aca="false">SUM(P436/2)+F436</f>
        <v>#VALUE!</v>
      </c>
    </row>
    <row r="437" customFormat="false" ht="13.15" hidden="false" customHeight="false" outlineLevel="0" collapsed="false">
      <c r="A437" s="0" t="str">
        <f aca="false">[2]Sheet1!A437</f>
        <v>BKLN05_SEC_DD770_UV01</v>
      </c>
      <c r="B437" s="0" t="str">
        <f aca="false">[2]Sheet1!B437</f>
        <v>BKLN05;DC SYS02</v>
      </c>
      <c r="C437" s="44" t="str">
        <f aca="false">[2]Sheet1!C437</f>
        <v>BKLN05</v>
      </c>
      <c r="D437" s="44" t="s">
        <v>427</v>
      </c>
      <c r="E437" s="0" t="n">
        <f aca="false">[2]Sheet1!D437</f>
        <v>160</v>
      </c>
      <c r="F437" s="0" t="n">
        <f aca="false">[2]Sheet1!E437</f>
        <v>165</v>
      </c>
      <c r="G437" s="45" t="n">
        <f aca="false">[2]Sheet1!F437</f>
        <v>44470</v>
      </c>
      <c r="H437" s="0" t="n">
        <f aca="false">[2]Sheet1!G437</f>
        <v>300</v>
      </c>
      <c r="I437" s="0" t="n">
        <f aca="false">[2]Sheet1!H437</f>
        <v>300</v>
      </c>
      <c r="J437" s="0" t="n">
        <f aca="false">[2]Sheet1!I437</f>
        <v>0</v>
      </c>
      <c r="K437" s="0" t="n">
        <f aca="false">[2]Sheet1!J437</f>
        <v>1</v>
      </c>
      <c r="L437" s="0" t="n">
        <f aca="false">[2]Sheet1!K437</f>
        <v>0</v>
      </c>
      <c r="M437" s="0" t="n">
        <f aca="false">[2]Sheet1!L437</f>
        <v>19</v>
      </c>
      <c r="N437" s="0" t="n">
        <f aca="false">[2]Sheet1!M437</f>
        <v>12</v>
      </c>
      <c r="O437" s="0" t="n">
        <f aca="false">[2]Sheet1!N437</f>
        <v>0</v>
      </c>
      <c r="P437" s="226" t="n">
        <f aca="false">SUM(AY437+BA437)</f>
        <v>0</v>
      </c>
      <c r="Q437" s="201"/>
      <c r="R437" s="71"/>
      <c r="S437" s="227"/>
      <c r="T437" s="71"/>
      <c r="U437" s="201"/>
      <c r="V437" s="71"/>
      <c r="W437" s="227"/>
      <c r="X437" s="71"/>
      <c r="Y437" s="201"/>
      <c r="Z437" s="71"/>
      <c r="AA437" s="227"/>
      <c r="AB437" s="71"/>
      <c r="AC437" s="201"/>
      <c r="AD437" s="71"/>
      <c r="AE437" s="227"/>
      <c r="AF437" s="71"/>
      <c r="AG437" s="201"/>
      <c r="AH437" s="71"/>
      <c r="AI437" s="227"/>
      <c r="AJ437" s="71"/>
      <c r="AK437" s="201"/>
      <c r="AL437" s="71"/>
      <c r="AM437" s="227"/>
      <c r="AN437" s="71"/>
      <c r="AO437" s="201"/>
      <c r="AP437" s="71"/>
      <c r="AQ437" s="227"/>
      <c r="AR437" s="71"/>
      <c r="AS437" s="227"/>
      <c r="AT437" s="228"/>
      <c r="AU437" s="227"/>
      <c r="AV437" s="228"/>
      <c r="AW437" s="227"/>
      <c r="AX437" s="229" t="n">
        <f aca="false">SUM(R437+T437+V437+X437+Z437+AB437+AD437+AF437+AH437+AJ437+AL437+AN437+AP437+AR437)</f>
        <v>0</v>
      </c>
      <c r="AY437" s="230" t="n">
        <f aca="false">SUM(AX437*1000)/48</f>
        <v>0</v>
      </c>
      <c r="AZ437" s="231" t="n">
        <f aca="false">IFERROR(VLOOKUP(A437,'Site check'!$A$14:$O$47,15,0),0)</f>
        <v>0</v>
      </c>
      <c r="BA437" s="232" t="n">
        <f aca="false">SUM(AZ437*1000)/48</f>
        <v>0</v>
      </c>
      <c r="BB437" s="90" t="n">
        <f aca="false">SUM(P437/2)+E437</f>
        <v>160</v>
      </c>
      <c r="BC437" s="90" t="n">
        <f aca="false">SUM(P437/2)+F437</f>
        <v>165</v>
      </c>
    </row>
    <row r="438" customFormat="false" ht="13.15" hidden="false" customHeight="false" outlineLevel="0" collapsed="false">
      <c r="A438" s="0" t="str">
        <f aca="false">[2]Sheet1!A438</f>
        <v>BKLN05_SEC_DD770_YZ01</v>
      </c>
      <c r="B438" s="0" t="str">
        <f aca="false">[2]Sheet1!B438</f>
        <v>BKLN05;DC SYS02</v>
      </c>
      <c r="C438" s="44" t="str">
        <f aca="false">[2]Sheet1!C438</f>
        <v>BKLN05</v>
      </c>
      <c r="D438" s="44" t="s">
        <v>427</v>
      </c>
      <c r="E438" s="0" t="n">
        <f aca="false">[2]Sheet1!D438</f>
        <v>85</v>
      </c>
      <c r="F438" s="0" t="n">
        <f aca="false">[2]Sheet1!E438</f>
        <v>80</v>
      </c>
      <c r="G438" s="45" t="n">
        <f aca="false">[2]Sheet1!F438</f>
        <v>44441</v>
      </c>
      <c r="H438" s="0" t="n">
        <f aca="false">[2]Sheet1!G438</f>
        <v>300</v>
      </c>
      <c r="I438" s="0" t="n">
        <f aca="false">[2]Sheet1!H438</f>
        <v>300</v>
      </c>
      <c r="J438" s="0" t="n">
        <f aca="false">[2]Sheet1!I438</f>
        <v>5</v>
      </c>
      <c r="K438" s="0" t="n">
        <f aca="false">[2]Sheet1!J438</f>
        <v>10</v>
      </c>
      <c r="L438" s="0" t="n">
        <f aca="false">[2]Sheet1!K438</f>
        <v>0</v>
      </c>
      <c r="M438" s="0" t="n">
        <f aca="false">[2]Sheet1!L438</f>
        <v>16</v>
      </c>
      <c r="N438" s="0" t="n">
        <f aca="false">[2]Sheet1!M438</f>
        <v>3</v>
      </c>
      <c r="O438" s="0" t="n">
        <f aca="false">[2]Sheet1!N438</f>
        <v>0</v>
      </c>
      <c r="P438" s="226" t="n">
        <f aca="false">SUM(AY438+BA438)</f>
        <v>0</v>
      </c>
      <c r="Q438" s="201"/>
      <c r="R438" s="71"/>
      <c r="S438" s="227"/>
      <c r="T438" s="71"/>
      <c r="U438" s="201"/>
      <c r="V438" s="71"/>
      <c r="W438" s="227"/>
      <c r="X438" s="71"/>
      <c r="Y438" s="201"/>
      <c r="Z438" s="71"/>
      <c r="AA438" s="227"/>
      <c r="AB438" s="71"/>
      <c r="AC438" s="201"/>
      <c r="AD438" s="71"/>
      <c r="AE438" s="227"/>
      <c r="AF438" s="71"/>
      <c r="AG438" s="201"/>
      <c r="AH438" s="71"/>
      <c r="AI438" s="227"/>
      <c r="AJ438" s="71"/>
      <c r="AK438" s="201"/>
      <c r="AL438" s="71"/>
      <c r="AM438" s="227"/>
      <c r="AN438" s="71"/>
      <c r="AO438" s="201"/>
      <c r="AP438" s="71"/>
      <c r="AQ438" s="227"/>
      <c r="AR438" s="71"/>
      <c r="AS438" s="227"/>
      <c r="AT438" s="228"/>
      <c r="AU438" s="227"/>
      <c r="AV438" s="228"/>
      <c r="AW438" s="227"/>
      <c r="AX438" s="229" t="n">
        <f aca="false">SUM(R438+T438+V438+X438+Z438+AB438+AD438+AF438+AH438+AJ438+AL438+AN438+AP438+AR438)</f>
        <v>0</v>
      </c>
      <c r="AY438" s="230" t="n">
        <f aca="false">SUM(AX438*1000)/48</f>
        <v>0</v>
      </c>
      <c r="AZ438" s="231" t="n">
        <f aca="false">IFERROR(VLOOKUP(A438,'Site check'!$A$14:$O$47,15,0),0)</f>
        <v>0</v>
      </c>
      <c r="BA438" s="232" t="n">
        <f aca="false">SUM(AZ438*1000)/48</f>
        <v>0</v>
      </c>
      <c r="BB438" s="90" t="n">
        <f aca="false">SUM(P438/2)+E438</f>
        <v>85</v>
      </c>
      <c r="BC438" s="90" t="n">
        <f aca="false">SUM(P438/2)+F438</f>
        <v>80</v>
      </c>
    </row>
    <row r="439" customFormat="false" ht="13.15" hidden="false" customHeight="false" outlineLevel="0" collapsed="false">
      <c r="A439" s="0" t="str">
        <f aca="false">[2]Sheet1!A439</f>
        <v>BKLN05_DCSYS04-PDU1</v>
      </c>
      <c r="B439" s="0" t="str">
        <f aca="false">[2]Sheet1!B439</f>
        <v>BKLN05-DCSYS04a</v>
      </c>
      <c r="C439" s="44" t="str">
        <f aca="false">[2]Sheet1!C439</f>
        <v>BKLN05</v>
      </c>
      <c r="D439" s="44" t="s">
        <v>430</v>
      </c>
      <c r="E439" s="0" t="n">
        <f aca="false">[2]Sheet1!D439</f>
        <v>366.91</v>
      </c>
      <c r="F439" s="0" t="n">
        <f aca="false">[2]Sheet1!E439</f>
        <v>118.3</v>
      </c>
      <c r="G439" s="45" t="n">
        <f aca="false">[2]Sheet1!F439</f>
        <v>45665</v>
      </c>
      <c r="H439" s="0" t="n">
        <f aca="false">[2]Sheet1!G439</f>
        <v>1200</v>
      </c>
      <c r="I439" s="0" t="n">
        <f aca="false">[2]Sheet1!H439</f>
        <v>0</v>
      </c>
      <c r="J439" s="0" t="n">
        <f aca="false">[2]Sheet1!I439</f>
        <v>0</v>
      </c>
      <c r="K439" s="0" t="n">
        <f aca="false">[2]Sheet1!J439</f>
        <v>0</v>
      </c>
      <c r="L439" s="0" t="n">
        <f aca="false">[2]Sheet1!K439</f>
        <v>0</v>
      </c>
      <c r="M439" s="0" t="n">
        <f aca="false">[2]Sheet1!L439</f>
        <v>0</v>
      </c>
      <c r="N439" s="0" t="n">
        <f aca="false">[2]Sheet1!M439</f>
        <v>0</v>
      </c>
      <c r="O439" s="0" t="n">
        <f aca="false">[2]Sheet1!N439</f>
        <v>0</v>
      </c>
      <c r="P439" s="226" t="n">
        <f aca="false">SUM(AY439+BA439)</f>
        <v>1285.41666666667</v>
      </c>
      <c r="Q439" s="198"/>
      <c r="R439" s="239"/>
      <c r="S439" s="181" t="s">
        <v>1028</v>
      </c>
      <c r="T439" s="175" t="n">
        <v>0.9</v>
      </c>
      <c r="U439" s="173" t="s">
        <v>1022</v>
      </c>
      <c r="V439" s="174" t="n">
        <v>1.6</v>
      </c>
      <c r="W439" s="173" t="s">
        <v>1023</v>
      </c>
      <c r="X439" s="174" t="n">
        <v>1.7</v>
      </c>
      <c r="Y439" s="170" t="s">
        <v>1024</v>
      </c>
      <c r="Z439" s="171" t="n">
        <v>1.5</v>
      </c>
      <c r="AA439" s="170" t="s">
        <v>1020</v>
      </c>
      <c r="AB439" s="171" t="n">
        <v>56</v>
      </c>
      <c r="AC439" s="201"/>
      <c r="AD439" s="71"/>
      <c r="AE439" s="227"/>
      <c r="AF439" s="71"/>
      <c r="AG439" s="201"/>
      <c r="AH439" s="71"/>
      <c r="AI439" s="227"/>
      <c r="AJ439" s="71"/>
      <c r="AK439" s="201"/>
      <c r="AL439" s="71"/>
      <c r="AM439" s="227"/>
      <c r="AN439" s="71"/>
      <c r="AO439" s="201"/>
      <c r="AP439" s="71"/>
      <c r="AQ439" s="227"/>
      <c r="AR439" s="71"/>
      <c r="AS439" s="227"/>
      <c r="AT439" s="228"/>
      <c r="AU439" s="227"/>
      <c r="AV439" s="228"/>
      <c r="AW439" s="227"/>
      <c r="AX439" s="229" t="n">
        <f aca="false">SUM(R439+T439+V439+X439+Z439+AB439+AD439+AF439+AH439+AJ439+AL439+AN439+AP439+AR439)</f>
        <v>61.7</v>
      </c>
      <c r="AY439" s="230" t="n">
        <f aca="false">SUM(AX439*1000)/48</f>
        <v>1285.41666666667</v>
      </c>
      <c r="AZ439" s="231" t="n">
        <f aca="false">IFERROR(VLOOKUP(A439,'Site check'!$A$14:$O$47,15,0),0)</f>
        <v>0</v>
      </c>
      <c r="BA439" s="232" t="n">
        <f aca="false">SUM(AZ439*1000)/48</f>
        <v>0</v>
      </c>
      <c r="BB439" s="90" t="n">
        <f aca="false">SUM(P439/2)+E439</f>
        <v>1009.61833333333</v>
      </c>
      <c r="BC439" s="90" t="n">
        <f aca="false">SUM(P439/2)+F439</f>
        <v>761.008333333333</v>
      </c>
    </row>
    <row r="440" customFormat="false" ht="13.15" hidden="false" customHeight="false" outlineLevel="0" collapsed="false">
      <c r="A440" s="0" t="str">
        <f aca="false">[2]Sheet1!A440</f>
        <v>BKLN05_DCSYS04-PDU2</v>
      </c>
      <c r="B440" s="0" t="str">
        <f aca="false">[2]Sheet1!B440</f>
        <v>BKLN05-DCSYS04a</v>
      </c>
      <c r="C440" s="44" t="str">
        <f aca="false">[2]Sheet1!C440</f>
        <v>BKLN05</v>
      </c>
      <c r="D440" s="44" t="s">
        <v>430</v>
      </c>
      <c r="E440" s="0" t="n">
        <f aca="false">[2]Sheet1!D440</f>
        <v>278.05</v>
      </c>
      <c r="F440" s="0" t="n">
        <f aca="false">[2]Sheet1!E440</f>
        <v>35.8</v>
      </c>
      <c r="G440" s="45" t="n">
        <f aca="false">[2]Sheet1!F440</f>
        <v>45665</v>
      </c>
      <c r="H440" s="0" t="n">
        <f aca="false">[2]Sheet1!G440</f>
        <v>1200</v>
      </c>
      <c r="I440" s="0" t="n">
        <f aca="false">[2]Sheet1!H440</f>
        <v>0</v>
      </c>
      <c r="J440" s="0" t="n">
        <f aca="false">[2]Sheet1!I440</f>
        <v>0</v>
      </c>
      <c r="K440" s="0" t="n">
        <f aca="false">[2]Sheet1!J440</f>
        <v>0</v>
      </c>
      <c r="L440" s="0" t="n">
        <f aca="false">[2]Sheet1!K440</f>
        <v>0</v>
      </c>
      <c r="M440" s="0" t="n">
        <f aca="false">[2]Sheet1!L440</f>
        <v>0</v>
      </c>
      <c r="N440" s="0" t="n">
        <f aca="false">[2]Sheet1!M440</f>
        <v>0</v>
      </c>
      <c r="O440" s="0" t="n">
        <f aca="false">[2]Sheet1!N440</f>
        <v>0</v>
      </c>
      <c r="P440" s="226" t="n">
        <f aca="false">SUM(AY440+BA440)</f>
        <v>81.25</v>
      </c>
      <c r="Q440" s="170" t="s">
        <v>1021</v>
      </c>
      <c r="R440" s="171" t="n">
        <v>2</v>
      </c>
      <c r="S440" s="170" t="s">
        <v>1037</v>
      </c>
      <c r="T440" s="171" t="n">
        <v>0.8</v>
      </c>
      <c r="U440" s="170" t="s">
        <v>1029</v>
      </c>
      <c r="V440" s="171" t="n">
        <v>1.1</v>
      </c>
      <c r="W440" s="227"/>
      <c r="X440" s="71"/>
      <c r="Y440" s="201"/>
      <c r="Z440" s="71"/>
      <c r="AA440" s="227"/>
      <c r="AB440" s="71"/>
      <c r="AC440" s="201"/>
      <c r="AD440" s="71"/>
      <c r="AE440" s="227"/>
      <c r="AF440" s="71"/>
      <c r="AG440" s="201"/>
      <c r="AH440" s="71"/>
      <c r="AI440" s="227"/>
      <c r="AJ440" s="71"/>
      <c r="AK440" s="201"/>
      <c r="AL440" s="71"/>
      <c r="AM440" s="227"/>
      <c r="AN440" s="71"/>
      <c r="AO440" s="201"/>
      <c r="AP440" s="71"/>
      <c r="AQ440" s="227"/>
      <c r="AR440" s="71"/>
      <c r="AS440" s="227"/>
      <c r="AT440" s="228"/>
      <c r="AU440" s="227"/>
      <c r="AV440" s="228"/>
      <c r="AW440" s="227"/>
      <c r="AX440" s="229" t="n">
        <f aca="false">SUM(R440+T440+V440+X440+Z440+AB440+AD440+AF440+AH440+AJ440+AL440+AN440+AP440+AR440)</f>
        <v>3.9</v>
      </c>
      <c r="AY440" s="230" t="n">
        <f aca="false">SUM(AX440*1000)/48</f>
        <v>81.25</v>
      </c>
      <c r="AZ440" s="231" t="n">
        <f aca="false">IFERROR(VLOOKUP(A440,'Site check'!$A$14:$O$47,15,0),0)</f>
        <v>0</v>
      </c>
      <c r="BA440" s="232" t="n">
        <f aca="false">SUM(AZ440*1000)/48</f>
        <v>0</v>
      </c>
      <c r="BB440" s="90" t="n">
        <f aca="false">SUM(P440/2)+E440</f>
        <v>318.675</v>
      </c>
      <c r="BC440" s="90" t="n">
        <f aca="false">SUM(P440/2)+F440</f>
        <v>76.425</v>
      </c>
    </row>
    <row r="441" customFormat="false" ht="13.15" hidden="false" customHeight="false" outlineLevel="0" collapsed="false">
      <c r="A441" s="0" t="str">
        <f aca="false">[2]Sheet1!A441</f>
        <v>BKLN05_DCSYS04-PDU3</v>
      </c>
      <c r="B441" s="0" t="str">
        <f aca="false">[2]Sheet1!B441</f>
        <v>BKLN05-DCSYS04a</v>
      </c>
      <c r="C441" s="44" t="str">
        <f aca="false">[2]Sheet1!C441</f>
        <v>BKLN05</v>
      </c>
      <c r="D441" s="44" t="s">
        <v>430</v>
      </c>
      <c r="E441" s="0" t="n">
        <f aca="false">[2]Sheet1!D441</f>
        <v>260.31</v>
      </c>
      <c r="F441" s="0" t="n">
        <f aca="false">[2]Sheet1!E441</f>
        <v>60.07</v>
      </c>
      <c r="G441" s="45" t="n">
        <f aca="false">[2]Sheet1!F441</f>
        <v>45631</v>
      </c>
      <c r="H441" s="0" t="n">
        <f aca="false">[2]Sheet1!G441</f>
        <v>1200</v>
      </c>
      <c r="I441" s="0" t="n">
        <f aca="false">[2]Sheet1!H441</f>
        <v>0</v>
      </c>
      <c r="J441" s="0" t="n">
        <f aca="false">[2]Sheet1!I441</f>
        <v>0</v>
      </c>
      <c r="K441" s="0" t="n">
        <f aca="false">[2]Sheet1!J441</f>
        <v>0</v>
      </c>
      <c r="L441" s="0" t="n">
        <f aca="false">[2]Sheet1!K441</f>
        <v>0</v>
      </c>
      <c r="M441" s="0" t="n">
        <f aca="false">[2]Sheet1!L441</f>
        <v>0</v>
      </c>
      <c r="N441" s="0" t="n">
        <f aca="false">[2]Sheet1!M441</f>
        <v>0</v>
      </c>
      <c r="O441" s="0" t="n">
        <f aca="false">[2]Sheet1!N441</f>
        <v>0</v>
      </c>
      <c r="P441" s="226" t="n">
        <f aca="false">SUM(AY441+BA441)</f>
        <v>1075</v>
      </c>
      <c r="Q441" s="170" t="s">
        <v>1550</v>
      </c>
      <c r="R441" s="171" t="n">
        <v>35.9</v>
      </c>
      <c r="S441" s="181" t="s">
        <v>1027</v>
      </c>
      <c r="T441" s="175" t="n">
        <v>2.7</v>
      </c>
      <c r="U441" s="170"/>
      <c r="V441" s="171"/>
      <c r="W441" s="170" t="s">
        <v>1025</v>
      </c>
      <c r="X441" s="171" t="n">
        <v>0.45</v>
      </c>
      <c r="Y441" s="170" t="s">
        <v>1026</v>
      </c>
      <c r="Z441" s="171" t="n">
        <v>0.45</v>
      </c>
      <c r="AA441" s="190" t="s">
        <v>1551</v>
      </c>
      <c r="AB441" s="175" t="n">
        <v>12.1</v>
      </c>
      <c r="AC441" s="201"/>
      <c r="AD441" s="71"/>
      <c r="AE441" s="227"/>
      <c r="AF441" s="71"/>
      <c r="AG441" s="201"/>
      <c r="AH441" s="71"/>
      <c r="AI441" s="227"/>
      <c r="AJ441" s="71"/>
      <c r="AK441" s="201"/>
      <c r="AL441" s="71"/>
      <c r="AM441" s="227"/>
      <c r="AN441" s="71"/>
      <c r="AO441" s="201"/>
      <c r="AP441" s="71"/>
      <c r="AQ441" s="227"/>
      <c r="AR441" s="71"/>
      <c r="AS441" s="227"/>
      <c r="AT441" s="228"/>
      <c r="AU441" s="227"/>
      <c r="AV441" s="228"/>
      <c r="AW441" s="227"/>
      <c r="AX441" s="229" t="n">
        <f aca="false">SUM(R441+T441+V441+X441+Z441+AB441+AD441+AF441+AH441+AJ441+AL441+AN441+AP441+AR441)</f>
        <v>51.6</v>
      </c>
      <c r="AY441" s="230" t="n">
        <f aca="false">SUM(AX441*1000)/48</f>
        <v>1075</v>
      </c>
      <c r="AZ441" s="231" t="n">
        <f aca="false">IFERROR(VLOOKUP(A441,'Site check'!$A$14:$O$47,15,0),0)</f>
        <v>0</v>
      </c>
      <c r="BA441" s="232" t="n">
        <f aca="false">SUM(AZ441*1000)/48</f>
        <v>0</v>
      </c>
      <c r="BB441" s="90" t="n">
        <f aca="false">SUM(P441/2)+E441</f>
        <v>797.81</v>
      </c>
      <c r="BC441" s="90" t="n">
        <f aca="false">SUM(P441/2)+F441</f>
        <v>597.57</v>
      </c>
    </row>
    <row r="442" customFormat="false" ht="13.15" hidden="false" customHeight="false" outlineLevel="0" collapsed="false">
      <c r="A442" s="0" t="str">
        <f aca="false">[2]Sheet1!A442</f>
        <v>DCDB _DC CUBICLE IN POWER ROOM NEAR BATTERY</v>
      </c>
      <c r="B442" s="0" t="str">
        <f aca="false">[2]Sheet1!B442</f>
        <v>DCT;DC SYS01</v>
      </c>
      <c r="C442" s="44" t="str">
        <f aca="false">[2]Sheet1!C442</f>
        <v>DCT</v>
      </c>
      <c r="D442" s="44" t="s">
        <v>530</v>
      </c>
      <c r="E442" s="0" t="n">
        <f aca="false">[2]Sheet1!D442</f>
        <v>0</v>
      </c>
      <c r="F442" s="0" t="n">
        <f aca="false">[2]Sheet1!E442</f>
        <v>0</v>
      </c>
      <c r="G442" s="45" t="n">
        <f aca="false">[2]Sheet1!F442</f>
        <v>0</v>
      </c>
      <c r="H442" s="0" t="n">
        <f aca="false">[2]Sheet1!G442</f>
        <v>300</v>
      </c>
      <c r="I442" s="0" t="n">
        <f aca="false">[2]Sheet1!H442</f>
        <v>300</v>
      </c>
      <c r="J442" s="0" t="n">
        <f aca="false">[2]Sheet1!I442</f>
        <v>0</v>
      </c>
      <c r="K442" s="0" t="n">
        <f aca="false">[2]Sheet1!J442</f>
        <v>0</v>
      </c>
      <c r="L442" s="0" t="n">
        <f aca="false">[2]Sheet1!K442</f>
        <v>0</v>
      </c>
      <c r="M442" s="0" t="n">
        <f aca="false">[2]Sheet1!L442</f>
        <v>0</v>
      </c>
      <c r="N442" s="0" t="n">
        <f aca="false">[2]Sheet1!M442</f>
        <v>0</v>
      </c>
      <c r="O442" s="0" t="n">
        <f aca="false">[2]Sheet1!N442</f>
        <v>0</v>
      </c>
      <c r="P442" s="226" t="n">
        <f aca="false">SUM(AY442+BA442)</f>
        <v>102.083333333333</v>
      </c>
      <c r="Q442" s="179" t="s">
        <v>1552</v>
      </c>
      <c r="R442" s="180" t="n">
        <v>4.4</v>
      </c>
      <c r="S442" s="179" t="s">
        <v>1146</v>
      </c>
      <c r="T442" s="180" t="n">
        <v>0.5</v>
      </c>
      <c r="U442" s="179"/>
      <c r="V442" s="180"/>
      <c r="W442" s="227"/>
      <c r="X442" s="71"/>
      <c r="Y442" s="201"/>
      <c r="Z442" s="71"/>
      <c r="AA442" s="227"/>
      <c r="AB442" s="71"/>
      <c r="AC442" s="201"/>
      <c r="AD442" s="71"/>
      <c r="AE442" s="227"/>
      <c r="AF442" s="71"/>
      <c r="AG442" s="201"/>
      <c r="AH442" s="71"/>
      <c r="AI442" s="227"/>
      <c r="AJ442" s="71"/>
      <c r="AK442" s="201"/>
      <c r="AL442" s="71"/>
      <c r="AM442" s="227"/>
      <c r="AN442" s="71"/>
      <c r="AO442" s="201"/>
      <c r="AP442" s="71"/>
      <c r="AQ442" s="227"/>
      <c r="AR442" s="71"/>
      <c r="AS442" s="227"/>
      <c r="AT442" s="228"/>
      <c r="AU442" s="227"/>
      <c r="AV442" s="228"/>
      <c r="AW442" s="227"/>
      <c r="AX442" s="229" t="n">
        <f aca="false">SUM(R442+T442+V442+X442+Z442+AB442+AD442+AF442+AH442+AJ442+AL442+AN442+AP442+AR442)</f>
        <v>4.9</v>
      </c>
      <c r="AY442" s="230" t="n">
        <f aca="false">SUM(AX442*1000)/48</f>
        <v>102.083333333333</v>
      </c>
      <c r="AZ442" s="231" t="n">
        <f aca="false">IFERROR(VLOOKUP(A442,'Site check'!$A$14:$O$47,15,0),0)</f>
        <v>0</v>
      </c>
      <c r="BA442" s="232" t="n">
        <f aca="false">SUM(AZ442*1000)/48</f>
        <v>0</v>
      </c>
      <c r="BB442" s="90" t="n">
        <f aca="false">SUM(P442/2)+E442</f>
        <v>51.0416666666667</v>
      </c>
      <c r="BC442" s="90" t="n">
        <f aca="false">SUM(P442/2)+F442</f>
        <v>51.0416666666667</v>
      </c>
    </row>
    <row r="443" customFormat="false" ht="13.15" hidden="false" customHeight="false" outlineLevel="0" collapsed="false">
      <c r="A443" s="0" t="str">
        <f aca="false">[2]Sheet1!A443</f>
        <v>FMYN31_SEC_CBDB_ BC01</v>
      </c>
      <c r="B443" s="0" t="str">
        <f aca="false">[2]Sheet1!B443</f>
        <v>FMYN31; DC SYS01</v>
      </c>
      <c r="C443" s="44" t="str">
        <f aca="false">[2]Sheet1!C443</f>
        <v>FMYN31</v>
      </c>
      <c r="D443" s="44" t="s">
        <v>586</v>
      </c>
      <c r="E443" s="0" t="str">
        <f aca="false">[2]Sheet1!D443</f>
        <v>not showing on meter</v>
      </c>
      <c r="F443" s="0" t="str">
        <f aca="false">[2]Sheet1!E443</f>
        <v>not showing on meter</v>
      </c>
      <c r="G443" s="45" t="n">
        <f aca="false">[2]Sheet1!F443</f>
        <v>44084</v>
      </c>
      <c r="H443" s="0" t="n">
        <f aca="false">[2]Sheet1!G443</f>
        <v>250</v>
      </c>
      <c r="I443" s="0" t="n">
        <f aca="false">[2]Sheet1!H443</f>
        <v>250</v>
      </c>
      <c r="J443" s="0" t="n">
        <f aca="false">[2]Sheet1!I443</f>
        <v>10</v>
      </c>
      <c r="K443" s="0" t="n">
        <f aca="false">[2]Sheet1!J443</f>
        <v>10</v>
      </c>
      <c r="L443" s="0" t="n">
        <f aca="false">[2]Sheet1!K443</f>
        <v>2</v>
      </c>
      <c r="M443" s="0" t="n">
        <f aca="false">[2]Sheet1!L443</f>
        <v>0</v>
      </c>
      <c r="N443" s="0" t="n">
        <f aca="false">[2]Sheet1!M443</f>
        <v>0</v>
      </c>
      <c r="O443" s="0" t="n">
        <f aca="false">[2]Sheet1!N443</f>
        <v>19</v>
      </c>
      <c r="P443" s="226" t="n">
        <f aca="false">SUM(AY443+BA443)</f>
        <v>0</v>
      </c>
      <c r="Q443" s="201"/>
      <c r="R443" s="71"/>
      <c r="S443" s="227"/>
      <c r="T443" s="71"/>
      <c r="U443" s="201"/>
      <c r="V443" s="71"/>
      <c r="W443" s="227"/>
      <c r="X443" s="71"/>
      <c r="Y443" s="201"/>
      <c r="Z443" s="71"/>
      <c r="AA443" s="227"/>
      <c r="AB443" s="71"/>
      <c r="AC443" s="201"/>
      <c r="AD443" s="71"/>
      <c r="AE443" s="227"/>
      <c r="AF443" s="71"/>
      <c r="AG443" s="201"/>
      <c r="AH443" s="71"/>
      <c r="AI443" s="227"/>
      <c r="AJ443" s="71"/>
      <c r="AK443" s="201"/>
      <c r="AL443" s="71"/>
      <c r="AM443" s="227"/>
      <c r="AN443" s="71"/>
      <c r="AO443" s="201"/>
      <c r="AP443" s="71"/>
      <c r="AQ443" s="227"/>
      <c r="AR443" s="71"/>
      <c r="AS443" s="227"/>
      <c r="AT443" s="228"/>
      <c r="AU443" s="227"/>
      <c r="AV443" s="228"/>
      <c r="AW443" s="227"/>
      <c r="AX443" s="229" t="n">
        <f aca="false">SUM(R443+T443+V443+X443+Z443+AB443+AD443+AF443+AH443+AJ443+AL443+AN443+AP443+AR443)</f>
        <v>0</v>
      </c>
      <c r="AY443" s="230" t="n">
        <f aca="false">SUM(AX443*1000)/48</f>
        <v>0</v>
      </c>
      <c r="AZ443" s="231" t="n">
        <f aca="false">IFERROR(VLOOKUP(A443,'Site check'!$A$14:$O$47,15,0),0)</f>
        <v>0</v>
      </c>
      <c r="BA443" s="232" t="n">
        <f aca="false">SUM(AZ443*1000)/48</f>
        <v>0</v>
      </c>
      <c r="BB443" s="90" t="e">
        <f aca="false">SUM(P443/2)+E443</f>
        <v>#VALUE!</v>
      </c>
      <c r="BC443" s="90" t="e">
        <f aca="false">SUM(P443/2)+F443</f>
        <v>#VALUE!</v>
      </c>
    </row>
    <row r="444" customFormat="false" ht="13.15" hidden="false" customHeight="false" outlineLevel="0" collapsed="false">
      <c r="A444" s="0" t="str">
        <f aca="false">[2]Sheet1!A444</f>
        <v>DCDB _2B</v>
      </c>
      <c r="B444" s="0" t="str">
        <f aca="false">[2]Sheet1!B444</f>
        <v>IVER02; DC SYS01</v>
      </c>
      <c r="C444" s="44" t="str">
        <f aca="false">[2]Sheet1!C444</f>
        <v>IVER02</v>
      </c>
      <c r="D444" s="44" t="s">
        <v>629</v>
      </c>
      <c r="E444" s="0" t="n">
        <f aca="false">[2]Sheet1!D444</f>
        <v>42</v>
      </c>
      <c r="F444" s="0" t="n">
        <f aca="false">[2]Sheet1!E444</f>
        <v>42</v>
      </c>
      <c r="G444" s="45" t="n">
        <f aca="false">[2]Sheet1!F444</f>
        <v>44113</v>
      </c>
      <c r="H444" s="0" t="str">
        <f aca="false">[2]Sheet1!G444</f>
        <v>unknown</v>
      </c>
      <c r="I444" s="0" t="str">
        <f aca="false">[2]Sheet1!H444</f>
        <v>unknown</v>
      </c>
      <c r="J444" s="0" t="n">
        <f aca="false">[2]Sheet1!I444</f>
        <v>0</v>
      </c>
      <c r="K444" s="0" t="n">
        <f aca="false">[2]Sheet1!J444</f>
        <v>0</v>
      </c>
      <c r="L444" s="0" t="n">
        <f aca="false">[2]Sheet1!K444</f>
        <v>3</v>
      </c>
      <c r="M444" s="0" t="n">
        <f aca="false">[2]Sheet1!L444</f>
        <v>3</v>
      </c>
      <c r="N444" s="0" t="n">
        <f aca="false">[2]Sheet1!M444</f>
        <v>3</v>
      </c>
      <c r="O444" s="0" t="n">
        <f aca="false">[2]Sheet1!N444</f>
        <v>3</v>
      </c>
      <c r="P444" s="226" t="n">
        <f aca="false">SUM(AY444+BA444)</f>
        <v>0</v>
      </c>
      <c r="Q444" s="201"/>
      <c r="R444" s="71"/>
      <c r="S444" s="227"/>
      <c r="T444" s="71"/>
      <c r="U444" s="201"/>
      <c r="V444" s="71"/>
      <c r="W444" s="227"/>
      <c r="X444" s="71"/>
      <c r="Y444" s="201"/>
      <c r="Z444" s="71"/>
      <c r="AA444" s="227"/>
      <c r="AB444" s="71"/>
      <c r="AC444" s="201"/>
      <c r="AD444" s="71"/>
      <c r="AE444" s="227"/>
      <c r="AF444" s="71"/>
      <c r="AG444" s="201"/>
      <c r="AH444" s="71"/>
      <c r="AI444" s="227"/>
      <c r="AJ444" s="71"/>
      <c r="AK444" s="201"/>
      <c r="AL444" s="71"/>
      <c r="AM444" s="227"/>
      <c r="AN444" s="71"/>
      <c r="AO444" s="201"/>
      <c r="AP444" s="71"/>
      <c r="AQ444" s="227"/>
      <c r="AR444" s="71"/>
      <c r="AS444" s="227"/>
      <c r="AT444" s="228"/>
      <c r="AU444" s="227"/>
      <c r="AV444" s="228"/>
      <c r="AW444" s="227"/>
      <c r="AX444" s="229" t="n">
        <f aca="false">SUM(R444+T444+V444+X444+Z444+AB444+AD444+AF444+AH444+AJ444+AL444+AN444+AP444+AR444)</f>
        <v>0</v>
      </c>
      <c r="AY444" s="230" t="n">
        <f aca="false">SUM(AX444*1000)/48</f>
        <v>0</v>
      </c>
      <c r="AZ444" s="231" t="n">
        <f aca="false">IFERROR(VLOOKUP(A444,'Site check'!$A$14:$O$47,15,0),0)</f>
        <v>0</v>
      </c>
      <c r="BA444" s="232" t="n">
        <f aca="false">SUM(AZ444*1000)/48</f>
        <v>0</v>
      </c>
      <c r="BB444" s="90" t="n">
        <f aca="false">SUM(P444/2)+E444</f>
        <v>42</v>
      </c>
      <c r="BC444" s="90" t="n">
        <f aca="false">SUM(P444/2)+F444</f>
        <v>42</v>
      </c>
    </row>
    <row r="445" customFormat="false" ht="13.15" hidden="false" customHeight="false" outlineLevel="0" collapsed="false">
      <c r="A445" s="0" t="str">
        <f aca="false">[2]Sheet1!A445</f>
        <v>NBYCD1_SEC_CBDB_F9</v>
      </c>
      <c r="B445" s="0" t="str">
        <f aca="false">[2]Sheet1!B445</f>
        <v>NBYCD1;DC SYS01</v>
      </c>
      <c r="C445" s="44" t="str">
        <f aca="false">[2]Sheet1!C445</f>
        <v>NBYCD1</v>
      </c>
      <c r="D445" s="44" t="s">
        <v>683</v>
      </c>
      <c r="E445" s="0" t="n">
        <f aca="false">[2]Sheet1!D445</f>
        <v>60</v>
      </c>
      <c r="F445" s="0" t="n">
        <f aca="false">[2]Sheet1!E445</f>
        <v>60</v>
      </c>
      <c r="G445" s="45" t="n">
        <f aca="false">[2]Sheet1!F445</f>
        <v>44991</v>
      </c>
      <c r="H445" s="0" t="n">
        <f aca="false">[2]Sheet1!G445</f>
        <v>300</v>
      </c>
      <c r="I445" s="0" t="str">
        <f aca="false">[2]Sheet1!H445</f>
        <v>300</v>
      </c>
      <c r="J445" s="0" t="n">
        <f aca="false">[2]Sheet1!I445</f>
        <v>0</v>
      </c>
      <c r="K445" s="0" t="n">
        <f aca="false">[2]Sheet1!J445</f>
        <v>0</v>
      </c>
      <c r="L445" s="0" t="n">
        <f aca="false">[2]Sheet1!K445</f>
        <v>0</v>
      </c>
      <c r="M445" s="0" t="n">
        <f aca="false">[2]Sheet1!L445</f>
        <v>0</v>
      </c>
      <c r="N445" s="0" t="n">
        <f aca="false">[2]Sheet1!M445</f>
        <v>0</v>
      </c>
      <c r="O445" s="0" t="n">
        <f aca="false">[2]Sheet1!N445</f>
        <v>38</v>
      </c>
      <c r="P445" s="226" t="n">
        <f aca="false">SUM(AY445+BA445)</f>
        <v>0</v>
      </c>
      <c r="Q445" s="201"/>
      <c r="R445" s="71"/>
      <c r="S445" s="227"/>
      <c r="T445" s="71"/>
      <c r="U445" s="201"/>
      <c r="V445" s="71"/>
      <c r="W445" s="227"/>
      <c r="X445" s="71"/>
      <c r="Y445" s="201"/>
      <c r="Z445" s="71"/>
      <c r="AA445" s="227"/>
      <c r="AB445" s="71"/>
      <c r="AC445" s="201"/>
      <c r="AD445" s="71"/>
      <c r="AE445" s="227"/>
      <c r="AF445" s="71"/>
      <c r="AG445" s="201"/>
      <c r="AH445" s="71"/>
      <c r="AI445" s="227"/>
      <c r="AJ445" s="71"/>
      <c r="AK445" s="201"/>
      <c r="AL445" s="71"/>
      <c r="AM445" s="227"/>
      <c r="AN445" s="71"/>
      <c r="AO445" s="201"/>
      <c r="AP445" s="71"/>
      <c r="AQ445" s="227"/>
      <c r="AR445" s="71"/>
      <c r="AS445" s="227"/>
      <c r="AT445" s="228"/>
      <c r="AU445" s="227"/>
      <c r="AV445" s="228"/>
      <c r="AW445" s="227"/>
      <c r="AX445" s="229" t="n">
        <f aca="false">SUM(R445+T445+V445+X445+Z445+AB445+AD445+AF445+AH445+AJ445+AL445+AN445+AP445+AR445)</f>
        <v>0</v>
      </c>
      <c r="AY445" s="230" t="n">
        <f aca="false">SUM(AX445*1000)/48</f>
        <v>0</v>
      </c>
      <c r="AZ445" s="231" t="n">
        <f aca="false">IFERROR(VLOOKUP(A445,'Site check'!$A$14:$O$47,15,0),0)</f>
        <v>0</v>
      </c>
      <c r="BA445" s="232" t="n">
        <f aca="false">SUM(AZ445*1000)/48</f>
        <v>0</v>
      </c>
      <c r="BB445" s="90" t="n">
        <f aca="false">SUM(P445/2)+E445</f>
        <v>60</v>
      </c>
      <c r="BC445" s="90" t="n">
        <f aca="false">SUM(P445/2)+F445</f>
        <v>60</v>
      </c>
    </row>
    <row r="446" customFormat="false" ht="13.15" hidden="false" customHeight="false" outlineLevel="0" collapsed="false">
      <c r="A446" s="0" t="str">
        <f aca="false">[2]Sheet1!A446</f>
        <v>NBYCD1_SEC_CBDB_GG11</v>
      </c>
      <c r="B446" s="0" t="str">
        <f aca="false">[2]Sheet1!B446</f>
        <v>NBYCD1;DC SYS01</v>
      </c>
      <c r="C446" s="44" t="str">
        <f aca="false">[2]Sheet1!C446</f>
        <v>NBYCD1</v>
      </c>
      <c r="D446" s="44" t="s">
        <v>683</v>
      </c>
      <c r="E446" s="0" t="n">
        <f aca="false">[2]Sheet1!D446</f>
        <v>180</v>
      </c>
      <c r="F446" s="0" t="n">
        <f aca="false">[2]Sheet1!E446</f>
        <v>0</v>
      </c>
      <c r="G446" s="45" t="n">
        <f aca="false">[2]Sheet1!F446</f>
        <v>44991</v>
      </c>
      <c r="H446" s="0" t="n">
        <f aca="false">[2]Sheet1!G446</f>
        <v>300</v>
      </c>
      <c r="I446" s="0" t="n">
        <f aca="false">[2]Sheet1!H446</f>
        <v>300</v>
      </c>
      <c r="J446" s="0" t="n">
        <f aca="false">[2]Sheet1!I446</f>
        <v>1</v>
      </c>
      <c r="K446" s="0" t="n">
        <f aca="false">[2]Sheet1!J446</f>
        <v>0</v>
      </c>
      <c r="L446" s="0" t="n">
        <f aca="false">[2]Sheet1!K446</f>
        <v>0</v>
      </c>
      <c r="M446" s="0" t="n">
        <f aca="false">[2]Sheet1!L446</f>
        <v>1</v>
      </c>
      <c r="N446" s="0" t="n">
        <f aca="false">[2]Sheet1!M446</f>
        <v>0</v>
      </c>
      <c r="O446" s="0" t="n">
        <f aca="false">[2]Sheet1!N446</f>
        <v>0</v>
      </c>
      <c r="P446" s="226" t="n">
        <f aca="false">SUM(AY446+BA446)</f>
        <v>10.4166666666667</v>
      </c>
      <c r="Q446" s="201" t="s">
        <v>1315</v>
      </c>
      <c r="R446" s="71" t="n">
        <v>0.5</v>
      </c>
      <c r="S446" s="170"/>
      <c r="T446" s="234"/>
      <c r="U446" s="170"/>
      <c r="V446" s="234"/>
      <c r="W446" s="179"/>
      <c r="X446" s="233"/>
      <c r="Y446" s="179"/>
      <c r="Z446" s="233"/>
      <c r="AA446" s="227"/>
      <c r="AB446" s="71"/>
      <c r="AC446" s="201"/>
      <c r="AD446" s="71"/>
      <c r="AE446" s="227"/>
      <c r="AF446" s="71"/>
      <c r="AG446" s="201"/>
      <c r="AH446" s="71"/>
      <c r="AI446" s="227"/>
      <c r="AJ446" s="71"/>
      <c r="AK446" s="201"/>
      <c r="AL446" s="71"/>
      <c r="AM446" s="227"/>
      <c r="AN446" s="71"/>
      <c r="AO446" s="201"/>
      <c r="AP446" s="71"/>
      <c r="AQ446" s="227"/>
      <c r="AR446" s="71"/>
      <c r="AS446" s="227"/>
      <c r="AT446" s="228"/>
      <c r="AU446" s="227"/>
      <c r="AV446" s="228"/>
      <c r="AW446" s="227"/>
      <c r="AX446" s="229" t="n">
        <f aca="false">SUM(R446+T446+V446+X446+Z446+AB446+AD446+AF446+AH446+AJ446+AL446+AN446+AP446+AR446)</f>
        <v>0.5</v>
      </c>
      <c r="AY446" s="230" t="n">
        <f aca="false">SUM(AX446*1000)/48</f>
        <v>10.4166666666667</v>
      </c>
      <c r="AZ446" s="231" t="n">
        <f aca="false">IFERROR(VLOOKUP(A446,'Site check'!$A$14:$O$47,15,0),0)</f>
        <v>0</v>
      </c>
      <c r="BA446" s="232" t="n">
        <f aca="false">SUM(AZ446*1000)/48</f>
        <v>0</v>
      </c>
      <c r="BB446" s="90" t="n">
        <f aca="false">SUM(P446/2)+E446</f>
        <v>185.208333333333</v>
      </c>
      <c r="BC446" s="90" t="n">
        <f aca="false">SUM(P446/2)+F446</f>
        <v>5.20833333333333</v>
      </c>
    </row>
    <row r="447" customFormat="false" ht="13.15" hidden="false" customHeight="false" outlineLevel="0" collapsed="false">
      <c r="A447" s="0" t="str">
        <f aca="false">[2]Sheet1!A447</f>
        <v>POLN02_PDUA_B</v>
      </c>
      <c r="B447" s="0" t="str">
        <f aca="false">[2]Sheet1!B447</f>
        <v>POLN02-DCSYS01a</v>
      </c>
      <c r="C447" s="44" t="str">
        <f aca="false">[2]Sheet1!C447</f>
        <v>POLN02</v>
      </c>
      <c r="D447" s="44" t="s">
        <v>720</v>
      </c>
      <c r="E447" s="0" t="n">
        <f aca="false">[2]Sheet1!D447</f>
        <v>52.97</v>
      </c>
      <c r="F447" s="0" t="n">
        <f aca="false">[2]Sheet1!E447</f>
        <v>4.96</v>
      </c>
      <c r="G447" s="45" t="n">
        <f aca="false">[2]Sheet1!F447</f>
        <v>45631</v>
      </c>
      <c r="H447" s="0" t="n">
        <f aca="false">[2]Sheet1!G447</f>
        <v>360</v>
      </c>
      <c r="I447" s="0" t="n">
        <f aca="false">[2]Sheet1!H447</f>
        <v>360</v>
      </c>
      <c r="J447" s="0" t="n">
        <f aca="false">[2]Sheet1!I447</f>
        <v>0</v>
      </c>
      <c r="K447" s="0" t="n">
        <f aca="false">[2]Sheet1!J447</f>
        <v>0</v>
      </c>
      <c r="L447" s="0" t="n">
        <f aca="false">[2]Sheet1!K447</f>
        <v>0</v>
      </c>
      <c r="M447" s="0" t="n">
        <f aca="false">[2]Sheet1!L447</f>
        <v>0</v>
      </c>
      <c r="N447" s="0" t="n">
        <f aca="false">[2]Sheet1!M447</f>
        <v>0</v>
      </c>
      <c r="O447" s="0" t="n">
        <f aca="false">[2]Sheet1!N447</f>
        <v>0</v>
      </c>
      <c r="P447" s="226" t="n">
        <f aca="false">SUM(AY447+BA447)</f>
        <v>475</v>
      </c>
      <c r="Q447" s="170" t="s">
        <v>1553</v>
      </c>
      <c r="R447" s="234" t="n">
        <v>5</v>
      </c>
      <c r="S447" s="170" t="s">
        <v>1537</v>
      </c>
      <c r="T447" s="234" t="n">
        <v>11.6</v>
      </c>
      <c r="U447" s="179" t="s">
        <v>1339</v>
      </c>
      <c r="V447" s="233" t="n">
        <v>2</v>
      </c>
      <c r="W447" s="181" t="s">
        <v>1339</v>
      </c>
      <c r="X447" s="237" t="n">
        <v>1.7</v>
      </c>
      <c r="Y447" s="201" t="s">
        <v>1338</v>
      </c>
      <c r="Z447" s="71" t="n">
        <v>2.5</v>
      </c>
      <c r="AA447" s="227"/>
      <c r="AB447" s="71"/>
      <c r="AC447" s="201"/>
      <c r="AD447" s="71"/>
      <c r="AE447" s="227"/>
      <c r="AF447" s="71"/>
      <c r="AG447" s="201"/>
      <c r="AH447" s="71"/>
      <c r="AI447" s="227"/>
      <c r="AJ447" s="71"/>
      <c r="AK447" s="201"/>
      <c r="AL447" s="71"/>
      <c r="AM447" s="227"/>
      <c r="AN447" s="71"/>
      <c r="AO447" s="201"/>
      <c r="AP447" s="71"/>
      <c r="AQ447" s="227"/>
      <c r="AR447" s="71"/>
      <c r="AS447" s="227"/>
      <c r="AT447" s="228"/>
      <c r="AU447" s="227"/>
      <c r="AV447" s="228"/>
      <c r="AW447" s="227"/>
      <c r="AX447" s="229" t="n">
        <f aca="false">SUM(R447+T447+V447+X447+Z447+AB447+AD447+AF447+AH447+AJ447+AL447+AN447+AP447+AR447)</f>
        <v>22.8</v>
      </c>
      <c r="AY447" s="230" t="n">
        <f aca="false">SUM(AX447*1000)/48</f>
        <v>475</v>
      </c>
      <c r="AZ447" s="231" t="n">
        <f aca="false">IFERROR(VLOOKUP(A447,'Site check'!$A$14:$O$47,15,0),0)</f>
        <v>0</v>
      </c>
      <c r="BA447" s="232" t="n">
        <f aca="false">SUM(AZ447*1000)/48</f>
        <v>0</v>
      </c>
      <c r="BB447" s="90" t="n">
        <f aca="false">SUM(P447/2)+E447</f>
        <v>290.47</v>
      </c>
      <c r="BC447" s="90" t="n">
        <f aca="false">SUM(P447/2)+F447</f>
        <v>242.46</v>
      </c>
    </row>
    <row r="448" customFormat="false" ht="13.15" hidden="false" customHeight="false" outlineLevel="0" collapsed="false">
      <c r="A448" s="0" t="str">
        <f aca="false">[2]Sheet1!A448</f>
        <v>POLN02_SEC_DD770_CD01</v>
      </c>
      <c r="B448" s="0" t="str">
        <f aca="false">[2]Sheet1!B448</f>
        <v>POLN02-DCSYS01a</v>
      </c>
      <c r="C448" s="44" t="str">
        <f aca="false">[2]Sheet1!C448</f>
        <v>POLN02</v>
      </c>
      <c r="D448" s="44" t="s">
        <v>720</v>
      </c>
      <c r="E448" s="0" t="n">
        <f aca="false">[2]Sheet1!D448</f>
        <v>140</v>
      </c>
      <c r="F448" s="0" t="n">
        <f aca="false">[2]Sheet1!E448</f>
        <v>40</v>
      </c>
      <c r="G448" s="45" t="n">
        <f aca="false">[2]Sheet1!F448</f>
        <v>44991</v>
      </c>
      <c r="H448" s="0" t="n">
        <f aca="false">[2]Sheet1!G448</f>
        <v>300</v>
      </c>
      <c r="I448" s="0" t="n">
        <f aca="false">[2]Sheet1!H448</f>
        <v>300</v>
      </c>
      <c r="J448" s="0" t="n">
        <f aca="false">[2]Sheet1!I448</f>
        <v>6</v>
      </c>
      <c r="K448" s="0" t="n">
        <f aca="false">[2]Sheet1!J448</f>
        <v>2</v>
      </c>
      <c r="L448" s="0" t="n">
        <f aca="false">[2]Sheet1!K448</f>
        <v>0</v>
      </c>
      <c r="M448" s="0" t="n">
        <f aca="false">[2]Sheet1!L448</f>
        <v>14</v>
      </c>
      <c r="N448" s="0" t="n">
        <f aca="false">[2]Sheet1!M448</f>
        <v>7</v>
      </c>
      <c r="O448" s="0" t="n">
        <f aca="false">[2]Sheet1!N448</f>
        <v>0</v>
      </c>
      <c r="P448" s="226" t="n">
        <f aca="false">SUM(AY448+BA448)</f>
        <v>0</v>
      </c>
      <c r="Q448" s="201"/>
      <c r="R448" s="71"/>
      <c r="S448" s="227"/>
      <c r="T448" s="71"/>
      <c r="U448" s="201"/>
      <c r="V448" s="71"/>
      <c r="W448" s="227"/>
      <c r="X448" s="71"/>
      <c r="Y448" s="201"/>
      <c r="Z448" s="71"/>
      <c r="AA448" s="227"/>
      <c r="AB448" s="71"/>
      <c r="AC448" s="201"/>
      <c r="AD448" s="71"/>
      <c r="AE448" s="227"/>
      <c r="AF448" s="71"/>
      <c r="AG448" s="201"/>
      <c r="AH448" s="71"/>
      <c r="AI448" s="227"/>
      <c r="AJ448" s="71"/>
      <c r="AK448" s="201"/>
      <c r="AL448" s="71"/>
      <c r="AM448" s="227"/>
      <c r="AN448" s="71"/>
      <c r="AO448" s="201"/>
      <c r="AP448" s="71"/>
      <c r="AQ448" s="227"/>
      <c r="AR448" s="71"/>
      <c r="AS448" s="227"/>
      <c r="AT448" s="228"/>
      <c r="AU448" s="227"/>
      <c r="AV448" s="228"/>
      <c r="AW448" s="227"/>
      <c r="AX448" s="229" t="n">
        <f aca="false">SUM(R448+T448+V448+X448+Z448+AB448+AD448+AF448+AH448+AJ448+AL448+AN448+AP448+AR448)</f>
        <v>0</v>
      </c>
      <c r="AY448" s="230" t="n">
        <f aca="false">SUM(AX448*1000)/48</f>
        <v>0</v>
      </c>
      <c r="AZ448" s="231" t="n">
        <f aca="false">IFERROR(VLOOKUP(A448,'Site check'!$A$14:$O$47,15,0),0)</f>
        <v>0</v>
      </c>
      <c r="BA448" s="232" t="n">
        <f aca="false">SUM(AZ448*1000)/48</f>
        <v>0</v>
      </c>
      <c r="BB448" s="90" t="n">
        <f aca="false">SUM(P448/2)+E448</f>
        <v>140</v>
      </c>
      <c r="BC448" s="90" t="n">
        <f aca="false">SUM(P448/2)+F448</f>
        <v>40</v>
      </c>
    </row>
    <row r="449" customFormat="false" ht="13.15" hidden="false" customHeight="false" outlineLevel="0" collapsed="false">
      <c r="A449" s="0" t="str">
        <f aca="false">[2]Sheet1!A449</f>
        <v>POLN02_SEC_DD770_EF01</v>
      </c>
      <c r="B449" s="0" t="str">
        <f aca="false">[2]Sheet1!B449</f>
        <v>POLN02-DCSYS01a</v>
      </c>
      <c r="C449" s="44" t="str">
        <f aca="false">[2]Sheet1!C449</f>
        <v>POLN02</v>
      </c>
      <c r="D449" s="44" t="s">
        <v>720</v>
      </c>
      <c r="E449" s="0" t="n">
        <f aca="false">[2]Sheet1!D449</f>
        <v>80</v>
      </c>
      <c r="F449" s="0" t="n">
        <f aca="false">[2]Sheet1!E449</f>
        <v>15</v>
      </c>
      <c r="G449" s="45" t="n">
        <f aca="false">[2]Sheet1!F449</f>
        <v>44991</v>
      </c>
      <c r="H449" s="0" t="n">
        <f aca="false">[2]Sheet1!G449</f>
        <v>300</v>
      </c>
      <c r="I449" s="0" t="n">
        <f aca="false">[2]Sheet1!H449</f>
        <v>300</v>
      </c>
      <c r="J449" s="0" t="n">
        <f aca="false">[2]Sheet1!I449</f>
        <v>6</v>
      </c>
      <c r="K449" s="0" t="n">
        <f aca="false">[2]Sheet1!J449</f>
        <v>1</v>
      </c>
      <c r="L449" s="0" t="n">
        <f aca="false">[2]Sheet1!K449</f>
        <v>2</v>
      </c>
      <c r="M449" s="0" t="n">
        <f aca="false">[2]Sheet1!L449</f>
        <v>24</v>
      </c>
      <c r="N449" s="0" t="n">
        <f aca="false">[2]Sheet1!M449</f>
        <v>11</v>
      </c>
      <c r="O449" s="0" t="n">
        <f aca="false">[2]Sheet1!N449</f>
        <v>0</v>
      </c>
      <c r="P449" s="226" t="n">
        <f aca="false">SUM(AY449+BA449)</f>
        <v>31.25</v>
      </c>
      <c r="Q449" s="170" t="s">
        <v>1336</v>
      </c>
      <c r="R449" s="234" t="n">
        <v>0.5</v>
      </c>
      <c r="S449" s="181" t="s">
        <v>1554</v>
      </c>
      <c r="T449" s="237" t="n">
        <v>1</v>
      </c>
      <c r="U449" s="201"/>
      <c r="V449" s="71"/>
      <c r="W449" s="227"/>
      <c r="X449" s="71"/>
      <c r="Y449" s="201"/>
      <c r="Z449" s="71"/>
      <c r="AA449" s="227"/>
      <c r="AB449" s="71"/>
      <c r="AC449" s="201"/>
      <c r="AD449" s="71"/>
      <c r="AE449" s="227"/>
      <c r="AF449" s="71"/>
      <c r="AG449" s="201"/>
      <c r="AH449" s="71"/>
      <c r="AI449" s="227"/>
      <c r="AJ449" s="71"/>
      <c r="AK449" s="201"/>
      <c r="AL449" s="71"/>
      <c r="AM449" s="227"/>
      <c r="AN449" s="71"/>
      <c r="AO449" s="201"/>
      <c r="AP449" s="71"/>
      <c r="AQ449" s="227"/>
      <c r="AR449" s="71"/>
      <c r="AS449" s="227"/>
      <c r="AT449" s="228"/>
      <c r="AU449" s="227"/>
      <c r="AV449" s="228"/>
      <c r="AW449" s="227"/>
      <c r="AX449" s="229" t="n">
        <f aca="false">SUM(R449+T449+V449+X449+Z449+AB449+AD449+AF449+AH449+AJ449+AL449+AN449+AP449+AR449)</f>
        <v>1.5</v>
      </c>
      <c r="AY449" s="230" t="n">
        <f aca="false">SUM(AX449*1000)/48</f>
        <v>31.25</v>
      </c>
      <c r="AZ449" s="231" t="n">
        <f aca="false">IFERROR(VLOOKUP(A449,'Site check'!$A$14:$O$47,15,0),0)</f>
        <v>0</v>
      </c>
      <c r="BA449" s="232" t="n">
        <f aca="false">SUM(AZ449*1000)/48</f>
        <v>0</v>
      </c>
      <c r="BB449" s="90" t="n">
        <f aca="false">SUM(P449/2)+E449</f>
        <v>95.625</v>
      </c>
      <c r="BC449" s="90" t="n">
        <f aca="false">SUM(P449/2)+F449</f>
        <v>30.625</v>
      </c>
    </row>
    <row r="450" customFormat="false" ht="13.15" hidden="false" customHeight="false" outlineLevel="0" collapsed="false">
      <c r="A450" s="0" t="str">
        <f aca="false">[2]Sheet1!A450</f>
        <v>RDG_SEC_DD770_FO</v>
      </c>
      <c r="B450" s="0" t="str">
        <f aca="false">[2]Sheet1!B450</f>
        <v>RDG;DC SYS01</v>
      </c>
      <c r="C450" s="44" t="str">
        <f aca="false">[2]Sheet1!C450</f>
        <v>RDG</v>
      </c>
      <c r="D450" s="44" t="s">
        <v>742</v>
      </c>
      <c r="E450" s="0" t="n">
        <f aca="false">[2]Sheet1!D450</f>
        <v>125</v>
      </c>
      <c r="F450" s="0" t="n">
        <f aca="false">[2]Sheet1!E450</f>
        <v>125</v>
      </c>
      <c r="G450" s="45" t="n">
        <f aca="false">[2]Sheet1!F450</f>
        <v>44991</v>
      </c>
      <c r="H450" s="0" t="n">
        <f aca="false">[2]Sheet1!G450</f>
        <v>300</v>
      </c>
      <c r="I450" s="0" t="n">
        <f aca="false">[2]Sheet1!H450</f>
        <v>300</v>
      </c>
      <c r="J450" s="0" t="n">
        <f aca="false">[2]Sheet1!I450</f>
        <v>5</v>
      </c>
      <c r="K450" s="0" t="n">
        <f aca="false">[2]Sheet1!J450</f>
        <v>0</v>
      </c>
      <c r="L450" s="0" t="n">
        <f aca="false">[2]Sheet1!K450</f>
        <v>0</v>
      </c>
      <c r="M450" s="0" t="n">
        <f aca="false">[2]Sheet1!L450</f>
        <v>9</v>
      </c>
      <c r="N450" s="0" t="n">
        <f aca="false">[2]Sheet1!M450</f>
        <v>9</v>
      </c>
      <c r="O450" s="0" t="n">
        <f aca="false">[2]Sheet1!N450</f>
        <v>0</v>
      </c>
      <c r="P450" s="226" t="n">
        <f aca="false">SUM(AY450+BA450)</f>
        <v>0</v>
      </c>
      <c r="Q450" s="201"/>
      <c r="R450" s="71"/>
      <c r="S450" s="227"/>
      <c r="T450" s="71"/>
      <c r="U450" s="201"/>
      <c r="V450" s="71"/>
      <c r="W450" s="227"/>
      <c r="X450" s="71"/>
      <c r="Y450" s="201"/>
      <c r="Z450" s="71"/>
      <c r="AA450" s="227"/>
      <c r="AB450" s="71"/>
      <c r="AC450" s="201"/>
      <c r="AD450" s="71"/>
      <c r="AE450" s="227"/>
      <c r="AF450" s="71"/>
      <c r="AG450" s="201"/>
      <c r="AH450" s="71"/>
      <c r="AI450" s="227"/>
      <c r="AJ450" s="71"/>
      <c r="AK450" s="201"/>
      <c r="AL450" s="71"/>
      <c r="AM450" s="227"/>
      <c r="AN450" s="71"/>
      <c r="AO450" s="201"/>
      <c r="AP450" s="71"/>
      <c r="AQ450" s="227"/>
      <c r="AR450" s="71"/>
      <c r="AS450" s="227"/>
      <c r="AT450" s="228"/>
      <c r="AU450" s="227"/>
      <c r="AV450" s="228"/>
      <c r="AW450" s="227"/>
      <c r="AX450" s="229" t="n">
        <f aca="false">SUM(R450+T450+V450+X450+Z450+AB450+AD450+AF450+AH450+AJ450+AL450+AN450+AP450+AR450)</f>
        <v>0</v>
      </c>
      <c r="AY450" s="230" t="n">
        <f aca="false">SUM(AX450*1000)/48</f>
        <v>0</v>
      </c>
      <c r="AZ450" s="231" t="n">
        <f aca="false">IFERROR(VLOOKUP(A450,'Site check'!$A$14:$O$47,15,0),0)</f>
        <v>0</v>
      </c>
      <c r="BA450" s="232" t="n">
        <f aca="false">SUM(AZ450*1000)/48</f>
        <v>0</v>
      </c>
      <c r="BB450" s="90" t="n">
        <f aca="false">SUM(P450/2)+E450</f>
        <v>125</v>
      </c>
      <c r="BC450" s="90" t="n">
        <f aca="false">SUM(P450/2)+F450</f>
        <v>125</v>
      </c>
    </row>
    <row r="451" customFormat="false" ht="13.15" hidden="false" customHeight="false" outlineLevel="0" collapsed="false">
      <c r="A451" s="0" t="str">
        <f aca="false">[2]Sheet1!A451</f>
        <v>RDGCD1_SEC_CDDB_A05</v>
      </c>
      <c r="B451" s="0" t="str">
        <f aca="false">[2]Sheet1!B451</f>
        <v>RDGCD1;DC SYS01</v>
      </c>
      <c r="C451" s="44" t="str">
        <f aca="false">[2]Sheet1!C451</f>
        <v>RDGCD1</v>
      </c>
      <c r="D451" s="44" t="s">
        <v>1555</v>
      </c>
      <c r="E451" s="0" t="n">
        <f aca="false">[2]Sheet1!D451</f>
        <v>0</v>
      </c>
      <c r="F451" s="0" t="n">
        <f aca="false">[2]Sheet1!E451</f>
        <v>0</v>
      </c>
      <c r="G451" s="45" t="n">
        <f aca="false">[2]Sheet1!F451</f>
        <v>0</v>
      </c>
      <c r="H451" s="0" t="n">
        <f aca="false">[2]Sheet1!G451</f>
        <v>300</v>
      </c>
      <c r="I451" s="0" t="n">
        <f aca="false">[2]Sheet1!H451</f>
        <v>300</v>
      </c>
      <c r="J451" s="0" t="n">
        <f aca="false">[2]Sheet1!I451</f>
        <v>0</v>
      </c>
      <c r="K451" s="0" t="n">
        <f aca="false">[2]Sheet1!J451</f>
        <v>0</v>
      </c>
      <c r="L451" s="0" t="n">
        <f aca="false">[2]Sheet1!K451</f>
        <v>0</v>
      </c>
      <c r="M451" s="0" t="n">
        <f aca="false">[2]Sheet1!L451</f>
        <v>0</v>
      </c>
      <c r="N451" s="0" t="n">
        <f aca="false">[2]Sheet1!M451</f>
        <v>0</v>
      </c>
      <c r="O451" s="0" t="n">
        <f aca="false">[2]Sheet1!N451</f>
        <v>0</v>
      </c>
      <c r="P451" s="226" t="n">
        <f aca="false">SUM(AY451+BA451)</f>
        <v>0</v>
      </c>
      <c r="Q451" s="201"/>
      <c r="R451" s="71"/>
      <c r="S451" s="227"/>
      <c r="T451" s="71"/>
      <c r="U451" s="201"/>
      <c r="V451" s="71"/>
      <c r="W451" s="227"/>
      <c r="X451" s="71"/>
      <c r="Y451" s="201"/>
      <c r="Z451" s="71"/>
      <c r="AA451" s="227"/>
      <c r="AB451" s="71"/>
      <c r="AC451" s="201"/>
      <c r="AD451" s="71"/>
      <c r="AE451" s="227"/>
      <c r="AF451" s="71"/>
      <c r="AG451" s="201"/>
      <c r="AH451" s="71"/>
      <c r="AI451" s="227"/>
      <c r="AJ451" s="71"/>
      <c r="AK451" s="201"/>
      <c r="AL451" s="71"/>
      <c r="AM451" s="227"/>
      <c r="AN451" s="71"/>
      <c r="AO451" s="201"/>
      <c r="AP451" s="71"/>
      <c r="AQ451" s="227"/>
      <c r="AR451" s="71"/>
      <c r="AS451" s="227"/>
      <c r="AT451" s="228"/>
      <c r="AU451" s="227"/>
      <c r="AV451" s="228"/>
      <c r="AW451" s="227"/>
      <c r="AX451" s="229" t="n">
        <f aca="false">SUM(R451+T451+V451+X451+Z451+AB451+AD451+AF451+AH451+AJ451+AL451+AN451+AP451+AR451)</f>
        <v>0</v>
      </c>
      <c r="AY451" s="230" t="n">
        <f aca="false">SUM(AX451*1000)/48</f>
        <v>0</v>
      </c>
      <c r="AZ451" s="231" t="n">
        <f aca="false">IFERROR(VLOOKUP(A451,'Site check'!$A$14:$O$47,15,0),0)</f>
        <v>0</v>
      </c>
      <c r="BA451" s="232" t="n">
        <f aca="false">SUM(AZ451*1000)/48</f>
        <v>0</v>
      </c>
      <c r="BB451" s="90" t="n">
        <f aca="false">SUM(P451/2)+E451</f>
        <v>0</v>
      </c>
      <c r="BC451" s="90" t="n">
        <f aca="false">SUM(P451/2)+F451</f>
        <v>0</v>
      </c>
    </row>
    <row r="452" customFormat="false" ht="13.15" hidden="false" customHeight="false" outlineLevel="0" collapsed="false">
      <c r="A452" s="0" t="str">
        <f aca="false">[2]Sheet1!A452</f>
        <v>RDGCD2_SEC_CDDB_TU09</v>
      </c>
      <c r="B452" s="0" t="str">
        <f aca="false">[2]Sheet1!B452</f>
        <v>RDGCD1;DC SYS01</v>
      </c>
      <c r="C452" s="44" t="str">
        <f aca="false">[2]Sheet1!C452</f>
        <v>RDGCD2</v>
      </c>
      <c r="D452" s="44" t="s">
        <v>740</v>
      </c>
      <c r="E452" s="0" t="n">
        <f aca="false">[2]Sheet1!D452</f>
        <v>50</v>
      </c>
      <c r="F452" s="0" t="n">
        <f aca="false">[2]Sheet1!E452</f>
        <v>50</v>
      </c>
      <c r="G452" s="45" t="n">
        <f aca="false">[2]Sheet1!F452</f>
        <v>45579</v>
      </c>
      <c r="H452" s="0" t="n">
        <f aca="false">[2]Sheet1!G452</f>
        <v>300</v>
      </c>
      <c r="I452" s="0" t="n">
        <f aca="false">[2]Sheet1!H452</f>
        <v>300</v>
      </c>
      <c r="J452" s="0" t="n">
        <f aca="false">[2]Sheet1!I452</f>
        <v>4</v>
      </c>
      <c r="K452" s="0" t="n">
        <f aca="false">[2]Sheet1!J452</f>
        <v>0</v>
      </c>
      <c r="L452" s="0" t="n">
        <f aca="false">[2]Sheet1!K452</f>
        <v>0</v>
      </c>
      <c r="M452" s="0" t="n">
        <f aca="false">[2]Sheet1!L452</f>
        <v>3</v>
      </c>
      <c r="N452" s="0" t="n">
        <f aca="false">[2]Sheet1!M452</f>
        <v>1</v>
      </c>
      <c r="O452" s="0" t="n">
        <f aca="false">[2]Sheet1!N452</f>
        <v>24</v>
      </c>
      <c r="P452" s="226" t="n">
        <f aca="false">SUM(AY452+BA452)</f>
        <v>87.5</v>
      </c>
      <c r="Q452" s="179" t="s">
        <v>1353</v>
      </c>
      <c r="R452" s="180" t="n">
        <v>4.2</v>
      </c>
      <c r="S452" s="227"/>
      <c r="T452" s="71"/>
      <c r="U452" s="201"/>
      <c r="V452" s="71"/>
      <c r="W452" s="227"/>
      <c r="X452" s="71"/>
      <c r="Y452" s="201"/>
      <c r="Z452" s="71"/>
      <c r="AA452" s="227"/>
      <c r="AB452" s="71"/>
      <c r="AC452" s="201"/>
      <c r="AD452" s="71"/>
      <c r="AE452" s="227"/>
      <c r="AF452" s="71"/>
      <c r="AG452" s="201"/>
      <c r="AH452" s="71"/>
      <c r="AI452" s="227"/>
      <c r="AJ452" s="71"/>
      <c r="AK452" s="201"/>
      <c r="AL452" s="71"/>
      <c r="AM452" s="227"/>
      <c r="AN452" s="71"/>
      <c r="AO452" s="201"/>
      <c r="AP452" s="71"/>
      <c r="AQ452" s="227"/>
      <c r="AR452" s="71"/>
      <c r="AS452" s="227"/>
      <c r="AT452" s="228"/>
      <c r="AU452" s="227"/>
      <c r="AV452" s="228"/>
      <c r="AW452" s="227"/>
      <c r="AX452" s="229" t="n">
        <f aca="false">SUM(R452+T452+V452+X452+Z452+AB452+AD452+AF452+AH452+AJ452+AL452+AN452+AP452+AR452)</f>
        <v>4.2</v>
      </c>
      <c r="AY452" s="230" t="n">
        <f aca="false">SUM(AX452*1000)/48</f>
        <v>87.5</v>
      </c>
      <c r="AZ452" s="231" t="n">
        <f aca="false">IFERROR(VLOOKUP(A452,'Site check'!$A$14:$O$47,15,0),0)</f>
        <v>0</v>
      </c>
      <c r="BA452" s="232" t="n">
        <f aca="false">SUM(AZ452*1000)/48</f>
        <v>0</v>
      </c>
      <c r="BB452" s="90" t="n">
        <f aca="false">SUM(P452/2)+E452</f>
        <v>93.75</v>
      </c>
      <c r="BC452" s="90" t="n">
        <f aca="false">SUM(P452/2)+F452</f>
        <v>93.75</v>
      </c>
    </row>
    <row r="453" customFormat="false" ht="13.15" hidden="false" customHeight="false" outlineLevel="0" collapsed="false">
      <c r="A453" s="0" t="str">
        <f aca="false">[2]Sheet1!A453</f>
        <v>SLO_SEC_DD770_AB0</v>
      </c>
      <c r="B453" s="0" t="str">
        <f aca="false">[2]Sheet1!B453</f>
        <v>SLO;DC SYS01</v>
      </c>
      <c r="C453" s="44" t="str">
        <f aca="false">[2]Sheet1!C453</f>
        <v>SLO</v>
      </c>
      <c r="D453" s="44" t="s">
        <v>763</v>
      </c>
      <c r="E453" s="0" t="n">
        <f aca="false">[2]Sheet1!D453</f>
        <v>160</v>
      </c>
      <c r="F453" s="0" t="n">
        <f aca="false">[2]Sheet1!E453</f>
        <v>160</v>
      </c>
      <c r="G453" s="45" t="n">
        <f aca="false">[2]Sheet1!F453</f>
        <v>45068</v>
      </c>
      <c r="H453" s="0" t="n">
        <f aca="false">[2]Sheet1!G453</f>
        <v>300</v>
      </c>
      <c r="I453" s="0" t="n">
        <f aca="false">[2]Sheet1!H453</f>
        <v>300</v>
      </c>
      <c r="J453" s="0" t="n">
        <f aca="false">[2]Sheet1!I453</f>
        <v>2</v>
      </c>
      <c r="K453" s="0" t="n">
        <f aca="false">[2]Sheet1!J453</f>
        <v>0</v>
      </c>
      <c r="L453" s="0" t="n">
        <f aca="false">[2]Sheet1!K453</f>
        <v>0</v>
      </c>
      <c r="M453" s="0" t="n">
        <f aca="false">[2]Sheet1!L453</f>
        <v>2</v>
      </c>
      <c r="N453" s="0" t="n">
        <f aca="false">[2]Sheet1!M453</f>
        <v>9</v>
      </c>
      <c r="O453" s="0" t="n">
        <f aca="false">[2]Sheet1!N453</f>
        <v>0</v>
      </c>
      <c r="P453" s="226" t="n">
        <f aca="false">SUM(AY453+BA453)</f>
        <v>160.416666666667</v>
      </c>
      <c r="Q453" s="202" t="s">
        <v>1216</v>
      </c>
      <c r="R453" s="235" t="n">
        <v>2</v>
      </c>
      <c r="S453" s="212" t="s">
        <v>1379</v>
      </c>
      <c r="T453" s="221" t="n">
        <v>1</v>
      </c>
      <c r="U453" s="204" t="s">
        <v>1380</v>
      </c>
      <c r="V453" s="221" t="n">
        <v>4.2</v>
      </c>
      <c r="W453" s="179" t="s">
        <v>1381</v>
      </c>
      <c r="X453" s="180" t="n">
        <v>0.5</v>
      </c>
      <c r="Y453" s="201"/>
      <c r="Z453" s="71"/>
      <c r="AA453" s="227"/>
      <c r="AB453" s="71"/>
      <c r="AC453" s="201"/>
      <c r="AD453" s="71"/>
      <c r="AE453" s="227"/>
      <c r="AF453" s="71"/>
      <c r="AG453" s="201"/>
      <c r="AH453" s="71"/>
      <c r="AI453" s="227"/>
      <c r="AJ453" s="71"/>
      <c r="AK453" s="201"/>
      <c r="AL453" s="71"/>
      <c r="AM453" s="227"/>
      <c r="AN453" s="71"/>
      <c r="AO453" s="201"/>
      <c r="AP453" s="71"/>
      <c r="AQ453" s="227"/>
      <c r="AR453" s="71"/>
      <c r="AS453" s="227"/>
      <c r="AT453" s="228"/>
      <c r="AU453" s="227"/>
      <c r="AV453" s="228"/>
      <c r="AW453" s="227"/>
      <c r="AX453" s="229" t="n">
        <f aca="false">SUM(R453+T453+V453+X453+Z453+AB453+AD453+AF453+AH453+AJ453+AL453+AN453+AP453+AR453)</f>
        <v>7.7</v>
      </c>
      <c r="AY453" s="230" t="n">
        <f aca="false">SUM(AX453*1000)/48</f>
        <v>160.416666666667</v>
      </c>
      <c r="AZ453" s="231" t="n">
        <f aca="false">IFERROR(VLOOKUP(A453,'Site check'!$A$14:$O$47,15,0),0)</f>
        <v>0</v>
      </c>
      <c r="BA453" s="232" t="n">
        <f aca="false">SUM(AZ453*1000)/48</f>
        <v>0</v>
      </c>
      <c r="BB453" s="90" t="n">
        <f aca="false">SUM(P453/2)+E453</f>
        <v>240.208333333333</v>
      </c>
      <c r="BC453" s="90" t="n">
        <f aca="false">SUM(P453/2)+F453</f>
        <v>240.208333333333</v>
      </c>
    </row>
    <row r="454" customFormat="false" ht="13.15" hidden="false" customHeight="false" outlineLevel="0" collapsed="false">
      <c r="A454" s="0" t="str">
        <f aca="false">[2]Sheet1!A454</f>
        <v>SLO_SEC_DD770_AB00</v>
      </c>
      <c r="B454" s="0" t="str">
        <f aca="false">[2]Sheet1!B454</f>
        <v>SLO;DC SYS01</v>
      </c>
      <c r="C454" s="44" t="str">
        <f aca="false">[2]Sheet1!C454</f>
        <v>SLO</v>
      </c>
      <c r="D454" s="44" t="s">
        <v>763</v>
      </c>
      <c r="E454" s="0" t="n">
        <f aca="false">[2]Sheet1!D454</f>
        <v>170</v>
      </c>
      <c r="F454" s="0" t="n">
        <f aca="false">[2]Sheet1!E454</f>
        <v>170</v>
      </c>
      <c r="G454" s="45" t="n">
        <f aca="false">[2]Sheet1!F454</f>
        <v>45068</v>
      </c>
      <c r="H454" s="0" t="n">
        <f aca="false">[2]Sheet1!G454</f>
        <v>300</v>
      </c>
      <c r="I454" s="0" t="n">
        <f aca="false">[2]Sheet1!H454</f>
        <v>300</v>
      </c>
      <c r="J454" s="0" t="n">
        <f aca="false">[2]Sheet1!I454</f>
        <v>4</v>
      </c>
      <c r="K454" s="0" t="n">
        <f aca="false">[2]Sheet1!J454</f>
        <v>0</v>
      </c>
      <c r="L454" s="0" t="n">
        <f aca="false">[2]Sheet1!K454</f>
        <v>0</v>
      </c>
      <c r="M454" s="0" t="n">
        <f aca="false">[2]Sheet1!L454</f>
        <v>4</v>
      </c>
      <c r="N454" s="0" t="n">
        <f aca="false">[2]Sheet1!M454</f>
        <v>6</v>
      </c>
      <c r="O454" s="0" t="n">
        <f aca="false">[2]Sheet1!N454</f>
        <v>0</v>
      </c>
      <c r="P454" s="226" t="n">
        <f aca="false">SUM(AY454+BA454)</f>
        <v>10.4166666666667</v>
      </c>
      <c r="Q454" s="170" t="s">
        <v>1378</v>
      </c>
      <c r="R454" s="234" t="n">
        <v>0.5</v>
      </c>
      <c r="S454" s="227"/>
      <c r="T454" s="71"/>
      <c r="U454" s="201"/>
      <c r="V454" s="71"/>
      <c r="W454" s="227"/>
      <c r="X454" s="71"/>
      <c r="Y454" s="201"/>
      <c r="Z454" s="71"/>
      <c r="AA454" s="227"/>
      <c r="AB454" s="71"/>
      <c r="AC454" s="201"/>
      <c r="AD454" s="71"/>
      <c r="AE454" s="227"/>
      <c r="AF454" s="71"/>
      <c r="AG454" s="201"/>
      <c r="AH454" s="71"/>
      <c r="AI454" s="227"/>
      <c r="AJ454" s="71"/>
      <c r="AK454" s="201"/>
      <c r="AL454" s="71"/>
      <c r="AM454" s="227"/>
      <c r="AN454" s="71"/>
      <c r="AO454" s="201"/>
      <c r="AP454" s="71"/>
      <c r="AQ454" s="227"/>
      <c r="AR454" s="71"/>
      <c r="AS454" s="227"/>
      <c r="AT454" s="228"/>
      <c r="AU454" s="227"/>
      <c r="AV454" s="228"/>
      <c r="AW454" s="227"/>
      <c r="AX454" s="229" t="n">
        <f aca="false">SUM(R454+T454+V454+X454+Z454+AB454+AD454+AF454+AH454+AJ454+AL454+AN454+AP454+AR454)</f>
        <v>0.5</v>
      </c>
      <c r="AY454" s="230" t="n">
        <f aca="false">SUM(AX454*1000)/48</f>
        <v>10.4166666666667</v>
      </c>
      <c r="AZ454" s="231" t="n">
        <f aca="false">IFERROR(VLOOKUP(A454,'Site check'!$A$14:$O$47,15,0),0)</f>
        <v>0</v>
      </c>
      <c r="BA454" s="232" t="n">
        <f aca="false">SUM(AZ454*1000)/48</f>
        <v>0</v>
      </c>
      <c r="BB454" s="90" t="n">
        <f aca="false">SUM(P454/2)+E454</f>
        <v>175.208333333333</v>
      </c>
      <c r="BC454" s="90" t="n">
        <f aca="false">SUM(P454/2)+F454</f>
        <v>175.208333333333</v>
      </c>
    </row>
    <row r="455" customFormat="false" ht="13.15" hidden="false" customHeight="false" outlineLevel="0" collapsed="false">
      <c r="A455" s="0" t="str">
        <f aca="false">[2]Sheet1!A455</f>
        <v>WHHN03_SEC_DD770_CD01_01</v>
      </c>
      <c r="B455" s="0" t="str">
        <f aca="false">[2]Sheet1!B455</f>
        <v>WHHN03;DC SYS01</v>
      </c>
      <c r="C455" s="44" t="str">
        <f aca="false">[2]Sheet1!C455</f>
        <v>WHHN03</v>
      </c>
      <c r="D455" s="44" t="s">
        <v>819</v>
      </c>
      <c r="E455" s="0" t="n">
        <f aca="false">[2]Sheet1!D455</f>
        <v>80</v>
      </c>
      <c r="F455" s="0" t="n">
        <f aca="false">[2]Sheet1!E455</f>
        <v>90</v>
      </c>
      <c r="G455" s="45" t="n">
        <f aca="false">[2]Sheet1!F455</f>
        <v>44042</v>
      </c>
      <c r="H455" s="0" t="n">
        <f aca="false">[2]Sheet1!G455</f>
        <v>300</v>
      </c>
      <c r="I455" s="0" t="n">
        <f aca="false">[2]Sheet1!H455</f>
        <v>300</v>
      </c>
      <c r="J455" s="0" t="n">
        <f aca="false">[2]Sheet1!I455</f>
        <v>0</v>
      </c>
      <c r="K455" s="0" t="n">
        <f aca="false">[2]Sheet1!J455</f>
        <v>8</v>
      </c>
      <c r="L455" s="0" t="n">
        <f aca="false">[2]Sheet1!K455</f>
        <v>0</v>
      </c>
      <c r="M455" s="0" t="n">
        <f aca="false">[2]Sheet1!L455</f>
        <v>17</v>
      </c>
      <c r="N455" s="0" t="n">
        <f aca="false">[2]Sheet1!M455</f>
        <v>11</v>
      </c>
      <c r="O455" s="0" t="n">
        <f aca="false">[2]Sheet1!N455</f>
        <v>0</v>
      </c>
      <c r="P455" s="226" t="n">
        <f aca="false">SUM(AY455+BA455)</f>
        <v>0</v>
      </c>
      <c r="Q455" s="201"/>
      <c r="R455" s="71"/>
      <c r="S455" s="227"/>
      <c r="T455" s="71"/>
      <c r="U455" s="201"/>
      <c r="V455" s="71"/>
      <c r="W455" s="227"/>
      <c r="X455" s="71"/>
      <c r="Y455" s="201"/>
      <c r="Z455" s="71"/>
      <c r="AA455" s="227"/>
      <c r="AB455" s="71"/>
      <c r="AC455" s="201"/>
      <c r="AD455" s="71"/>
      <c r="AE455" s="227"/>
      <c r="AF455" s="71"/>
      <c r="AG455" s="201"/>
      <c r="AH455" s="71"/>
      <c r="AI455" s="227"/>
      <c r="AJ455" s="71"/>
      <c r="AK455" s="201"/>
      <c r="AL455" s="71"/>
      <c r="AM455" s="227"/>
      <c r="AN455" s="71"/>
      <c r="AO455" s="201"/>
      <c r="AP455" s="71"/>
      <c r="AQ455" s="227"/>
      <c r="AR455" s="71"/>
      <c r="AS455" s="227"/>
      <c r="AT455" s="228"/>
      <c r="AU455" s="227"/>
      <c r="AV455" s="228"/>
      <c r="AW455" s="227"/>
      <c r="AX455" s="229" t="n">
        <f aca="false">SUM(R455+T455+V455+X455+Z455+AB455+AD455+AF455+AH455+AJ455+AL455+AN455+AP455+AR455)</f>
        <v>0</v>
      </c>
      <c r="AY455" s="230" t="n">
        <f aca="false">SUM(AX455*1000)/48</f>
        <v>0</v>
      </c>
      <c r="AZ455" s="231" t="n">
        <f aca="false">IFERROR(VLOOKUP(A455,'Site check'!$A$14:$O$47,15,0),0)</f>
        <v>0</v>
      </c>
      <c r="BA455" s="232" t="n">
        <f aca="false">SUM(AZ455*1000)/48</f>
        <v>0</v>
      </c>
      <c r="BB455" s="90" t="n">
        <f aca="false">SUM(P455/2)+E455</f>
        <v>80</v>
      </c>
      <c r="BC455" s="90" t="n">
        <f aca="false">SUM(P455/2)+F455</f>
        <v>90</v>
      </c>
    </row>
    <row r="456" customFormat="false" ht="13.15" hidden="false" customHeight="false" outlineLevel="0" collapsed="false">
      <c r="A456" s="0" t="str">
        <f aca="false">[2]Sheet1!A456</f>
        <v>WHHN03_SEC_DD770_EF01_02</v>
      </c>
      <c r="B456" s="0" t="str">
        <f aca="false">[2]Sheet1!B456</f>
        <v>WHHN03;DC SYS01</v>
      </c>
      <c r="C456" s="44" t="str">
        <f aca="false">[2]Sheet1!C456</f>
        <v>WHHN03</v>
      </c>
      <c r="D456" s="44" t="s">
        <v>819</v>
      </c>
      <c r="E456" s="0" t="n">
        <f aca="false">[2]Sheet1!D456</f>
        <v>80</v>
      </c>
      <c r="F456" s="0" t="n">
        <f aca="false">[2]Sheet1!E456</f>
        <v>70</v>
      </c>
      <c r="G456" s="45" t="n">
        <f aca="false">[2]Sheet1!F456</f>
        <v>44042</v>
      </c>
      <c r="H456" s="0" t="n">
        <f aca="false">[2]Sheet1!G456</f>
        <v>0</v>
      </c>
      <c r="I456" s="0" t="n">
        <f aca="false">[2]Sheet1!H456</f>
        <v>0</v>
      </c>
      <c r="J456" s="0" t="n">
        <f aca="false">[2]Sheet1!I456</f>
        <v>5</v>
      </c>
      <c r="K456" s="0" t="n">
        <f aca="false">[2]Sheet1!J456</f>
        <v>10</v>
      </c>
      <c r="L456" s="0" t="n">
        <f aca="false">[2]Sheet1!K456</f>
        <v>0</v>
      </c>
      <c r="M456" s="0" t="n">
        <f aca="false">[2]Sheet1!L456</f>
        <v>6</v>
      </c>
      <c r="N456" s="0" t="n">
        <f aca="false">[2]Sheet1!M456</f>
        <v>11</v>
      </c>
      <c r="O456" s="0" t="n">
        <f aca="false">[2]Sheet1!N456</f>
        <v>0</v>
      </c>
      <c r="P456" s="226" t="n">
        <f aca="false">SUM(AY456+BA456)</f>
        <v>0</v>
      </c>
      <c r="Q456" s="201"/>
      <c r="R456" s="71"/>
      <c r="S456" s="227"/>
      <c r="T456" s="71"/>
      <c r="U456" s="201"/>
      <c r="V456" s="71"/>
      <c r="W456" s="227"/>
      <c r="X456" s="71"/>
      <c r="Y456" s="201"/>
      <c r="Z456" s="71"/>
      <c r="AA456" s="227"/>
      <c r="AB456" s="71"/>
      <c r="AC456" s="201"/>
      <c r="AD456" s="71"/>
      <c r="AE456" s="227"/>
      <c r="AF456" s="71"/>
      <c r="AG456" s="201"/>
      <c r="AH456" s="71"/>
      <c r="AI456" s="227"/>
      <c r="AJ456" s="71"/>
      <c r="AK456" s="201"/>
      <c r="AL456" s="71"/>
      <c r="AM456" s="227"/>
      <c r="AN456" s="71"/>
      <c r="AO456" s="201"/>
      <c r="AP456" s="71"/>
      <c r="AQ456" s="227"/>
      <c r="AR456" s="71"/>
      <c r="AS456" s="227"/>
      <c r="AT456" s="228"/>
      <c r="AU456" s="227"/>
      <c r="AV456" s="228"/>
      <c r="AW456" s="227"/>
      <c r="AX456" s="229" t="n">
        <f aca="false">SUM(R456+T456+V456+X456+Z456+AB456+AD456+AF456+AH456+AJ456+AL456+AN456+AP456+AR456)</f>
        <v>0</v>
      </c>
      <c r="AY456" s="230" t="n">
        <f aca="false">SUM(AX456*1000)/48</f>
        <v>0</v>
      </c>
      <c r="AZ456" s="231" t="n">
        <f aca="false">IFERROR(VLOOKUP(A456,'Site check'!$A$14:$O$47,15,0),0)</f>
        <v>0</v>
      </c>
      <c r="BA456" s="232" t="n">
        <f aca="false">SUM(AZ456*1000)/48</f>
        <v>0</v>
      </c>
      <c r="BB456" s="90" t="n">
        <f aca="false">SUM(P456/2)+E456</f>
        <v>80</v>
      </c>
      <c r="BC456" s="90" t="n">
        <f aca="false">SUM(P456/2)+F456</f>
        <v>70</v>
      </c>
    </row>
    <row r="457" customFormat="false" ht="13.15" hidden="false" customHeight="false" outlineLevel="0" collapsed="false">
      <c r="A457" s="0" t="str">
        <f aca="false">[2]Sheet1!A457</f>
        <v>WHHN03_SEC_Eaton CBDB_LM01</v>
      </c>
      <c r="B457" s="0" t="str">
        <f aca="false">[2]Sheet1!B457</f>
        <v>WHHN03;DC SYS01</v>
      </c>
      <c r="C457" s="44" t="str">
        <f aca="false">[2]Sheet1!C457</f>
        <v>WHHN03</v>
      </c>
      <c r="D457" s="44" t="s">
        <v>819</v>
      </c>
      <c r="E457" s="0" t="n">
        <f aca="false">[2]Sheet1!D457</f>
        <v>90</v>
      </c>
      <c r="F457" s="0" t="n">
        <f aca="false">[2]Sheet1!E457</f>
        <v>90</v>
      </c>
      <c r="G457" s="45" t="n">
        <f aca="false">[2]Sheet1!F457</f>
        <v>42983</v>
      </c>
      <c r="H457" s="0" t="n">
        <f aca="false">[2]Sheet1!G457</f>
        <v>300</v>
      </c>
      <c r="I457" s="0" t="n">
        <f aca="false">[2]Sheet1!H457</f>
        <v>300</v>
      </c>
      <c r="J457" s="0" t="n">
        <f aca="false">[2]Sheet1!I457</f>
        <v>1</v>
      </c>
      <c r="K457" s="0" t="n">
        <f aca="false">[2]Sheet1!J457</f>
        <v>0</v>
      </c>
      <c r="L457" s="0" t="n">
        <f aca="false">[2]Sheet1!K457</f>
        <v>2</v>
      </c>
      <c r="M457" s="0" t="n">
        <f aca="false">[2]Sheet1!L457</f>
        <v>1</v>
      </c>
      <c r="N457" s="0" t="n">
        <f aca="false">[2]Sheet1!M457</f>
        <v>0</v>
      </c>
      <c r="O457" s="0" t="n">
        <f aca="false">[2]Sheet1!N457</f>
        <v>12</v>
      </c>
      <c r="P457" s="226" t="n">
        <f aca="false">SUM(AY457+BA457)</f>
        <v>20.8333333333333</v>
      </c>
      <c r="Q457" s="177" t="s">
        <v>1438</v>
      </c>
      <c r="R457" s="235" t="n">
        <v>1</v>
      </c>
      <c r="S457" s="227"/>
      <c r="T457" s="71"/>
      <c r="U457" s="201"/>
      <c r="V457" s="71"/>
      <c r="W457" s="227"/>
      <c r="X457" s="71"/>
      <c r="Y457" s="201"/>
      <c r="Z457" s="71"/>
      <c r="AA457" s="227"/>
      <c r="AB457" s="71"/>
      <c r="AC457" s="201"/>
      <c r="AD457" s="71"/>
      <c r="AE457" s="227"/>
      <c r="AF457" s="71"/>
      <c r="AG457" s="201"/>
      <c r="AH457" s="71"/>
      <c r="AI457" s="227"/>
      <c r="AJ457" s="71"/>
      <c r="AK457" s="201"/>
      <c r="AL457" s="71"/>
      <c r="AM457" s="227"/>
      <c r="AN457" s="71"/>
      <c r="AO457" s="201"/>
      <c r="AP457" s="71"/>
      <c r="AQ457" s="227"/>
      <c r="AR457" s="71"/>
      <c r="AS457" s="227"/>
      <c r="AT457" s="228"/>
      <c r="AU457" s="227"/>
      <c r="AV457" s="228"/>
      <c r="AW457" s="227"/>
      <c r="AX457" s="229" t="n">
        <f aca="false">SUM(R457+T457+V457+X457+Z457+AB457+AD457+AF457+AH457+AJ457+AL457+AN457+AP457+AR457)</f>
        <v>1</v>
      </c>
      <c r="AY457" s="230" t="n">
        <f aca="false">SUM(AX457*1000)/48</f>
        <v>20.8333333333333</v>
      </c>
      <c r="AZ457" s="231" t="n">
        <f aca="false">IFERROR(VLOOKUP(A457,'Site check'!$A$14:$O$47,15,0),0)</f>
        <v>0</v>
      </c>
      <c r="BA457" s="232" t="n">
        <f aca="false">SUM(AZ457*1000)/48</f>
        <v>0</v>
      </c>
      <c r="BB457" s="90" t="n">
        <f aca="false">SUM(P457/2)+E457</f>
        <v>100.416666666667</v>
      </c>
      <c r="BC457" s="90" t="n">
        <f aca="false">SUM(P457/2)+F457</f>
        <v>100.416666666667</v>
      </c>
    </row>
    <row r="458" customFormat="false" ht="13.15" hidden="false" customHeight="false" outlineLevel="0" collapsed="false">
      <c r="A458" s="0" t="str">
        <f aca="false">[2]Sheet1!A458</f>
        <v>OHB_SEC_DCDB01_WALL_OPP TO SUITE EF</v>
      </c>
      <c r="B458" s="0" t="str">
        <f aca="false">[2]Sheet1!B458</f>
        <v>OHB;DC SYS02;PSU2</v>
      </c>
      <c r="C458" s="44" t="str">
        <f aca="false">[2]Sheet1!C458</f>
        <v>OHB</v>
      </c>
      <c r="D458" s="44" t="s">
        <v>706</v>
      </c>
      <c r="E458" s="0" t="str">
        <f aca="false">[2]Sheet1!D458</f>
        <v>N/A</v>
      </c>
      <c r="F458" s="0" t="str">
        <f aca="false">[2]Sheet1!E458</f>
        <v>N/A</v>
      </c>
      <c r="G458" s="45" t="n">
        <f aca="false">[2]Sheet1!F458</f>
        <v>44998</v>
      </c>
      <c r="H458" s="0" t="n">
        <f aca="false">[2]Sheet1!G458</f>
        <v>300</v>
      </c>
      <c r="I458" s="0" t="n">
        <f aca="false">[2]Sheet1!H458</f>
        <v>300</v>
      </c>
      <c r="J458" s="0" t="n">
        <f aca="false">[2]Sheet1!I458</f>
        <v>0</v>
      </c>
      <c r="K458" s="0" t="n">
        <f aca="false">[2]Sheet1!J458</f>
        <v>0</v>
      </c>
      <c r="L458" s="0" t="n">
        <f aca="false">[2]Sheet1!K458</f>
        <v>0</v>
      </c>
      <c r="M458" s="0" t="n">
        <f aca="false">[2]Sheet1!L458</f>
        <v>0</v>
      </c>
      <c r="N458" s="0" t="n">
        <f aca="false">[2]Sheet1!M458</f>
        <v>0</v>
      </c>
      <c r="O458" s="0" t="n">
        <f aca="false">[2]Sheet1!N458</f>
        <v>0</v>
      </c>
      <c r="P458" s="226" t="n">
        <f aca="false">SUM(AY458+BA458)</f>
        <v>0</v>
      </c>
      <c r="Q458" s="201"/>
      <c r="R458" s="71"/>
      <c r="S458" s="227"/>
      <c r="T458" s="71"/>
      <c r="U458" s="201"/>
      <c r="V458" s="71"/>
      <c r="W458" s="227"/>
      <c r="X458" s="71"/>
      <c r="Y458" s="201"/>
      <c r="Z458" s="71"/>
      <c r="AA458" s="227"/>
      <c r="AB458" s="71"/>
      <c r="AC458" s="201"/>
      <c r="AD458" s="71"/>
      <c r="AE458" s="227"/>
      <c r="AF458" s="71"/>
      <c r="AG458" s="201"/>
      <c r="AH458" s="71"/>
      <c r="AI458" s="227"/>
      <c r="AJ458" s="71"/>
      <c r="AK458" s="201"/>
      <c r="AL458" s="71"/>
      <c r="AM458" s="227"/>
      <c r="AN458" s="71"/>
      <c r="AO458" s="201"/>
      <c r="AP458" s="71"/>
      <c r="AQ458" s="227"/>
      <c r="AR458" s="71"/>
      <c r="AS458" s="227"/>
      <c r="AT458" s="228"/>
      <c r="AU458" s="227"/>
      <c r="AV458" s="228"/>
      <c r="AW458" s="227"/>
      <c r="AX458" s="229" t="n">
        <f aca="false">SUM(R458+T458+V458+X458+Z458+AB458+AD458+AF458+AH458+AJ458+AL458+AN458+AP458+AR458)</f>
        <v>0</v>
      </c>
      <c r="AY458" s="230" t="n">
        <f aca="false">SUM(AX458*1000)/48</f>
        <v>0</v>
      </c>
      <c r="AZ458" s="231" t="n">
        <f aca="false">IFERROR(VLOOKUP(A458,'Site check'!$A$14:$O$47,15,0),0)</f>
        <v>0</v>
      </c>
      <c r="BA458" s="232" t="n">
        <f aca="false">SUM(AZ458*1000)/48</f>
        <v>0</v>
      </c>
      <c r="BB458" s="90" t="e">
        <f aca="false">SUM(P458/2)+E458</f>
        <v>#VALUE!</v>
      </c>
      <c r="BC458" s="90" t="e">
        <f aca="false">SUM(P458/2)+F458</f>
        <v>#VALUE!</v>
      </c>
    </row>
    <row r="459" customFormat="false" ht="13.15" hidden="false" customHeight="false" outlineLevel="0" collapsed="false">
      <c r="A459" s="0" t="str">
        <f aca="false">[2]Sheet1!A459</f>
        <v>OHB_SEC_DCDB03_WALL</v>
      </c>
      <c r="B459" s="0" t="str">
        <f aca="false">[2]Sheet1!B459</f>
        <v>OHB;DC SYS02;PSU2</v>
      </c>
      <c r="C459" s="44" t="str">
        <f aca="false">[2]Sheet1!C459</f>
        <v>OHB</v>
      </c>
      <c r="D459" s="44" t="s">
        <v>706</v>
      </c>
      <c r="E459" s="0" t="n">
        <f aca="false">[2]Sheet1!D459</f>
        <v>0</v>
      </c>
      <c r="F459" s="0" t="n">
        <f aca="false">[2]Sheet1!E459</f>
        <v>50</v>
      </c>
      <c r="G459" s="45" t="n">
        <f aca="false">[2]Sheet1!F459</f>
        <v>44998</v>
      </c>
      <c r="H459" s="0" t="n">
        <f aca="false">[2]Sheet1!G459</f>
        <v>300</v>
      </c>
      <c r="I459" s="0" t="n">
        <f aca="false">[2]Sheet1!H459</f>
        <v>300</v>
      </c>
      <c r="J459" s="0" t="n">
        <f aca="false">[2]Sheet1!I459</f>
        <v>0</v>
      </c>
      <c r="K459" s="0" t="n">
        <f aca="false">[2]Sheet1!J459</f>
        <v>0</v>
      </c>
      <c r="L459" s="0" t="n">
        <f aca="false">[2]Sheet1!K459</f>
        <v>0</v>
      </c>
      <c r="M459" s="0" t="n">
        <f aca="false">[2]Sheet1!L459</f>
        <v>0</v>
      </c>
      <c r="N459" s="0" t="n">
        <f aca="false">[2]Sheet1!M459</f>
        <v>0</v>
      </c>
      <c r="O459" s="0" t="n">
        <f aca="false">[2]Sheet1!N459</f>
        <v>0</v>
      </c>
      <c r="P459" s="226" t="n">
        <f aca="false">SUM(AY459+BA459)</f>
        <v>41.6666666666667</v>
      </c>
      <c r="Q459" s="170" t="s">
        <v>1327</v>
      </c>
      <c r="R459" s="234" t="n">
        <v>2</v>
      </c>
      <c r="S459" s="227"/>
      <c r="T459" s="71"/>
      <c r="U459" s="201"/>
      <c r="V459" s="71"/>
      <c r="W459" s="227"/>
      <c r="X459" s="71"/>
      <c r="Y459" s="201"/>
      <c r="Z459" s="71"/>
      <c r="AA459" s="227"/>
      <c r="AB459" s="71"/>
      <c r="AC459" s="201"/>
      <c r="AD459" s="71"/>
      <c r="AE459" s="227"/>
      <c r="AF459" s="71"/>
      <c r="AG459" s="201"/>
      <c r="AH459" s="71"/>
      <c r="AI459" s="227"/>
      <c r="AJ459" s="71"/>
      <c r="AK459" s="201"/>
      <c r="AL459" s="71"/>
      <c r="AM459" s="227"/>
      <c r="AN459" s="71"/>
      <c r="AO459" s="201"/>
      <c r="AP459" s="71"/>
      <c r="AQ459" s="227"/>
      <c r="AR459" s="71"/>
      <c r="AS459" s="227"/>
      <c r="AT459" s="228"/>
      <c r="AU459" s="227"/>
      <c r="AV459" s="228"/>
      <c r="AW459" s="227"/>
      <c r="AX459" s="229" t="n">
        <f aca="false">SUM(R459+T459+V459+X459+Z459+AB459+AD459+AF459+AH459+AJ459+AL459+AN459+AP459+AR459)</f>
        <v>2</v>
      </c>
      <c r="AY459" s="230" t="n">
        <f aca="false">SUM(AX459*1000)/48</f>
        <v>41.6666666666667</v>
      </c>
      <c r="AZ459" s="231" t="n">
        <f aca="false">IFERROR(VLOOKUP(A459,'Site check'!$A$14:$O$47,15,0),0)</f>
        <v>0</v>
      </c>
      <c r="BA459" s="232" t="n">
        <f aca="false">SUM(AZ459*1000)/48</f>
        <v>0</v>
      </c>
      <c r="BB459" s="90" t="n">
        <f aca="false">SUM(P459/2)+E459</f>
        <v>20.8333333333333</v>
      </c>
      <c r="BC459" s="90" t="n">
        <f aca="false">SUM(P459/2)+F459</f>
        <v>70.8333333333333</v>
      </c>
    </row>
    <row r="460" customFormat="false" ht="13.15" hidden="false" customHeight="false" outlineLevel="0" collapsed="false">
      <c r="A460" s="0" t="str">
        <f aca="false">[2]Sheet1!A460</f>
        <v>OHB_SEC_DCDB04_WALL</v>
      </c>
      <c r="B460" s="0" t="str">
        <f aca="false">[2]Sheet1!B460</f>
        <v>OHB;DC SYS01;PSU1</v>
      </c>
      <c r="C460" s="44" t="str">
        <f aca="false">[2]Sheet1!C460</f>
        <v>OHB</v>
      </c>
      <c r="D460" s="44" t="s">
        <v>706</v>
      </c>
      <c r="E460" s="0" t="n">
        <f aca="false">[2]Sheet1!D460</f>
        <v>45</v>
      </c>
      <c r="F460" s="0" t="n">
        <f aca="false">[2]Sheet1!E460</f>
        <v>0</v>
      </c>
      <c r="G460" s="45" t="n">
        <f aca="false">[2]Sheet1!F460</f>
        <v>44998</v>
      </c>
      <c r="H460" s="0" t="n">
        <f aca="false">[2]Sheet1!G460</f>
        <v>300</v>
      </c>
      <c r="I460" s="0" t="n">
        <f aca="false">[2]Sheet1!H460</f>
        <v>300</v>
      </c>
      <c r="J460" s="0" t="n">
        <f aca="false">[2]Sheet1!I460</f>
        <v>0</v>
      </c>
      <c r="K460" s="0" t="n">
        <f aca="false">[2]Sheet1!J460</f>
        <v>6</v>
      </c>
      <c r="L460" s="0" t="n">
        <f aca="false">[2]Sheet1!K460</f>
        <v>0</v>
      </c>
      <c r="M460" s="0" t="n">
        <f aca="false">[2]Sheet1!L460</f>
        <v>0</v>
      </c>
      <c r="N460" s="0" t="n">
        <f aca="false">[2]Sheet1!M460</f>
        <v>0</v>
      </c>
      <c r="O460" s="0" t="n">
        <f aca="false">[2]Sheet1!N460</f>
        <v>0</v>
      </c>
      <c r="P460" s="226" t="n">
        <f aca="false">SUM(AY460+BA460)</f>
        <v>0</v>
      </c>
      <c r="Q460" s="201"/>
      <c r="R460" s="71"/>
      <c r="S460" s="227"/>
      <c r="T460" s="71"/>
      <c r="U460" s="201"/>
      <c r="V460" s="71"/>
      <c r="W460" s="227"/>
      <c r="X460" s="71"/>
      <c r="Y460" s="201"/>
      <c r="Z460" s="71"/>
      <c r="AA460" s="227"/>
      <c r="AB460" s="71"/>
      <c r="AC460" s="201"/>
      <c r="AD460" s="71"/>
      <c r="AE460" s="227"/>
      <c r="AF460" s="71"/>
      <c r="AG460" s="201"/>
      <c r="AH460" s="71"/>
      <c r="AI460" s="227"/>
      <c r="AJ460" s="71"/>
      <c r="AK460" s="201"/>
      <c r="AL460" s="71"/>
      <c r="AM460" s="227"/>
      <c r="AN460" s="71"/>
      <c r="AO460" s="201"/>
      <c r="AP460" s="71"/>
      <c r="AQ460" s="227"/>
      <c r="AR460" s="71"/>
      <c r="AS460" s="227"/>
      <c r="AT460" s="228"/>
      <c r="AU460" s="227"/>
      <c r="AV460" s="228"/>
      <c r="AW460" s="227"/>
      <c r="AX460" s="229" t="n">
        <f aca="false">SUM(R460+T460+V460+X460+Z460+AB460+AD460+AF460+AH460+AJ460+AL460+AN460+AP460+AR460)</f>
        <v>0</v>
      </c>
      <c r="AY460" s="230" t="n">
        <f aca="false">SUM(AX460*1000)/48</f>
        <v>0</v>
      </c>
      <c r="AZ460" s="231" t="n">
        <f aca="false">IFERROR(VLOOKUP(A460,'Site check'!$A$14:$O$47,15,0),0)</f>
        <v>0</v>
      </c>
      <c r="BA460" s="232" t="n">
        <f aca="false">SUM(AZ460*1000)/48</f>
        <v>0</v>
      </c>
      <c r="BB460" s="90" t="n">
        <f aca="false">SUM(P460/2)+E460</f>
        <v>45</v>
      </c>
      <c r="BC460" s="90" t="n">
        <f aca="false">SUM(P460/2)+F460</f>
        <v>0</v>
      </c>
    </row>
    <row r="461" customFormat="false" ht="13.15" hidden="false" customHeight="false" outlineLevel="0" collapsed="false">
      <c r="A461" s="0" t="str">
        <f aca="false">[2]Sheet1!A461</f>
        <v>OHB_SEC_DCDB05_WALL</v>
      </c>
      <c r="B461" s="0" t="str">
        <f aca="false">[2]Sheet1!B461</f>
        <v>OHB;DC SYS02;PSU2</v>
      </c>
      <c r="C461" s="44" t="str">
        <f aca="false">[2]Sheet1!C461</f>
        <v>OHB</v>
      </c>
      <c r="D461" s="44" t="s">
        <v>706</v>
      </c>
      <c r="E461" s="0" t="n">
        <f aca="false">[2]Sheet1!D461</f>
        <v>0</v>
      </c>
      <c r="F461" s="0" t="n">
        <f aca="false">[2]Sheet1!E461</f>
        <v>85</v>
      </c>
      <c r="G461" s="45" t="n">
        <f aca="false">[2]Sheet1!F461</f>
        <v>44998</v>
      </c>
      <c r="H461" s="0" t="n">
        <f aca="false">[2]Sheet1!G461</f>
        <v>300</v>
      </c>
      <c r="I461" s="0" t="n">
        <f aca="false">[2]Sheet1!H461</f>
        <v>300</v>
      </c>
      <c r="J461" s="0" t="n">
        <f aca="false">[2]Sheet1!I461</f>
        <v>0</v>
      </c>
      <c r="K461" s="0" t="n">
        <f aca="false">[2]Sheet1!J461</f>
        <v>0</v>
      </c>
      <c r="L461" s="0" t="n">
        <f aca="false">[2]Sheet1!K461</f>
        <v>0</v>
      </c>
      <c r="M461" s="0" t="n">
        <f aca="false">[2]Sheet1!L461</f>
        <v>0</v>
      </c>
      <c r="N461" s="0" t="n">
        <f aca="false">[2]Sheet1!M461</f>
        <v>0</v>
      </c>
      <c r="O461" s="0" t="n">
        <f aca="false">[2]Sheet1!N461</f>
        <v>0</v>
      </c>
      <c r="P461" s="226" t="n">
        <f aca="false">SUM(AY461+BA461)</f>
        <v>0</v>
      </c>
      <c r="Q461" s="201"/>
      <c r="R461" s="71"/>
      <c r="S461" s="227"/>
      <c r="T461" s="71"/>
      <c r="U461" s="201"/>
      <c r="V461" s="71"/>
      <c r="W461" s="227"/>
      <c r="X461" s="71"/>
      <c r="Y461" s="201"/>
      <c r="Z461" s="71"/>
      <c r="AA461" s="227"/>
      <c r="AB461" s="71"/>
      <c r="AC461" s="201"/>
      <c r="AD461" s="71"/>
      <c r="AE461" s="227"/>
      <c r="AF461" s="71"/>
      <c r="AG461" s="201"/>
      <c r="AH461" s="71"/>
      <c r="AI461" s="227"/>
      <c r="AJ461" s="71"/>
      <c r="AK461" s="201"/>
      <c r="AL461" s="71"/>
      <c r="AM461" s="227"/>
      <c r="AN461" s="71"/>
      <c r="AO461" s="201"/>
      <c r="AP461" s="71"/>
      <c r="AQ461" s="227"/>
      <c r="AR461" s="71"/>
      <c r="AS461" s="227"/>
      <c r="AT461" s="228"/>
      <c r="AU461" s="227"/>
      <c r="AV461" s="228"/>
      <c r="AW461" s="227"/>
      <c r="AX461" s="229" t="n">
        <f aca="false">SUM(R461+T461+V461+X461+Z461+AB461+AD461+AF461+AH461+AJ461+AL461+AN461+AP461+AR461)</f>
        <v>0</v>
      </c>
      <c r="AY461" s="230" t="n">
        <f aca="false">SUM(AX461*1000)/48</f>
        <v>0</v>
      </c>
      <c r="AZ461" s="231" t="n">
        <f aca="false">IFERROR(VLOOKUP(A461,'Site check'!$A$14:$O$47,15,0),0)</f>
        <v>0</v>
      </c>
      <c r="BA461" s="232" t="n">
        <f aca="false">SUM(AZ461*1000)/48</f>
        <v>0</v>
      </c>
      <c r="BB461" s="90" t="n">
        <f aca="false">SUM(P461/2)+E461</f>
        <v>0</v>
      </c>
      <c r="BC461" s="90" t="n">
        <f aca="false">SUM(P461/2)+F461</f>
        <v>85</v>
      </c>
    </row>
    <row r="462" customFormat="false" ht="13.15" hidden="false" customHeight="false" outlineLevel="0" collapsed="false">
      <c r="A462" s="0" t="str">
        <f aca="false">[2]Sheet1!A462</f>
        <v>OHB_SEC_DCDB06_WALL</v>
      </c>
      <c r="B462" s="0" t="str">
        <f aca="false">[2]Sheet1!B462</f>
        <v>OHB;DC SYS01;PSU1</v>
      </c>
      <c r="C462" s="44" t="str">
        <f aca="false">[2]Sheet1!C462</f>
        <v>OHB</v>
      </c>
      <c r="D462" s="44" t="s">
        <v>706</v>
      </c>
      <c r="E462" s="0" t="n">
        <f aca="false">[2]Sheet1!D462</f>
        <v>80</v>
      </c>
      <c r="F462" s="0" t="n">
        <f aca="false">[2]Sheet1!E462</f>
        <v>7</v>
      </c>
      <c r="G462" s="45" t="n">
        <f aca="false">[2]Sheet1!F462</f>
        <v>42914</v>
      </c>
      <c r="H462" s="0" t="n">
        <f aca="false">[2]Sheet1!G462</f>
        <v>300</v>
      </c>
      <c r="I462" s="0" t="n">
        <f aca="false">[2]Sheet1!H462</f>
        <v>300</v>
      </c>
      <c r="J462" s="0" t="n">
        <f aca="false">[2]Sheet1!I462</f>
        <v>0</v>
      </c>
      <c r="K462" s="0" t="n">
        <f aca="false">[2]Sheet1!J462</f>
        <v>4</v>
      </c>
      <c r="L462" s="0" t="n">
        <f aca="false">[2]Sheet1!K462</f>
        <v>0</v>
      </c>
      <c r="M462" s="0" t="n">
        <f aca="false">[2]Sheet1!L462</f>
        <v>0</v>
      </c>
      <c r="N462" s="0" t="n">
        <f aca="false">[2]Sheet1!M462</f>
        <v>0</v>
      </c>
      <c r="O462" s="0" t="n">
        <f aca="false">[2]Sheet1!N462</f>
        <v>0</v>
      </c>
      <c r="P462" s="226" t="n">
        <f aca="false">SUM(AY462+BA462)</f>
        <v>0</v>
      </c>
      <c r="Q462" s="201"/>
      <c r="R462" s="71"/>
      <c r="S462" s="227"/>
      <c r="T462" s="71"/>
      <c r="U462" s="201"/>
      <c r="V462" s="71"/>
      <c r="W462" s="227"/>
      <c r="X462" s="71"/>
      <c r="Y462" s="201"/>
      <c r="Z462" s="71"/>
      <c r="AA462" s="227"/>
      <c r="AB462" s="71"/>
      <c r="AC462" s="201"/>
      <c r="AD462" s="71"/>
      <c r="AE462" s="227"/>
      <c r="AF462" s="71"/>
      <c r="AG462" s="201"/>
      <c r="AH462" s="71"/>
      <c r="AI462" s="227"/>
      <c r="AJ462" s="71"/>
      <c r="AK462" s="201"/>
      <c r="AL462" s="71"/>
      <c r="AM462" s="227"/>
      <c r="AN462" s="71"/>
      <c r="AO462" s="201"/>
      <c r="AP462" s="71"/>
      <c r="AQ462" s="227"/>
      <c r="AR462" s="71"/>
      <c r="AS462" s="227"/>
      <c r="AT462" s="228"/>
      <c r="AU462" s="227"/>
      <c r="AV462" s="228"/>
      <c r="AW462" s="227"/>
      <c r="AX462" s="229" t="n">
        <f aca="false">SUM(R462+T462+V462+X462+Z462+AB462+AD462+AF462+AH462+AJ462+AL462+AN462+AP462+AR462)</f>
        <v>0</v>
      </c>
      <c r="AY462" s="230" t="n">
        <f aca="false">SUM(AX462*1000)/48</f>
        <v>0</v>
      </c>
      <c r="AZ462" s="231" t="n">
        <f aca="false">IFERROR(VLOOKUP(A462,'Site check'!$A$14:$O$47,15,0),0)</f>
        <v>0</v>
      </c>
      <c r="BA462" s="232" t="n">
        <f aca="false">SUM(AZ462*1000)/48</f>
        <v>0</v>
      </c>
      <c r="BB462" s="90" t="n">
        <f aca="false">SUM(P462/2)+E462</f>
        <v>80</v>
      </c>
      <c r="BC462" s="90" t="n">
        <f aca="false">SUM(P462/2)+F462</f>
        <v>7</v>
      </c>
    </row>
    <row r="463" customFormat="false" ht="13.15" hidden="false" customHeight="false" outlineLevel="0" collapsed="false">
      <c r="A463" s="0" t="str">
        <f aca="false">[2]Sheet1!A463</f>
        <v>SWNN03_DCDB 1</v>
      </c>
      <c r="B463" s="0" t="str">
        <f aca="false">[2]Sheet1!B463</f>
        <v>SWNN03;DC SYS01</v>
      </c>
      <c r="C463" s="44" t="str">
        <f aca="false">[2]Sheet1!C463</f>
        <v>SWNN03</v>
      </c>
      <c r="D463" s="44" t="s">
        <v>783</v>
      </c>
      <c r="E463" s="0" t="n">
        <f aca="false">[2]Sheet1!D463</f>
        <v>61</v>
      </c>
      <c r="F463" s="0" t="n">
        <f aca="false">[2]Sheet1!E463</f>
        <v>93</v>
      </c>
      <c r="G463" s="45" t="n">
        <f aca="false">[2]Sheet1!F463</f>
        <v>44999</v>
      </c>
      <c r="H463" s="0" t="n">
        <f aca="false">[2]Sheet1!G463</f>
        <v>300</v>
      </c>
      <c r="I463" s="0" t="n">
        <f aca="false">[2]Sheet1!H463</f>
        <v>300</v>
      </c>
      <c r="J463" s="0" t="n">
        <f aca="false">[2]Sheet1!I463</f>
        <v>0</v>
      </c>
      <c r="K463" s="0" t="n">
        <f aca="false">[2]Sheet1!J463</f>
        <v>2</v>
      </c>
      <c r="L463" s="0" t="n">
        <f aca="false">[2]Sheet1!K463</f>
        <v>0</v>
      </c>
      <c r="M463" s="0" t="n">
        <f aca="false">[2]Sheet1!L463</f>
        <v>0</v>
      </c>
      <c r="N463" s="0" t="n">
        <f aca="false">[2]Sheet1!M463</f>
        <v>0</v>
      </c>
      <c r="O463" s="0" t="n">
        <f aca="false">[2]Sheet1!N463</f>
        <v>29</v>
      </c>
      <c r="P463" s="226" t="n">
        <f aca="false">SUM(AY463+BA463)</f>
        <v>125</v>
      </c>
      <c r="Q463" s="170" t="s">
        <v>1404</v>
      </c>
      <c r="R463" s="234" t="n">
        <v>5</v>
      </c>
      <c r="S463" s="212" t="s">
        <v>1405</v>
      </c>
      <c r="T463" s="221" t="n">
        <v>1</v>
      </c>
      <c r="U463" s="201"/>
      <c r="V463" s="71"/>
      <c r="W463" s="227"/>
      <c r="X463" s="71"/>
      <c r="Y463" s="201"/>
      <c r="Z463" s="71"/>
      <c r="AA463" s="227"/>
      <c r="AB463" s="71"/>
      <c r="AC463" s="201"/>
      <c r="AD463" s="71"/>
      <c r="AE463" s="227"/>
      <c r="AF463" s="71"/>
      <c r="AG463" s="201"/>
      <c r="AH463" s="71"/>
      <c r="AI463" s="227"/>
      <c r="AJ463" s="71"/>
      <c r="AK463" s="201"/>
      <c r="AL463" s="71"/>
      <c r="AM463" s="227"/>
      <c r="AN463" s="71"/>
      <c r="AO463" s="201"/>
      <c r="AP463" s="71"/>
      <c r="AQ463" s="227"/>
      <c r="AR463" s="71"/>
      <c r="AS463" s="227"/>
      <c r="AT463" s="228"/>
      <c r="AU463" s="227"/>
      <c r="AV463" s="228"/>
      <c r="AW463" s="227"/>
      <c r="AX463" s="229" t="n">
        <f aca="false">SUM(R463+T463+V463+X463+Z463+AB463+AD463+AF463+AH463+AJ463+AL463+AN463+AP463+AR463)</f>
        <v>6</v>
      </c>
      <c r="AY463" s="230" t="n">
        <f aca="false">SUM(AX463*1000)/48</f>
        <v>125</v>
      </c>
      <c r="AZ463" s="231" t="n">
        <f aca="false">IFERROR(VLOOKUP(A463,'Site check'!$A$14:$O$47,15,0),0)</f>
        <v>0</v>
      </c>
      <c r="BA463" s="232" t="n">
        <f aca="false">SUM(AZ463*1000)/48</f>
        <v>0</v>
      </c>
      <c r="BB463" s="90" t="n">
        <f aca="false">SUM(P463/2)+E463</f>
        <v>123.5</v>
      </c>
      <c r="BC463" s="90" t="n">
        <f aca="false">SUM(P463/2)+F463</f>
        <v>155.5</v>
      </c>
    </row>
    <row r="464" customFormat="false" ht="13.15" hidden="false" customHeight="false" outlineLevel="0" collapsed="false">
      <c r="A464" s="0" t="str">
        <f aca="false">[2]Sheet1!A464</f>
        <v>SWNN03_SYS01_PER_K - ignore</v>
      </c>
      <c r="B464" s="0" t="str">
        <f aca="false">[2]Sheet1!B464</f>
        <v>SWNN03;DC SYS01</v>
      </c>
      <c r="C464" s="44" t="str">
        <f aca="false">[2]Sheet1!C464</f>
        <v>SWNN03</v>
      </c>
      <c r="D464" s="44" t="s">
        <v>783</v>
      </c>
      <c r="E464" s="0" t="n">
        <f aca="false">[2]Sheet1!D464</f>
        <v>0</v>
      </c>
      <c r="F464" s="0" t="n">
        <f aca="false">[2]Sheet1!E464</f>
        <v>0</v>
      </c>
      <c r="G464" s="45" t="n">
        <f aca="false">[2]Sheet1!F464</f>
        <v>39873</v>
      </c>
      <c r="H464" s="0" t="n">
        <f aca="false">[2]Sheet1!G464</f>
        <v>0</v>
      </c>
      <c r="I464" s="0" t="n">
        <f aca="false">[2]Sheet1!H464</f>
        <v>0</v>
      </c>
      <c r="J464" s="0" t="n">
        <f aca="false">[2]Sheet1!I464</f>
        <v>0</v>
      </c>
      <c r="K464" s="0" t="n">
        <f aca="false">[2]Sheet1!J464</f>
        <v>0</v>
      </c>
      <c r="L464" s="0" t="n">
        <f aca="false">[2]Sheet1!K464</f>
        <v>0</v>
      </c>
      <c r="M464" s="0" t="n">
        <f aca="false">[2]Sheet1!L464</f>
        <v>0</v>
      </c>
      <c r="N464" s="0" t="n">
        <f aca="false">[2]Sheet1!M464</f>
        <v>0</v>
      </c>
      <c r="O464" s="0" t="n">
        <f aca="false">[2]Sheet1!N464</f>
        <v>0</v>
      </c>
      <c r="P464" s="226" t="n">
        <f aca="false">SUM(AY464+BA464)</f>
        <v>0</v>
      </c>
      <c r="Q464" s="201"/>
      <c r="R464" s="71"/>
      <c r="S464" s="227"/>
      <c r="T464" s="71"/>
      <c r="U464" s="201"/>
      <c r="V464" s="71"/>
      <c r="W464" s="227"/>
      <c r="X464" s="71"/>
      <c r="Y464" s="201"/>
      <c r="Z464" s="71"/>
      <c r="AA464" s="227"/>
      <c r="AB464" s="71"/>
      <c r="AC464" s="201"/>
      <c r="AD464" s="71"/>
      <c r="AE464" s="227"/>
      <c r="AF464" s="71"/>
      <c r="AG464" s="201"/>
      <c r="AH464" s="71"/>
      <c r="AI464" s="227"/>
      <c r="AJ464" s="71"/>
      <c r="AK464" s="201"/>
      <c r="AL464" s="71"/>
      <c r="AM464" s="227"/>
      <c r="AN464" s="71"/>
      <c r="AO464" s="201"/>
      <c r="AP464" s="71"/>
      <c r="AQ464" s="227"/>
      <c r="AR464" s="71"/>
      <c r="AS464" s="227"/>
      <c r="AT464" s="228"/>
      <c r="AU464" s="227"/>
      <c r="AV464" s="228"/>
      <c r="AW464" s="227"/>
      <c r="AX464" s="229" t="n">
        <f aca="false">SUM(R464+T464+V464+X464+Z464+AB464+AD464+AF464+AH464+AJ464+AL464+AN464+AP464+AR464)</f>
        <v>0</v>
      </c>
      <c r="AY464" s="230" t="n">
        <f aca="false">SUM(AX464*1000)/48</f>
        <v>0</v>
      </c>
      <c r="AZ464" s="231" t="n">
        <f aca="false">IFERROR(VLOOKUP(A464,'Site check'!$A$14:$O$47,15,0),0)</f>
        <v>0</v>
      </c>
      <c r="BA464" s="232" t="n">
        <f aca="false">SUM(AZ464*1000)/48</f>
        <v>0</v>
      </c>
      <c r="BB464" s="90" t="n">
        <f aca="false">SUM(P464/2)+E464</f>
        <v>0</v>
      </c>
      <c r="BC464" s="90" t="n">
        <f aca="false">SUM(P464/2)+F464</f>
        <v>0</v>
      </c>
    </row>
    <row r="465" customFormat="false" ht="13.15" hidden="false" customHeight="false" outlineLevel="0" collapsed="false">
      <c r="A465" s="0" t="str">
        <f aca="false">[2]Sheet1!A465</f>
        <v>SQYN02_SEC_DCDB_HVHU1</v>
      </c>
      <c r="B465" s="0" t="str">
        <f aca="false">[2]Sheet1!B465</f>
        <v>SQYN02;DC SYS09A</v>
      </c>
      <c r="C465" s="44" t="str">
        <f aca="false">[2]Sheet1!C465</f>
        <v>SQYN02</v>
      </c>
      <c r="D465" s="44" t="s">
        <v>776</v>
      </c>
      <c r="E465" s="0" t="n">
        <f aca="false">[2]Sheet1!D465</f>
        <v>63</v>
      </c>
      <c r="F465" s="0" t="n">
        <f aca="false">[2]Sheet1!E465</f>
        <v>59</v>
      </c>
      <c r="G465" s="45" t="n">
        <f aca="false">[2]Sheet1!F465</f>
        <v>45034</v>
      </c>
      <c r="H465" s="0" t="n">
        <f aca="false">[2]Sheet1!G465</f>
        <v>300</v>
      </c>
      <c r="I465" s="0" t="n">
        <f aca="false">[2]Sheet1!H465</f>
        <v>300</v>
      </c>
      <c r="J465" s="0" t="n">
        <f aca="false">[2]Sheet1!I465</f>
        <v>1</v>
      </c>
      <c r="K465" s="0" t="n">
        <f aca="false">[2]Sheet1!J465</f>
        <v>0</v>
      </c>
      <c r="L465" s="0" t="n">
        <f aca="false">[2]Sheet1!K465</f>
        <v>2</v>
      </c>
      <c r="M465" s="0" t="n">
        <f aca="false">[2]Sheet1!L465</f>
        <v>0</v>
      </c>
      <c r="N465" s="0" t="n">
        <f aca="false">[2]Sheet1!M465</f>
        <v>0</v>
      </c>
      <c r="O465" s="0" t="n">
        <f aca="false">[2]Sheet1!N465</f>
        <v>36</v>
      </c>
      <c r="P465" s="226" t="n">
        <f aca="false">SUM(AY465+BA465)</f>
        <v>366.666666666667</v>
      </c>
      <c r="Q465" s="177" t="s">
        <v>1400</v>
      </c>
      <c r="R465" s="255" t="n">
        <v>2.5</v>
      </c>
      <c r="S465" s="177" t="s">
        <v>1401</v>
      </c>
      <c r="T465" s="255" t="n">
        <v>2.5</v>
      </c>
      <c r="U465" s="179" t="s">
        <v>1402</v>
      </c>
      <c r="V465" s="180" t="n">
        <v>11</v>
      </c>
      <c r="W465" s="179" t="s">
        <v>1403</v>
      </c>
      <c r="X465" s="194" t="n">
        <v>1.6</v>
      </c>
      <c r="Y465" s="201"/>
      <c r="Z465" s="71"/>
      <c r="AA465" s="227"/>
      <c r="AB465" s="71"/>
      <c r="AC465" s="201"/>
      <c r="AD465" s="71"/>
      <c r="AE465" s="227"/>
      <c r="AF465" s="71"/>
      <c r="AG465" s="201"/>
      <c r="AH465" s="71"/>
      <c r="AI465" s="227"/>
      <c r="AJ465" s="71"/>
      <c r="AK465" s="201"/>
      <c r="AL465" s="71"/>
      <c r="AM465" s="227"/>
      <c r="AN465" s="71"/>
      <c r="AO465" s="201"/>
      <c r="AP465" s="71"/>
      <c r="AQ465" s="227"/>
      <c r="AR465" s="71"/>
      <c r="AS465" s="227"/>
      <c r="AT465" s="228"/>
      <c r="AU465" s="227"/>
      <c r="AV465" s="228"/>
      <c r="AW465" s="227"/>
      <c r="AX465" s="229" t="n">
        <f aca="false">SUM(R465+T465+V465+X465+Z465+AB465+AD465+AF465+AH465+AJ465+AL465+AN465+AP465+AR465)</f>
        <v>17.6</v>
      </c>
      <c r="AY465" s="230" t="n">
        <f aca="false">SUM(AX465*1000)/48</f>
        <v>366.666666666667</v>
      </c>
      <c r="AZ465" s="231" t="n">
        <f aca="false">IFERROR(VLOOKUP(A465,'Site check'!$A$14:$O$47,15,0),0)</f>
        <v>0</v>
      </c>
      <c r="BA465" s="232" t="n">
        <f aca="false">SUM(AZ465*1000)/48</f>
        <v>0</v>
      </c>
      <c r="BB465" s="90" t="n">
        <f aca="false">SUM(P465/2)+E465</f>
        <v>246.333333333333</v>
      </c>
      <c r="BC465" s="90" t="n">
        <f aca="false">SUM(P465/2)+F465</f>
        <v>242.333333333333</v>
      </c>
    </row>
    <row r="466" customFormat="false" ht="13.15" hidden="false" customHeight="false" outlineLevel="0" collapsed="false">
      <c r="A466" s="0" t="str">
        <f aca="false">[2]Sheet1!A466</f>
        <v>LLDTE1_SEC_DCDB_Q4</v>
      </c>
      <c r="B466" s="0" t="str">
        <f aca="false">[2]Sheet1!B466</f>
        <v>LLDTE1;DC SYS01</v>
      </c>
      <c r="C466" s="44" t="str">
        <f aca="false">[2]Sheet1!C466</f>
        <v>LLDTE1</v>
      </c>
      <c r="D466" s="44" t="s">
        <v>651</v>
      </c>
      <c r="E466" s="0" t="n">
        <f aca="false">[2]Sheet1!D466</f>
        <v>97</v>
      </c>
      <c r="F466" s="0" t="n">
        <f aca="false">[2]Sheet1!E466</f>
        <v>101</v>
      </c>
      <c r="G466" s="45" t="n">
        <f aca="false">[2]Sheet1!F466</f>
        <v>0</v>
      </c>
      <c r="H466" s="0" t="n">
        <f aca="false">[2]Sheet1!G466</f>
        <v>300</v>
      </c>
      <c r="I466" s="0" t="n">
        <f aca="false">[2]Sheet1!H466</f>
        <v>300</v>
      </c>
      <c r="J466" s="0" t="n">
        <f aca="false">[2]Sheet1!I466</f>
        <v>0</v>
      </c>
      <c r="K466" s="0" t="n">
        <f aca="false">[2]Sheet1!J466</f>
        <v>0</v>
      </c>
      <c r="L466" s="0" t="n">
        <f aca="false">[2]Sheet1!K466</f>
        <v>0</v>
      </c>
      <c r="M466" s="0" t="n">
        <f aca="false">[2]Sheet1!L466</f>
        <v>0</v>
      </c>
      <c r="N466" s="0" t="n">
        <f aca="false">[2]Sheet1!M466</f>
        <v>0</v>
      </c>
      <c r="O466" s="0" t="n">
        <f aca="false">[2]Sheet1!N466</f>
        <v>37</v>
      </c>
      <c r="P466" s="226" t="n">
        <f aca="false">SUM(AY466+BA466)</f>
        <v>0</v>
      </c>
      <c r="Q466" s="201"/>
      <c r="R466" s="71"/>
      <c r="S466" s="227"/>
      <c r="T466" s="71"/>
      <c r="U466" s="201"/>
      <c r="V466" s="71"/>
      <c r="W466" s="227"/>
      <c r="X466" s="71"/>
      <c r="Y466" s="201"/>
      <c r="Z466" s="71"/>
      <c r="AA466" s="227"/>
      <c r="AB466" s="71"/>
      <c r="AC466" s="201"/>
      <c r="AD466" s="71"/>
      <c r="AE466" s="227"/>
      <c r="AF466" s="71"/>
      <c r="AG466" s="201"/>
      <c r="AH466" s="71"/>
      <c r="AI466" s="227"/>
      <c r="AJ466" s="71"/>
      <c r="AK466" s="201"/>
      <c r="AL466" s="71"/>
      <c r="AM466" s="227"/>
      <c r="AN466" s="71"/>
      <c r="AO466" s="201"/>
      <c r="AP466" s="71"/>
      <c r="AQ466" s="227"/>
      <c r="AR466" s="71"/>
      <c r="AS466" s="227"/>
      <c r="AT466" s="228"/>
      <c r="AU466" s="227"/>
      <c r="AV466" s="228"/>
      <c r="AW466" s="227"/>
      <c r="AX466" s="229" t="n">
        <f aca="false">SUM(R466+T466+V466+X466+Z466+AB466+AD466+AF466+AH466+AJ466+AL466+AN466+AP466+AR466)</f>
        <v>0</v>
      </c>
      <c r="AY466" s="230" t="n">
        <f aca="false">SUM(AX466*1000)/48</f>
        <v>0</v>
      </c>
      <c r="AZ466" s="231" t="n">
        <f aca="false">IFERROR(VLOOKUP(A466,'Site check'!$A$14:$O$47,15,0),0)</f>
        <v>0</v>
      </c>
      <c r="BA466" s="232" t="n">
        <f aca="false">SUM(AZ466*1000)/48</f>
        <v>0</v>
      </c>
      <c r="BB466" s="90" t="n">
        <f aca="false">SUM(P466/2)+E466</f>
        <v>97</v>
      </c>
      <c r="BC466" s="90" t="n">
        <f aca="false">SUM(P466/2)+F466</f>
        <v>101</v>
      </c>
    </row>
    <row r="467" customFormat="false" ht="13.15" hidden="false" customHeight="false" outlineLevel="0" collapsed="false">
      <c r="A467" s="0" t="str">
        <f aca="false">[2]Sheet1!A467</f>
        <v>BSHN08_PDU2A_B</v>
      </c>
      <c r="B467" s="0" t="str">
        <f aca="false">[2]Sheet1!B467</f>
        <v>BSH;DC SYS01A</v>
      </c>
      <c r="C467" s="44" t="str">
        <f aca="false">[2]Sheet1!C467</f>
        <v>BSHN08</v>
      </c>
      <c r="D467" s="44" t="s">
        <v>841</v>
      </c>
      <c r="E467" s="0" t="n">
        <f aca="false">[2]Sheet1!D467</f>
        <v>111.66</v>
      </c>
      <c r="F467" s="0" t="n">
        <f aca="false">[2]Sheet1!E467</f>
        <v>116.68</v>
      </c>
      <c r="G467" s="45" t="n">
        <f aca="false">[2]Sheet1!F467</f>
        <v>45631</v>
      </c>
      <c r="H467" s="0" t="n">
        <f aca="false">[2]Sheet1!G467</f>
        <v>360</v>
      </c>
      <c r="I467" s="0" t="n">
        <f aca="false">[2]Sheet1!H467</f>
        <v>360</v>
      </c>
      <c r="J467" s="0" t="n">
        <f aca="false">[2]Sheet1!I467</f>
        <v>0</v>
      </c>
      <c r="K467" s="0" t="n">
        <f aca="false">[2]Sheet1!J467</f>
        <v>0</v>
      </c>
      <c r="L467" s="0" t="n">
        <f aca="false">[2]Sheet1!K467</f>
        <v>0</v>
      </c>
      <c r="M467" s="0" t="n">
        <f aca="false">[2]Sheet1!L467</f>
        <v>0</v>
      </c>
      <c r="N467" s="0" t="n">
        <f aca="false">[2]Sheet1!M467</f>
        <v>0</v>
      </c>
      <c r="O467" s="0" t="n">
        <f aca="false">[2]Sheet1!N467</f>
        <v>0</v>
      </c>
      <c r="P467" s="226" t="n">
        <f aca="false">SUM(AY467+BA467)</f>
        <v>318.75</v>
      </c>
      <c r="Q467" s="170" t="s">
        <v>1056</v>
      </c>
      <c r="R467" s="234" t="n">
        <v>1.4</v>
      </c>
      <c r="S467" s="181" t="s">
        <v>1054</v>
      </c>
      <c r="T467" s="237" t="n">
        <v>2.2</v>
      </c>
      <c r="U467" s="181" t="s">
        <v>1055</v>
      </c>
      <c r="V467" s="237" t="n">
        <v>2</v>
      </c>
      <c r="W467" s="193" t="s">
        <v>1556</v>
      </c>
      <c r="X467" s="243" t="n">
        <v>4</v>
      </c>
      <c r="Y467" s="193" t="s">
        <v>1058</v>
      </c>
      <c r="Z467" s="237" t="n">
        <v>2.3</v>
      </c>
      <c r="AA467" s="181" t="s">
        <v>1053</v>
      </c>
      <c r="AB467" s="237" t="n">
        <v>1.8</v>
      </c>
      <c r="AC467" s="179" t="s">
        <v>1064</v>
      </c>
      <c r="AD467" s="194" t="n">
        <v>1.6</v>
      </c>
      <c r="AE467" s="227"/>
      <c r="AF467" s="71"/>
      <c r="AG467" s="201"/>
      <c r="AH467" s="71"/>
      <c r="AI467" s="227"/>
      <c r="AJ467" s="71"/>
      <c r="AK467" s="201"/>
      <c r="AL467" s="71"/>
      <c r="AM467" s="227"/>
      <c r="AN467" s="71"/>
      <c r="AO467" s="201"/>
      <c r="AP467" s="71"/>
      <c r="AQ467" s="227"/>
      <c r="AR467" s="71"/>
      <c r="AS467" s="227"/>
      <c r="AT467" s="228"/>
      <c r="AU467" s="227"/>
      <c r="AV467" s="228"/>
      <c r="AW467" s="227"/>
      <c r="AX467" s="229" t="n">
        <f aca="false">SUM(R467+T467+V467+X467+Z467+AB467+AD467+AF467+AH467+AJ467+AL467+AN467+AP467+AR467)</f>
        <v>15.3</v>
      </c>
      <c r="AY467" s="230" t="n">
        <f aca="false">SUM(AX467*1000)/48</f>
        <v>318.75</v>
      </c>
      <c r="AZ467" s="231" t="n">
        <f aca="false">IFERROR(VLOOKUP(A467,'Site check'!$A$14:$O$47,15,0),0)</f>
        <v>0</v>
      </c>
      <c r="BA467" s="232" t="n">
        <f aca="false">SUM(AZ467*1000)/48</f>
        <v>0</v>
      </c>
      <c r="BB467" s="90" t="n">
        <f aca="false">SUM(P467/2)+E467</f>
        <v>271.035</v>
      </c>
      <c r="BC467" s="90" t="n">
        <f aca="false">SUM(P467/2)+F467</f>
        <v>276.055</v>
      </c>
    </row>
    <row r="468" customFormat="false" ht="13.15" hidden="false" customHeight="false" outlineLevel="0" collapsed="false">
      <c r="A468" s="0" t="str">
        <f aca="false">[2]Sheet1!A468</f>
        <v>BTLN09_PDU2A_B</v>
      </c>
      <c r="B468" s="0" t="str">
        <f aca="false">[2]Sheet1!B468</f>
        <v>BTLN09;DC SYS01 </v>
      </c>
      <c r="C468" s="44" t="str">
        <f aca="false">[2]Sheet1!C468</f>
        <v>BTLN09</v>
      </c>
      <c r="D468" s="44" t="s">
        <v>468</v>
      </c>
      <c r="E468" s="0" t="n">
        <f aca="false">[2]Sheet1!D468</f>
        <v>57.91</v>
      </c>
      <c r="F468" s="0" t="n">
        <f aca="false">[2]Sheet1!E468</f>
        <v>56.55</v>
      </c>
      <c r="G468" s="45" t="n">
        <f aca="false">[2]Sheet1!F468</f>
        <v>45631</v>
      </c>
      <c r="H468" s="0" t="n">
        <f aca="false">[2]Sheet1!G468</f>
        <v>360</v>
      </c>
      <c r="I468" s="0" t="n">
        <f aca="false">[2]Sheet1!H468</f>
        <v>360</v>
      </c>
      <c r="J468" s="0" t="n">
        <f aca="false">[2]Sheet1!I468</f>
        <v>0</v>
      </c>
      <c r="K468" s="0" t="n">
        <f aca="false">[2]Sheet1!J468</f>
        <v>0</v>
      </c>
      <c r="L468" s="0" t="n">
        <f aca="false">[2]Sheet1!K468</f>
        <v>0</v>
      </c>
      <c r="M468" s="0" t="n">
        <f aca="false">[2]Sheet1!L468</f>
        <v>0</v>
      </c>
      <c r="N468" s="0" t="n">
        <f aca="false">[2]Sheet1!M468</f>
        <v>0</v>
      </c>
      <c r="O468" s="0" t="n">
        <f aca="false">[2]Sheet1!N468</f>
        <v>0</v>
      </c>
      <c r="P468" s="226" t="n">
        <f aca="false">SUM(AY468+BA468)</f>
        <v>487.5</v>
      </c>
      <c r="Q468" s="177" t="s">
        <v>1098</v>
      </c>
      <c r="R468" s="235" t="n">
        <v>1.7</v>
      </c>
      <c r="S468" s="202" t="s">
        <v>1557</v>
      </c>
      <c r="T468" s="235" t="n">
        <v>7.5</v>
      </c>
      <c r="U468" s="182" t="s">
        <v>1101</v>
      </c>
      <c r="V468" s="183" t="n">
        <v>1.6</v>
      </c>
      <c r="W468" s="177" t="s">
        <v>1558</v>
      </c>
      <c r="X468" s="200" t="n">
        <v>2.9</v>
      </c>
      <c r="Y468" s="201" t="s">
        <v>1097</v>
      </c>
      <c r="Z468" s="71" t="n">
        <v>5.9</v>
      </c>
      <c r="AA468" s="181" t="s">
        <v>1102</v>
      </c>
      <c r="AB468" s="175" t="n">
        <v>2.2</v>
      </c>
      <c r="AC468" s="179" t="s">
        <v>1103</v>
      </c>
      <c r="AD468" s="194" t="n">
        <v>1.6</v>
      </c>
      <c r="AE468" s="227"/>
      <c r="AF468" s="71"/>
      <c r="AG468" s="201"/>
      <c r="AH468" s="71"/>
      <c r="AI468" s="227"/>
      <c r="AJ468" s="71"/>
      <c r="AK468" s="201"/>
      <c r="AL468" s="71"/>
      <c r="AM468" s="227"/>
      <c r="AN468" s="71"/>
      <c r="AO468" s="201"/>
      <c r="AP468" s="71"/>
      <c r="AQ468" s="227"/>
      <c r="AR468" s="71"/>
      <c r="AS468" s="227"/>
      <c r="AT468" s="228"/>
      <c r="AU468" s="227"/>
      <c r="AV468" s="228"/>
      <c r="AW468" s="227"/>
      <c r="AX468" s="229" t="n">
        <f aca="false">SUM(R468+T468+V468+X468+Z468+AB468+AD468+AF468+AH468+AJ468+AL468+AN468+AP468+AR468)</f>
        <v>23.4</v>
      </c>
      <c r="AY468" s="230" t="n">
        <f aca="false">SUM(AX468*1000)/48</f>
        <v>487.5</v>
      </c>
      <c r="AZ468" s="231" t="n">
        <f aca="false">IFERROR(VLOOKUP(A468,'Site check'!$A$14:$O$47,15,0),0)</f>
        <v>0</v>
      </c>
      <c r="BA468" s="232" t="n">
        <f aca="false">SUM(AZ468*1000)/48</f>
        <v>0</v>
      </c>
      <c r="BB468" s="90" t="n">
        <f aca="false">SUM(P468/2)+E468</f>
        <v>301.66</v>
      </c>
      <c r="BC468" s="90" t="n">
        <f aca="false">SUM(P468/2)+F468</f>
        <v>300.3</v>
      </c>
    </row>
    <row r="469" customFormat="false" ht="13.15" hidden="false" customHeight="false" outlineLevel="0" collapsed="false">
      <c r="A469" s="0" t="str">
        <f aca="false">[2]Sheet1!A469</f>
        <v>LDSCD2_PDU2A_B</v>
      </c>
      <c r="B469" s="0" t="str">
        <f aca="false">[2]Sheet1!B469</f>
        <v>LDSCD2;DC SYS A</v>
      </c>
      <c r="C469" s="44" t="str">
        <f aca="false">[2]Sheet1!C469</f>
        <v>LDSCD2</v>
      </c>
      <c r="D469" s="44" t="s">
        <v>643</v>
      </c>
      <c r="E469" s="0" t="n">
        <f aca="false">[2]Sheet1!D469</f>
        <v>64.98</v>
      </c>
      <c r="F469" s="0" t="n">
        <f aca="false">[2]Sheet1!E469</f>
        <v>63.82</v>
      </c>
      <c r="G469" s="45" t="n">
        <f aca="false">[2]Sheet1!F469</f>
        <v>45665</v>
      </c>
      <c r="H469" s="0" t="n">
        <f aca="false">[2]Sheet1!G469</f>
        <v>360</v>
      </c>
      <c r="I469" s="0" t="n">
        <f aca="false">[2]Sheet1!H469</f>
        <v>360</v>
      </c>
      <c r="J469" s="0" t="n">
        <f aca="false">[2]Sheet1!I469</f>
        <v>0</v>
      </c>
      <c r="K469" s="0" t="n">
        <f aca="false">[2]Sheet1!J469</f>
        <v>0</v>
      </c>
      <c r="L469" s="0" t="n">
        <f aca="false">[2]Sheet1!K469</f>
        <v>0</v>
      </c>
      <c r="M469" s="0" t="n">
        <f aca="false">[2]Sheet1!L469</f>
        <v>0</v>
      </c>
      <c r="N469" s="0" t="n">
        <f aca="false">[2]Sheet1!M469</f>
        <v>0</v>
      </c>
      <c r="O469" s="0" t="n">
        <f aca="false">[2]Sheet1!N469</f>
        <v>0</v>
      </c>
      <c r="P469" s="226" t="n">
        <f aca="false">SUM(AY469+BA469)</f>
        <v>204.166666666667</v>
      </c>
      <c r="Q469" s="204"/>
      <c r="R469" s="221"/>
      <c r="S469" s="202" t="s">
        <v>1559</v>
      </c>
      <c r="T469" s="235" t="n">
        <v>1</v>
      </c>
      <c r="U469" s="177" t="s">
        <v>1253</v>
      </c>
      <c r="V469" s="242" t="n">
        <v>3.4</v>
      </c>
      <c r="W469" s="256" t="s">
        <v>1560</v>
      </c>
      <c r="X469" s="242" t="n">
        <v>3.6</v>
      </c>
      <c r="Y469" s="217" t="s">
        <v>1255</v>
      </c>
      <c r="Z469" s="257" t="n">
        <v>0.2</v>
      </c>
      <c r="AA469" s="179" t="s">
        <v>1260</v>
      </c>
      <c r="AB469" s="180" t="n">
        <v>1.6</v>
      </c>
      <c r="AC469" s="201"/>
      <c r="AD469" s="71"/>
      <c r="AE469" s="227"/>
      <c r="AF469" s="71"/>
      <c r="AG469" s="201"/>
      <c r="AH469" s="71"/>
      <c r="AI469" s="227"/>
      <c r="AJ469" s="71"/>
      <c r="AK469" s="201"/>
      <c r="AL469" s="71"/>
      <c r="AM469" s="227"/>
      <c r="AN469" s="71"/>
      <c r="AO469" s="201"/>
      <c r="AP469" s="71"/>
      <c r="AQ469" s="227"/>
      <c r="AR469" s="71"/>
      <c r="AS469" s="227"/>
      <c r="AT469" s="228"/>
      <c r="AU469" s="227"/>
      <c r="AV469" s="228"/>
      <c r="AW469" s="227"/>
      <c r="AX469" s="229" t="n">
        <f aca="false">SUM(R469+T469+V469+X469+Z469+AB469+AD469+AF469+AH469+AJ469+AL469+AN469+AP469+AR469)</f>
        <v>9.8</v>
      </c>
      <c r="AY469" s="230" t="n">
        <f aca="false">SUM(AX469*1000)/48</f>
        <v>204.166666666667</v>
      </c>
      <c r="AZ469" s="231" t="n">
        <f aca="false">IFERROR(VLOOKUP(A469,'Site check'!$A$14:$O$47,15,0),0)</f>
        <v>0</v>
      </c>
      <c r="BA469" s="232" t="n">
        <f aca="false">SUM(AZ469*1000)/48</f>
        <v>0</v>
      </c>
      <c r="BB469" s="90" t="n">
        <f aca="false">SUM(P469/2)+E469</f>
        <v>167.063333333333</v>
      </c>
      <c r="BC469" s="90" t="n">
        <f aca="false">SUM(P469/2)+F469</f>
        <v>165.903333333333</v>
      </c>
    </row>
    <row r="470" customFormat="false" ht="13.15" hidden="false" customHeight="false" outlineLevel="0" collapsed="false">
      <c r="A470" s="0" t="str">
        <f aca="false">[2]Sheet1!A470</f>
        <v>MCRCD2_PDU2A_B</v>
      </c>
      <c r="B470" s="0" t="str">
        <f aca="false">[2]Sheet1!B470</f>
        <v>MCRCD2;DC SYS02 [Rect 3&amp;4]</v>
      </c>
      <c r="C470" s="44" t="str">
        <f aca="false">[2]Sheet1!C470</f>
        <v>MCRCD2</v>
      </c>
      <c r="D470" s="44" t="s">
        <v>666</v>
      </c>
      <c r="E470" s="0" t="n">
        <f aca="false">[2]Sheet1!D470</f>
        <v>14.57</v>
      </c>
      <c r="F470" s="0" t="n">
        <f aca="false">[2]Sheet1!E470</f>
        <v>18.99</v>
      </c>
      <c r="G470" s="45" t="n">
        <f aca="false">[2]Sheet1!F470</f>
        <v>45631</v>
      </c>
      <c r="H470" s="0" t="n">
        <f aca="false">[2]Sheet1!G470</f>
        <v>360</v>
      </c>
      <c r="I470" s="0" t="n">
        <f aca="false">[2]Sheet1!H470</f>
        <v>360</v>
      </c>
      <c r="J470" s="0" t="n">
        <f aca="false">[2]Sheet1!I470</f>
        <v>0</v>
      </c>
      <c r="K470" s="0" t="n">
        <f aca="false">[2]Sheet1!J470</f>
        <v>0</v>
      </c>
      <c r="L470" s="0" t="n">
        <f aca="false">[2]Sheet1!K470</f>
        <v>0</v>
      </c>
      <c r="M470" s="0" t="n">
        <f aca="false">[2]Sheet1!L470</f>
        <v>0</v>
      </c>
      <c r="N470" s="0" t="n">
        <f aca="false">[2]Sheet1!M470</f>
        <v>0</v>
      </c>
      <c r="O470" s="0" t="n">
        <f aca="false">[2]Sheet1!N470</f>
        <v>0</v>
      </c>
      <c r="P470" s="226" t="n">
        <f aca="false">SUM(AY470+BA470)</f>
        <v>193.75</v>
      </c>
      <c r="Q470" s="256" t="s">
        <v>1561</v>
      </c>
      <c r="R470" s="255" t="n">
        <v>3.6</v>
      </c>
      <c r="S470" s="181" t="s">
        <v>1286</v>
      </c>
      <c r="T470" s="235" t="n">
        <v>4.1</v>
      </c>
      <c r="U470" s="179" t="s">
        <v>1287</v>
      </c>
      <c r="V470" s="180" t="n">
        <v>1.6</v>
      </c>
      <c r="W470" s="227"/>
      <c r="X470" s="71"/>
      <c r="Y470" s="201"/>
      <c r="Z470" s="71"/>
      <c r="AA470" s="227"/>
      <c r="AB470" s="71"/>
      <c r="AC470" s="201"/>
      <c r="AD470" s="71"/>
      <c r="AE470" s="227"/>
      <c r="AF470" s="71"/>
      <c r="AG470" s="201"/>
      <c r="AH470" s="71"/>
      <c r="AI470" s="227"/>
      <c r="AJ470" s="71"/>
      <c r="AK470" s="201"/>
      <c r="AL470" s="71"/>
      <c r="AM470" s="227"/>
      <c r="AN470" s="71"/>
      <c r="AO470" s="201"/>
      <c r="AP470" s="71"/>
      <c r="AQ470" s="227"/>
      <c r="AR470" s="71"/>
      <c r="AS470" s="227"/>
      <c r="AT470" s="228"/>
      <c r="AU470" s="227"/>
      <c r="AV470" s="228"/>
      <c r="AW470" s="227"/>
      <c r="AX470" s="229" t="n">
        <f aca="false">SUM(R470+T470+V470+X470+Z470+AB470+AD470+AF470+AH470+AJ470+AL470+AN470+AP470+AR470)</f>
        <v>9.3</v>
      </c>
      <c r="AY470" s="230" t="n">
        <f aca="false">SUM(AX470*1000)/48</f>
        <v>193.75</v>
      </c>
      <c r="AZ470" s="231" t="n">
        <f aca="false">IFERROR(VLOOKUP(A470,'Site check'!$A$14:$O$47,15,0),0)</f>
        <v>0</v>
      </c>
      <c r="BA470" s="232" t="n">
        <f aca="false">SUM(AZ470*1000)/48</f>
        <v>0</v>
      </c>
      <c r="BB470" s="90" t="n">
        <f aca="false">SUM(P470/2)+E470</f>
        <v>111.445</v>
      </c>
      <c r="BC470" s="90" t="n">
        <f aca="false">SUM(P470/2)+F470</f>
        <v>115.865</v>
      </c>
    </row>
    <row r="471" customFormat="false" ht="13.15" hidden="false" customHeight="false" outlineLevel="0" collapsed="false">
      <c r="A471" s="0" t="str">
        <f aca="false">[2]Sheet1!A471</f>
        <v>SQYN02_PDU2A_B</v>
      </c>
      <c r="B471" s="0" t="str">
        <f aca="false">[2]Sheet1!B471</f>
        <v>SQYN02;DC SYS08A</v>
      </c>
      <c r="C471" s="44" t="str">
        <f aca="false">[2]Sheet1!C471</f>
        <v>SQYN02</v>
      </c>
      <c r="D471" s="44" t="s">
        <v>776</v>
      </c>
      <c r="E471" s="0" t="n">
        <f aca="false">[2]Sheet1!D471</f>
        <v>0</v>
      </c>
      <c r="F471" s="0" t="n">
        <f aca="false">[2]Sheet1!E471</f>
        <v>0</v>
      </c>
      <c r="G471" s="45" t="n">
        <f aca="false">[2]Sheet1!F471</f>
        <v>45631</v>
      </c>
      <c r="H471" s="0" t="n">
        <f aca="false">[2]Sheet1!G471</f>
        <v>600</v>
      </c>
      <c r="I471" s="0" t="n">
        <f aca="false">[2]Sheet1!H471</f>
        <v>600</v>
      </c>
      <c r="J471" s="0" t="n">
        <f aca="false">[2]Sheet1!I471</f>
        <v>0</v>
      </c>
      <c r="K471" s="0" t="n">
        <f aca="false">[2]Sheet1!J471</f>
        <v>0</v>
      </c>
      <c r="L471" s="0" t="n">
        <f aca="false">[2]Sheet1!K471</f>
        <v>0</v>
      </c>
      <c r="M471" s="0" t="n">
        <f aca="false">[2]Sheet1!L471</f>
        <v>0</v>
      </c>
      <c r="N471" s="0" t="n">
        <f aca="false">[2]Sheet1!M471</f>
        <v>0</v>
      </c>
      <c r="O471" s="0" t="n">
        <f aca="false">[2]Sheet1!N471</f>
        <v>0</v>
      </c>
      <c r="P471" s="226" t="n">
        <f aca="false">SUM(AY471+BA471)</f>
        <v>0</v>
      </c>
      <c r="Q471" s="201"/>
      <c r="R471" s="71"/>
      <c r="S471" s="227"/>
      <c r="T471" s="71"/>
      <c r="U471" s="201"/>
      <c r="V471" s="71"/>
      <c r="W471" s="227"/>
      <c r="X471" s="71"/>
      <c r="Y471" s="201"/>
      <c r="Z471" s="71"/>
      <c r="AA471" s="227"/>
      <c r="AB471" s="71"/>
      <c r="AC471" s="201"/>
      <c r="AD471" s="71"/>
      <c r="AE471" s="227"/>
      <c r="AF471" s="71"/>
      <c r="AG471" s="201"/>
      <c r="AH471" s="71"/>
      <c r="AI471" s="227"/>
      <c r="AJ471" s="71"/>
      <c r="AK471" s="201"/>
      <c r="AL471" s="71"/>
      <c r="AM471" s="227"/>
      <c r="AN471" s="71"/>
      <c r="AO471" s="201"/>
      <c r="AP471" s="71"/>
      <c r="AQ471" s="227"/>
      <c r="AR471" s="71"/>
      <c r="AS471" s="227"/>
      <c r="AT471" s="228"/>
      <c r="AU471" s="227"/>
      <c r="AV471" s="228"/>
      <c r="AW471" s="227"/>
      <c r="AX471" s="229" t="n">
        <f aca="false">SUM(R471+T471+V471+X471+Z471+AB471+AD471+AF471+AH471+AJ471+AL471+AN471+AP471+AR471)</f>
        <v>0</v>
      </c>
      <c r="AY471" s="230" t="n">
        <f aca="false">SUM(AX471*1000)/48</f>
        <v>0</v>
      </c>
      <c r="AZ471" s="231" t="n">
        <f aca="false">IFERROR(VLOOKUP(A471,'Site check'!$A$14:$O$47,15,0),0)</f>
        <v>0</v>
      </c>
      <c r="BA471" s="232" t="n">
        <f aca="false">SUM(AZ471*1000)/48</f>
        <v>0</v>
      </c>
      <c r="BB471" s="90" t="n">
        <f aca="false">SUM(P471/2)+E471</f>
        <v>0</v>
      </c>
      <c r="BC471" s="90" t="n">
        <f aca="false">SUM(P471/2)+F471</f>
        <v>0</v>
      </c>
    </row>
    <row r="472" customFormat="false" ht="13.15" hidden="false" customHeight="false" outlineLevel="0" collapsed="false">
      <c r="A472" s="0" t="str">
        <f aca="false">[2]Sheet1!A472</f>
        <v>CHTTN3_PDU2A_B</v>
      </c>
      <c r="B472" s="0" t="str">
        <f aca="false">[2]Sheet1!B472</f>
        <v>CHTTN3;DC SYS01A</v>
      </c>
      <c r="C472" s="44" t="str">
        <f aca="false">[2]Sheet1!C472</f>
        <v>CHTTN3</v>
      </c>
      <c r="D472" s="44" t="s">
        <v>502</v>
      </c>
      <c r="E472" s="0" t="n">
        <f aca="false">[2]Sheet1!D472</f>
        <v>0</v>
      </c>
      <c r="F472" s="0" t="n">
        <f aca="false">[2]Sheet1!E472</f>
        <v>13.51</v>
      </c>
      <c r="G472" s="45" t="n">
        <f aca="false">[2]Sheet1!F472</f>
        <v>0</v>
      </c>
      <c r="H472" s="0" t="n">
        <f aca="false">[2]Sheet1!G472</f>
        <v>600</v>
      </c>
      <c r="I472" s="0" t="n">
        <f aca="false">[2]Sheet1!H472</f>
        <v>600</v>
      </c>
      <c r="J472" s="0" t="n">
        <f aca="false">[2]Sheet1!I472</f>
        <v>0</v>
      </c>
      <c r="K472" s="0" t="n">
        <f aca="false">[2]Sheet1!J472</f>
        <v>0</v>
      </c>
      <c r="L472" s="0" t="n">
        <f aca="false">[2]Sheet1!K472</f>
        <v>0</v>
      </c>
      <c r="M472" s="0" t="n">
        <f aca="false">[2]Sheet1!L472</f>
        <v>0</v>
      </c>
      <c r="N472" s="0" t="n">
        <f aca="false">[2]Sheet1!M472</f>
        <v>0</v>
      </c>
      <c r="O472" s="0" t="n">
        <f aca="false">[2]Sheet1!N472</f>
        <v>0</v>
      </c>
      <c r="P472" s="226" t="n">
        <f aca="false">SUM(AY472+BA472)</f>
        <v>0</v>
      </c>
      <c r="Q472" s="201"/>
      <c r="R472" s="71"/>
      <c r="S472" s="227"/>
      <c r="T472" s="71"/>
      <c r="U472" s="201"/>
      <c r="V472" s="71"/>
      <c r="W472" s="227"/>
      <c r="X472" s="71"/>
      <c r="Y472" s="201"/>
      <c r="Z472" s="71"/>
      <c r="AA472" s="227"/>
      <c r="AB472" s="71"/>
      <c r="AC472" s="201"/>
      <c r="AD472" s="71"/>
      <c r="AE472" s="227"/>
      <c r="AF472" s="71"/>
      <c r="AG472" s="201"/>
      <c r="AH472" s="71"/>
      <c r="AI472" s="227"/>
      <c r="AJ472" s="71"/>
      <c r="AK472" s="201"/>
      <c r="AL472" s="71"/>
      <c r="AM472" s="227"/>
      <c r="AN472" s="71"/>
      <c r="AO472" s="201"/>
      <c r="AP472" s="71"/>
      <c r="AQ472" s="227"/>
      <c r="AR472" s="71"/>
      <c r="AS472" s="227"/>
      <c r="AT472" s="228"/>
      <c r="AU472" s="227"/>
      <c r="AV472" s="228"/>
      <c r="AW472" s="227"/>
      <c r="AX472" s="229" t="n">
        <f aca="false">SUM(R472+T472+V472+X472+Z472+AB472+AD472+AF472+AH472+AJ472+AL472+AN472+AP472+AR472)</f>
        <v>0</v>
      </c>
      <c r="AY472" s="230" t="n">
        <f aca="false">SUM(AX472*1000)/48</f>
        <v>0</v>
      </c>
      <c r="AZ472" s="231" t="n">
        <f aca="false">IFERROR(VLOOKUP(A472,'Site check'!$A$14:$O$47,15,0),0)</f>
        <v>0</v>
      </c>
      <c r="BA472" s="232" t="n">
        <f aca="false">SUM(AZ472*1000)/48</f>
        <v>0</v>
      </c>
      <c r="BB472" s="90" t="n">
        <f aca="false">SUM(P472/2)+E472</f>
        <v>0</v>
      </c>
      <c r="BC472" s="90" t="n">
        <f aca="false">SUM(P472/2)+F472</f>
        <v>13.51</v>
      </c>
    </row>
    <row r="473" customFormat="false" ht="13.15" hidden="false" customHeight="false" outlineLevel="0" collapsed="false">
      <c r="A473" s="0" t="str">
        <f aca="false">[2]Sheet1!A473</f>
        <v>STGCD1_Eaton DIST@G0</v>
      </c>
      <c r="B473" s="0" t="str">
        <f aca="false">[2]Sheet1!B473</f>
        <v>STGCD1;DC SYS01</v>
      </c>
      <c r="C473" s="44" t="str">
        <f aca="false">[2]Sheet1!C473</f>
        <v>STGCD1</v>
      </c>
      <c r="D473" s="44" t="s">
        <v>782</v>
      </c>
      <c r="E473" s="0" t="n">
        <f aca="false">[2]Sheet1!D473</f>
        <v>0</v>
      </c>
      <c r="F473" s="0" t="n">
        <f aca="false">[2]Sheet1!E473</f>
        <v>0</v>
      </c>
      <c r="G473" s="45" t="n">
        <f aca="false">[2]Sheet1!F473</f>
        <v>44860</v>
      </c>
      <c r="H473" s="0" t="n">
        <f aca="false">[2]Sheet1!G473</f>
        <v>300</v>
      </c>
      <c r="I473" s="0" t="n">
        <f aca="false">[2]Sheet1!H473</f>
        <v>300</v>
      </c>
      <c r="J473" s="0" t="n">
        <f aca="false">[2]Sheet1!I473</f>
        <v>0</v>
      </c>
      <c r="K473" s="0" t="n">
        <f aca="false">[2]Sheet1!J473</f>
        <v>0</v>
      </c>
      <c r="L473" s="0" t="n">
        <f aca="false">[2]Sheet1!K473</f>
        <v>0</v>
      </c>
      <c r="M473" s="0" t="n">
        <f aca="false">[2]Sheet1!L473</f>
        <v>0</v>
      </c>
      <c r="N473" s="0" t="n">
        <f aca="false">[2]Sheet1!M473</f>
        <v>0</v>
      </c>
      <c r="O473" s="0" t="n">
        <f aca="false">[2]Sheet1!N473</f>
        <v>0</v>
      </c>
      <c r="P473" s="226" t="n">
        <f aca="false">SUM(AY473+BA473)</f>
        <v>0</v>
      </c>
      <c r="Q473" s="201"/>
      <c r="R473" s="71"/>
      <c r="S473" s="227"/>
      <c r="T473" s="71"/>
      <c r="U473" s="201"/>
      <c r="V473" s="71"/>
      <c r="W473" s="227"/>
      <c r="X473" s="71"/>
      <c r="Y473" s="201"/>
      <c r="Z473" s="71"/>
      <c r="AA473" s="227"/>
      <c r="AB473" s="71"/>
      <c r="AC473" s="201"/>
      <c r="AD473" s="71"/>
      <c r="AE473" s="227"/>
      <c r="AF473" s="71"/>
      <c r="AG473" s="201"/>
      <c r="AH473" s="71"/>
      <c r="AI473" s="227"/>
      <c r="AJ473" s="71"/>
      <c r="AK473" s="201"/>
      <c r="AL473" s="71"/>
      <c r="AM473" s="227"/>
      <c r="AN473" s="71"/>
      <c r="AO473" s="201"/>
      <c r="AP473" s="71"/>
      <c r="AQ473" s="227"/>
      <c r="AR473" s="71"/>
      <c r="AS473" s="227"/>
      <c r="AT473" s="228"/>
      <c r="AU473" s="227"/>
      <c r="AV473" s="228"/>
      <c r="AW473" s="227"/>
      <c r="AX473" s="229" t="n">
        <f aca="false">SUM(R473+T473+V473+X473+Z473+AB473+AD473+AF473+AH473+AJ473+AL473+AN473+AP473+AR473)</f>
        <v>0</v>
      </c>
      <c r="AY473" s="230" t="n">
        <f aca="false">SUM(AX473*1000)/48</f>
        <v>0</v>
      </c>
      <c r="AZ473" s="231" t="n">
        <f aca="false">IFERROR(VLOOKUP(A473,'Site check'!$A$14:$O$47,15,0),0)</f>
        <v>0</v>
      </c>
      <c r="BA473" s="232" t="n">
        <f aca="false">SUM(AZ473*1000)/48</f>
        <v>0</v>
      </c>
      <c r="BB473" s="90" t="n">
        <f aca="false">SUM(P473/2)+E473</f>
        <v>0</v>
      </c>
      <c r="BC473" s="90" t="n">
        <f aca="false">SUM(P473/2)+F473</f>
        <v>0</v>
      </c>
    </row>
    <row r="474" customFormat="false" ht="13.15" hidden="false" customHeight="false" outlineLevel="0" collapsed="false">
      <c r="A474" s="0" t="str">
        <f aca="false">[2]Sheet1!A474</f>
        <v>SHDTR1_SEC_CBDB_N10</v>
      </c>
      <c r="B474" s="0" t="str">
        <f aca="false">[2]Sheet1!B474</f>
        <v>SHDTR1;DC SYS01</v>
      </c>
      <c r="C474" s="44" t="str">
        <f aca="false">[2]Sheet1!C474</f>
        <v>SHDTR1</v>
      </c>
      <c r="D474" s="44" t="s">
        <v>758</v>
      </c>
      <c r="E474" s="0" t="n">
        <f aca="false">[2]Sheet1!D474</f>
        <v>140</v>
      </c>
      <c r="F474" s="0" t="n">
        <f aca="false">[2]Sheet1!E474</f>
        <v>137</v>
      </c>
      <c r="G474" s="45" t="n">
        <f aca="false">[2]Sheet1!F474</f>
        <v>44971</v>
      </c>
      <c r="H474" s="0" t="n">
        <f aca="false">[2]Sheet1!G474</f>
        <v>300</v>
      </c>
      <c r="I474" s="0" t="n">
        <f aca="false">[2]Sheet1!H474</f>
        <v>300</v>
      </c>
      <c r="J474" s="0" t="n">
        <f aca="false">[2]Sheet1!I474</f>
        <v>0</v>
      </c>
      <c r="K474" s="0" t="n">
        <f aca="false">[2]Sheet1!J474</f>
        <v>0</v>
      </c>
      <c r="L474" s="0" t="n">
        <f aca="false">[2]Sheet1!K474</f>
        <v>0</v>
      </c>
      <c r="M474" s="0" t="n">
        <f aca="false">[2]Sheet1!L474</f>
        <v>0</v>
      </c>
      <c r="N474" s="0" t="n">
        <f aca="false">[2]Sheet1!M474</f>
        <v>0</v>
      </c>
      <c r="O474" s="0" t="n">
        <f aca="false">[2]Sheet1!N474</f>
        <v>34</v>
      </c>
      <c r="P474" s="226" t="n">
        <f aca="false">SUM(AY474+BA474)</f>
        <v>114.583333333333</v>
      </c>
      <c r="Q474" s="181" t="s">
        <v>1562</v>
      </c>
      <c r="R474" s="175" t="n">
        <v>5.5</v>
      </c>
      <c r="S474" s="227"/>
      <c r="T474" s="71"/>
      <c r="U474" s="201"/>
      <c r="V474" s="71"/>
      <c r="W474" s="227"/>
      <c r="X474" s="71"/>
      <c r="Y474" s="201"/>
      <c r="Z474" s="71"/>
      <c r="AA474" s="227"/>
      <c r="AB474" s="71"/>
      <c r="AC474" s="201"/>
      <c r="AD474" s="71"/>
      <c r="AE474" s="227"/>
      <c r="AF474" s="71"/>
      <c r="AG474" s="201"/>
      <c r="AH474" s="71"/>
      <c r="AI474" s="227"/>
      <c r="AJ474" s="71"/>
      <c r="AK474" s="201"/>
      <c r="AL474" s="71"/>
      <c r="AM474" s="227"/>
      <c r="AN474" s="71"/>
      <c r="AO474" s="201"/>
      <c r="AP474" s="71"/>
      <c r="AQ474" s="227"/>
      <c r="AR474" s="71"/>
      <c r="AS474" s="227"/>
      <c r="AT474" s="228"/>
      <c r="AU474" s="227"/>
      <c r="AV474" s="228"/>
      <c r="AW474" s="227"/>
      <c r="AX474" s="229" t="n">
        <f aca="false">SUM(R474+T474+V474+X474+Z474+AB474+AD474+AF474+AH474+AJ474+AL474+AN474+AP474+AR474)</f>
        <v>5.5</v>
      </c>
      <c r="AY474" s="230" t="n">
        <f aca="false">SUM(AX474*1000)/48</f>
        <v>114.583333333333</v>
      </c>
      <c r="AZ474" s="231" t="n">
        <f aca="false">IFERROR(VLOOKUP(A474,'Site check'!$A$14:$O$47,15,0),0)</f>
        <v>0</v>
      </c>
      <c r="BA474" s="232" t="n">
        <f aca="false">SUM(AZ474*1000)/48</f>
        <v>0</v>
      </c>
      <c r="BB474" s="90" t="n">
        <f aca="false">SUM(P474/2)+E474</f>
        <v>197.291666666667</v>
      </c>
      <c r="BC474" s="90" t="n">
        <f aca="false">SUM(P474/2)+F474</f>
        <v>194.291666666667</v>
      </c>
    </row>
    <row r="475" customFormat="false" ht="13.15" hidden="false" customHeight="false" outlineLevel="0" collapsed="false">
      <c r="A475" s="0" t="str">
        <f aca="false">[2]Sheet1!A475</f>
        <v>SHDTR1_EOS_D</v>
      </c>
      <c r="B475" s="0" t="str">
        <f aca="false">[2]Sheet1!B475</f>
        <v>SHDTR1;DC SYS01</v>
      </c>
      <c r="C475" s="44" t="str">
        <f aca="false">[2]Sheet1!C475</f>
        <v>SHDTR1</v>
      </c>
      <c r="D475" s="44" t="s">
        <v>758</v>
      </c>
      <c r="E475" s="0" t="n">
        <f aca="false">[2]Sheet1!D475</f>
        <v>3</v>
      </c>
      <c r="F475" s="0" t="n">
        <f aca="false">[2]Sheet1!E475</f>
        <v>2.7</v>
      </c>
      <c r="G475" s="45" t="n">
        <f aca="false">[2]Sheet1!F475</f>
        <v>44971</v>
      </c>
      <c r="H475" s="0" t="n">
        <f aca="false">[2]Sheet1!G475</f>
        <v>80</v>
      </c>
      <c r="I475" s="0" t="n">
        <f aca="false">[2]Sheet1!H475</f>
        <v>80</v>
      </c>
      <c r="J475" s="0" t="n">
        <f aca="false">[2]Sheet1!I475</f>
        <v>0</v>
      </c>
      <c r="K475" s="0" t="n">
        <f aca="false">[2]Sheet1!J475</f>
        <v>0</v>
      </c>
      <c r="L475" s="0" t="n">
        <f aca="false">[2]Sheet1!K475</f>
        <v>0</v>
      </c>
      <c r="M475" s="0" t="n">
        <f aca="false">[2]Sheet1!L475</f>
        <v>0</v>
      </c>
      <c r="N475" s="0" t="n">
        <f aca="false">[2]Sheet1!M475</f>
        <v>18</v>
      </c>
      <c r="O475" s="0" t="n">
        <f aca="false">[2]Sheet1!N475</f>
        <v>0</v>
      </c>
      <c r="P475" s="226" t="n">
        <f aca="false">SUM(AY475+BA475)</f>
        <v>0</v>
      </c>
      <c r="Q475" s="201"/>
      <c r="R475" s="71"/>
      <c r="S475" s="227"/>
      <c r="T475" s="71"/>
      <c r="U475" s="201"/>
      <c r="V475" s="71"/>
      <c r="W475" s="227"/>
      <c r="X475" s="71"/>
      <c r="Y475" s="201"/>
      <c r="Z475" s="71"/>
      <c r="AA475" s="227"/>
      <c r="AB475" s="71"/>
      <c r="AC475" s="201"/>
      <c r="AD475" s="71"/>
      <c r="AE475" s="227"/>
      <c r="AF475" s="71"/>
      <c r="AG475" s="201"/>
      <c r="AH475" s="71"/>
      <c r="AI475" s="227"/>
      <c r="AJ475" s="71"/>
      <c r="AK475" s="201"/>
      <c r="AL475" s="71"/>
      <c r="AM475" s="227"/>
      <c r="AN475" s="71"/>
      <c r="AO475" s="201"/>
      <c r="AP475" s="71"/>
      <c r="AQ475" s="227"/>
      <c r="AR475" s="71"/>
      <c r="AS475" s="227"/>
      <c r="AT475" s="228"/>
      <c r="AU475" s="227"/>
      <c r="AV475" s="228"/>
      <c r="AW475" s="227"/>
      <c r="AX475" s="229" t="n">
        <f aca="false">SUM(R475+T475+V475+X475+Z475+AB475+AD475+AF475+AH475+AJ475+AL475+AN475+AP475+AR475)</f>
        <v>0</v>
      </c>
      <c r="AY475" s="230" t="n">
        <f aca="false">SUM(AX475*1000)/48</f>
        <v>0</v>
      </c>
      <c r="AZ475" s="231" t="n">
        <f aca="false">IFERROR(VLOOKUP(A475,'Site check'!$A$14:$O$47,15,0),0)</f>
        <v>0</v>
      </c>
      <c r="BA475" s="232" t="n">
        <f aca="false">SUM(AZ475*1000)/48</f>
        <v>0</v>
      </c>
      <c r="BB475" s="90" t="n">
        <f aca="false">SUM(P475/2)+E475</f>
        <v>3</v>
      </c>
      <c r="BC475" s="90" t="n">
        <f aca="false">SUM(P475/2)+F475</f>
        <v>2.7</v>
      </c>
    </row>
    <row r="476" customFormat="false" ht="13.15" hidden="false" customHeight="false" outlineLevel="0" collapsed="false">
      <c r="A476" s="0" t="str">
        <f aca="false">[2]Sheet1!A476</f>
        <v>SHDTR1_EOS_E</v>
      </c>
      <c r="B476" s="0" t="str">
        <f aca="false">[2]Sheet1!B476</f>
        <v>SHDTR1;DC SYS01</v>
      </c>
      <c r="C476" s="44" t="str">
        <f aca="false">[2]Sheet1!C476</f>
        <v>SHDTR1</v>
      </c>
      <c r="D476" s="44" t="s">
        <v>758</v>
      </c>
      <c r="E476" s="0" t="str">
        <f aca="false">[2]Sheet1!D476</f>
        <v>N/A</v>
      </c>
      <c r="F476" s="0" t="str">
        <f aca="false">[2]Sheet1!E476</f>
        <v>N/A</v>
      </c>
      <c r="G476" s="45" t="n">
        <f aca="false">[2]Sheet1!F476</f>
        <v>44971</v>
      </c>
      <c r="H476" s="0" t="n">
        <f aca="false">[2]Sheet1!G476</f>
        <v>80</v>
      </c>
      <c r="I476" s="0" t="n">
        <f aca="false">[2]Sheet1!H476</f>
        <v>80</v>
      </c>
      <c r="J476" s="0" t="n">
        <f aca="false">[2]Sheet1!I476</f>
        <v>0</v>
      </c>
      <c r="K476" s="0" t="n">
        <f aca="false">[2]Sheet1!J476</f>
        <v>0</v>
      </c>
      <c r="L476" s="0" t="n">
        <f aca="false">[2]Sheet1!K476</f>
        <v>0</v>
      </c>
      <c r="M476" s="0" t="n">
        <f aca="false">[2]Sheet1!L476</f>
        <v>0</v>
      </c>
      <c r="N476" s="0" t="n">
        <f aca="false">[2]Sheet1!M476</f>
        <v>18</v>
      </c>
      <c r="O476" s="0" t="n">
        <f aca="false">[2]Sheet1!N476</f>
        <v>0</v>
      </c>
      <c r="P476" s="226" t="n">
        <f aca="false">SUM(AY476+BA476)</f>
        <v>0</v>
      </c>
      <c r="Q476" s="201"/>
      <c r="R476" s="71"/>
      <c r="S476" s="227"/>
      <c r="T476" s="71"/>
      <c r="U476" s="201"/>
      <c r="V476" s="71"/>
      <c r="W476" s="227"/>
      <c r="X476" s="71"/>
      <c r="Y476" s="201"/>
      <c r="Z476" s="71"/>
      <c r="AA476" s="227"/>
      <c r="AB476" s="71"/>
      <c r="AC476" s="201"/>
      <c r="AD476" s="71"/>
      <c r="AE476" s="227"/>
      <c r="AF476" s="71"/>
      <c r="AG476" s="201"/>
      <c r="AH476" s="71"/>
      <c r="AI476" s="227"/>
      <c r="AJ476" s="71"/>
      <c r="AK476" s="201"/>
      <c r="AL476" s="71"/>
      <c r="AM476" s="227"/>
      <c r="AN476" s="71"/>
      <c r="AO476" s="201"/>
      <c r="AP476" s="71"/>
      <c r="AQ476" s="227"/>
      <c r="AR476" s="71"/>
      <c r="AS476" s="227"/>
      <c r="AT476" s="228"/>
      <c r="AU476" s="227"/>
      <c r="AV476" s="228"/>
      <c r="AW476" s="227"/>
      <c r="AX476" s="229" t="n">
        <f aca="false">SUM(R476+T476+V476+X476+Z476+AB476+AD476+AF476+AH476+AJ476+AL476+AN476+AP476+AR476)</f>
        <v>0</v>
      </c>
      <c r="AY476" s="230" t="n">
        <f aca="false">SUM(AX476*1000)/48</f>
        <v>0</v>
      </c>
      <c r="AZ476" s="231" t="n">
        <f aca="false">IFERROR(VLOOKUP(A476,'Site check'!$A$14:$O$47,15,0),0)</f>
        <v>0</v>
      </c>
      <c r="BA476" s="232" t="n">
        <f aca="false">SUM(AZ476*1000)/48</f>
        <v>0</v>
      </c>
      <c r="BB476" s="90" t="e">
        <f aca="false">SUM(P476/2)+E476</f>
        <v>#VALUE!</v>
      </c>
      <c r="BC476" s="90" t="e">
        <f aca="false">SUM(P476/2)+F476</f>
        <v>#VALUE!</v>
      </c>
    </row>
    <row r="477" customFormat="false" ht="13.15" hidden="false" customHeight="false" outlineLevel="0" collapsed="false">
      <c r="A477" s="0" t="str">
        <f aca="false">[2]Sheet1!A477</f>
        <v>SHDTR1_EOS_F</v>
      </c>
      <c r="B477" s="0" t="str">
        <f aca="false">[2]Sheet1!B477</f>
        <v>SHDTR1;DC SYS01</v>
      </c>
      <c r="C477" s="44" t="str">
        <f aca="false">[2]Sheet1!C477</f>
        <v>SHDTR1</v>
      </c>
      <c r="D477" s="44" t="s">
        <v>758</v>
      </c>
      <c r="E477" s="0" t="n">
        <f aca="false">[2]Sheet1!D477</f>
        <v>2.5</v>
      </c>
      <c r="F477" s="0" t="n">
        <f aca="false">[2]Sheet1!E477</f>
        <v>2.5</v>
      </c>
      <c r="G477" s="45" t="n">
        <f aca="false">[2]Sheet1!F477</f>
        <v>44971</v>
      </c>
      <c r="H477" s="0" t="n">
        <f aca="false">[2]Sheet1!G477</f>
        <v>80</v>
      </c>
      <c r="I477" s="0" t="n">
        <f aca="false">[2]Sheet1!H477</f>
        <v>80</v>
      </c>
      <c r="J477" s="0" t="n">
        <f aca="false">[2]Sheet1!I477</f>
        <v>0</v>
      </c>
      <c r="K477" s="0" t="n">
        <f aca="false">[2]Sheet1!J477</f>
        <v>0</v>
      </c>
      <c r="L477" s="0" t="n">
        <f aca="false">[2]Sheet1!K477</f>
        <v>0</v>
      </c>
      <c r="M477" s="0" t="n">
        <f aca="false">[2]Sheet1!L477</f>
        <v>1</v>
      </c>
      <c r="N477" s="0" t="n">
        <f aca="false">[2]Sheet1!M477</f>
        <v>6</v>
      </c>
      <c r="O477" s="0" t="n">
        <f aca="false">[2]Sheet1!N477</f>
        <v>0</v>
      </c>
      <c r="P477" s="226" t="n">
        <f aca="false">SUM(AY477+BA477)</f>
        <v>0</v>
      </c>
      <c r="Q477" s="201"/>
      <c r="R477" s="71"/>
      <c r="S477" s="227"/>
      <c r="T477" s="71"/>
      <c r="U477" s="201"/>
      <c r="V477" s="71"/>
      <c r="W477" s="227"/>
      <c r="X477" s="71"/>
      <c r="Y477" s="201"/>
      <c r="Z477" s="71"/>
      <c r="AA477" s="227"/>
      <c r="AB477" s="71"/>
      <c r="AC477" s="201"/>
      <c r="AD477" s="71"/>
      <c r="AE477" s="227"/>
      <c r="AF477" s="71"/>
      <c r="AG477" s="201"/>
      <c r="AH477" s="71"/>
      <c r="AI477" s="227"/>
      <c r="AJ477" s="71"/>
      <c r="AK477" s="201"/>
      <c r="AL477" s="71"/>
      <c r="AM477" s="227"/>
      <c r="AN477" s="71"/>
      <c r="AO477" s="201"/>
      <c r="AP477" s="71"/>
      <c r="AQ477" s="227"/>
      <c r="AR477" s="71"/>
      <c r="AS477" s="227"/>
      <c r="AT477" s="228"/>
      <c r="AU477" s="227"/>
      <c r="AV477" s="228"/>
      <c r="AW477" s="227"/>
      <c r="AX477" s="229" t="n">
        <f aca="false">SUM(R477+T477+V477+X477+Z477+AB477+AD477+AF477+AH477+AJ477+AL477+AN477+AP477+AR477)</f>
        <v>0</v>
      </c>
      <c r="AY477" s="230" t="n">
        <f aca="false">SUM(AX477*1000)/48</f>
        <v>0</v>
      </c>
      <c r="AZ477" s="231" t="n">
        <f aca="false">IFERROR(VLOOKUP(A477,'Site check'!$A$14:$O$47,15,0),0)</f>
        <v>0</v>
      </c>
      <c r="BA477" s="232" t="n">
        <f aca="false">SUM(AZ477*1000)/48</f>
        <v>0</v>
      </c>
      <c r="BB477" s="90" t="n">
        <f aca="false">SUM(P477/2)+E477</f>
        <v>2.5</v>
      </c>
      <c r="BC477" s="90" t="n">
        <f aca="false">SUM(P477/2)+F477</f>
        <v>2.5</v>
      </c>
    </row>
    <row r="478" customFormat="false" ht="13.15" hidden="false" customHeight="false" outlineLevel="0" collapsed="false">
      <c r="A478" s="0" t="str">
        <f aca="false">[2]Sheet1!A478</f>
        <v>SHDTR1_EOS_G</v>
      </c>
      <c r="B478" s="0" t="str">
        <f aca="false">[2]Sheet1!B478</f>
        <v>SHDTR1;DC SYS01</v>
      </c>
      <c r="C478" s="44" t="str">
        <f aca="false">[2]Sheet1!C478</f>
        <v>SHDTR1</v>
      </c>
      <c r="D478" s="44" t="s">
        <v>758</v>
      </c>
      <c r="E478" s="0" t="n">
        <f aca="false">[2]Sheet1!D478</f>
        <v>2.8</v>
      </c>
      <c r="F478" s="0" t="n">
        <f aca="false">[2]Sheet1!E478</f>
        <v>1.9</v>
      </c>
      <c r="G478" s="45" t="n">
        <f aca="false">[2]Sheet1!F478</f>
        <v>44971</v>
      </c>
      <c r="H478" s="0" t="n">
        <f aca="false">[2]Sheet1!G478</f>
        <v>80</v>
      </c>
      <c r="I478" s="0" t="n">
        <f aca="false">[2]Sheet1!H478</f>
        <v>80</v>
      </c>
      <c r="J478" s="0" t="n">
        <f aca="false">[2]Sheet1!I478</f>
        <v>0</v>
      </c>
      <c r="K478" s="0" t="n">
        <f aca="false">[2]Sheet1!J478</f>
        <v>0</v>
      </c>
      <c r="L478" s="0" t="n">
        <f aca="false">[2]Sheet1!K478</f>
        <v>0</v>
      </c>
      <c r="M478" s="0" t="n">
        <f aca="false">[2]Sheet1!L478</f>
        <v>0</v>
      </c>
      <c r="N478" s="0" t="n">
        <f aca="false">[2]Sheet1!M478</f>
        <v>7</v>
      </c>
      <c r="O478" s="0" t="n">
        <f aca="false">[2]Sheet1!N478</f>
        <v>0</v>
      </c>
      <c r="P478" s="226" t="n">
        <f aca="false">SUM(AY478+BA478)</f>
        <v>0</v>
      </c>
      <c r="Q478" s="201"/>
      <c r="R478" s="71"/>
      <c r="S478" s="227"/>
      <c r="T478" s="71"/>
      <c r="U478" s="201"/>
      <c r="V478" s="71"/>
      <c r="W478" s="227"/>
      <c r="X478" s="71"/>
      <c r="Y478" s="201"/>
      <c r="Z478" s="71"/>
      <c r="AA478" s="227"/>
      <c r="AB478" s="71"/>
      <c r="AC478" s="201"/>
      <c r="AD478" s="71"/>
      <c r="AE478" s="227"/>
      <c r="AF478" s="71"/>
      <c r="AG478" s="201"/>
      <c r="AH478" s="71"/>
      <c r="AI478" s="227"/>
      <c r="AJ478" s="71"/>
      <c r="AK478" s="201"/>
      <c r="AL478" s="71"/>
      <c r="AM478" s="227"/>
      <c r="AN478" s="71"/>
      <c r="AO478" s="201"/>
      <c r="AP478" s="71"/>
      <c r="AQ478" s="227"/>
      <c r="AR478" s="71"/>
      <c r="AS478" s="227"/>
      <c r="AT478" s="228"/>
      <c r="AU478" s="227"/>
      <c r="AV478" s="228"/>
      <c r="AW478" s="227"/>
      <c r="AX478" s="229" t="n">
        <f aca="false">SUM(R478+T478+V478+X478+Z478+AB478+AD478+AF478+AH478+AJ478+AL478+AN478+AP478+AR478)</f>
        <v>0</v>
      </c>
      <c r="AY478" s="230" t="n">
        <f aca="false">SUM(AX478*1000)/48</f>
        <v>0</v>
      </c>
      <c r="AZ478" s="231" t="n">
        <f aca="false">IFERROR(VLOOKUP(A478,'Site check'!$A$14:$O$47,15,0),0)</f>
        <v>0</v>
      </c>
      <c r="BA478" s="232" t="n">
        <f aca="false">SUM(AZ478*1000)/48</f>
        <v>0</v>
      </c>
      <c r="BB478" s="90" t="n">
        <f aca="false">SUM(P478/2)+E478</f>
        <v>2.8</v>
      </c>
      <c r="BC478" s="90" t="n">
        <f aca="false">SUM(P478/2)+F478</f>
        <v>1.9</v>
      </c>
    </row>
    <row r="479" customFormat="false" ht="13.15" hidden="false" customHeight="false" outlineLevel="0" collapsed="false">
      <c r="A479" s="0" t="str">
        <f aca="false">[2]Sheet1!A479</f>
        <v>SHDTR1_EOS_H</v>
      </c>
      <c r="B479" s="0" t="str">
        <f aca="false">[2]Sheet1!B479</f>
        <v>SHDTR1;DC SYS01</v>
      </c>
      <c r="C479" s="44" t="str">
        <f aca="false">[2]Sheet1!C479</f>
        <v>SHDTR1</v>
      </c>
      <c r="D479" s="44" t="s">
        <v>758</v>
      </c>
      <c r="E479" s="0" t="n">
        <f aca="false">[2]Sheet1!D479</f>
        <v>13.2</v>
      </c>
      <c r="F479" s="0" t="n">
        <f aca="false">[2]Sheet1!E479</f>
        <v>10.8</v>
      </c>
      <c r="G479" s="45" t="n">
        <f aca="false">[2]Sheet1!F479</f>
        <v>44971</v>
      </c>
      <c r="H479" s="0" t="n">
        <f aca="false">[2]Sheet1!G479</f>
        <v>80</v>
      </c>
      <c r="I479" s="0" t="n">
        <f aca="false">[2]Sheet1!H479</f>
        <v>80</v>
      </c>
      <c r="J479" s="0" t="n">
        <f aca="false">[2]Sheet1!I479</f>
        <v>0</v>
      </c>
      <c r="K479" s="0" t="n">
        <f aca="false">[2]Sheet1!J479</f>
        <v>0</v>
      </c>
      <c r="L479" s="0" t="n">
        <f aca="false">[2]Sheet1!K479</f>
        <v>0</v>
      </c>
      <c r="M479" s="0" t="n">
        <f aca="false">[2]Sheet1!L479</f>
        <v>0</v>
      </c>
      <c r="N479" s="0" t="n">
        <f aca="false">[2]Sheet1!M479</f>
        <v>10</v>
      </c>
      <c r="O479" s="0" t="n">
        <f aca="false">[2]Sheet1!N479</f>
        <v>0</v>
      </c>
      <c r="P479" s="226" t="n">
        <f aca="false">SUM(AY479+BA479)</f>
        <v>0</v>
      </c>
      <c r="Q479" s="201"/>
      <c r="R479" s="71"/>
      <c r="S479" s="227"/>
      <c r="T479" s="71"/>
      <c r="U479" s="201"/>
      <c r="V479" s="71"/>
      <c r="W479" s="227"/>
      <c r="X479" s="71"/>
      <c r="Y479" s="201"/>
      <c r="Z479" s="71"/>
      <c r="AA479" s="227"/>
      <c r="AB479" s="71"/>
      <c r="AC479" s="201"/>
      <c r="AD479" s="71"/>
      <c r="AE479" s="227"/>
      <c r="AF479" s="71"/>
      <c r="AG479" s="201"/>
      <c r="AH479" s="71"/>
      <c r="AI479" s="227"/>
      <c r="AJ479" s="71"/>
      <c r="AK479" s="201"/>
      <c r="AL479" s="71"/>
      <c r="AM479" s="227"/>
      <c r="AN479" s="71"/>
      <c r="AO479" s="201"/>
      <c r="AP479" s="71"/>
      <c r="AQ479" s="227"/>
      <c r="AR479" s="71"/>
      <c r="AS479" s="227"/>
      <c r="AT479" s="228"/>
      <c r="AU479" s="227"/>
      <c r="AV479" s="228"/>
      <c r="AW479" s="227"/>
      <c r="AX479" s="229" t="n">
        <f aca="false">SUM(R479+T479+V479+X479+Z479+AB479+AD479+AF479+AH479+AJ479+AL479+AN479+AP479+AR479)</f>
        <v>0</v>
      </c>
      <c r="AY479" s="230" t="n">
        <f aca="false">SUM(AX479*1000)/48</f>
        <v>0</v>
      </c>
      <c r="AZ479" s="231" t="n">
        <f aca="false">IFERROR(VLOOKUP(A479,'Site check'!$A$14:$O$47,15,0),0)</f>
        <v>0</v>
      </c>
      <c r="BA479" s="232" t="n">
        <f aca="false">SUM(AZ479*1000)/48</f>
        <v>0</v>
      </c>
      <c r="BB479" s="90" t="n">
        <f aca="false">SUM(P479/2)+E479</f>
        <v>13.2</v>
      </c>
      <c r="BC479" s="90" t="n">
        <f aca="false">SUM(P479/2)+F479</f>
        <v>10.8</v>
      </c>
    </row>
    <row r="480" customFormat="false" ht="13.15" hidden="false" customHeight="false" outlineLevel="0" collapsed="false">
      <c r="A480" s="0" t="str">
        <f aca="false">[2]Sheet1!A480</f>
        <v>SHDTR1_EOS_J</v>
      </c>
      <c r="B480" s="0" t="str">
        <f aca="false">[2]Sheet1!B480</f>
        <v>SHDTR1;DC SYS01</v>
      </c>
      <c r="C480" s="44" t="str">
        <f aca="false">[2]Sheet1!C480</f>
        <v>SHDTR1</v>
      </c>
      <c r="D480" s="44" t="s">
        <v>758</v>
      </c>
      <c r="E480" s="0" t="n">
        <f aca="false">[2]Sheet1!D480</f>
        <v>9.6</v>
      </c>
      <c r="F480" s="0" t="n">
        <f aca="false">[2]Sheet1!E480</f>
        <v>9.1</v>
      </c>
      <c r="G480" s="45" t="n">
        <f aca="false">[2]Sheet1!F480</f>
        <v>44971</v>
      </c>
      <c r="H480" s="0" t="n">
        <f aca="false">[2]Sheet1!G480</f>
        <v>80</v>
      </c>
      <c r="I480" s="0" t="n">
        <f aca="false">[2]Sheet1!H480</f>
        <v>80</v>
      </c>
      <c r="J480" s="0" t="n">
        <f aca="false">[2]Sheet1!I480</f>
        <v>0</v>
      </c>
      <c r="K480" s="0" t="n">
        <f aca="false">[2]Sheet1!J480</f>
        <v>0</v>
      </c>
      <c r="L480" s="0" t="n">
        <f aca="false">[2]Sheet1!K480</f>
        <v>0</v>
      </c>
      <c r="M480" s="0" t="n">
        <f aca="false">[2]Sheet1!L480</f>
        <v>0</v>
      </c>
      <c r="N480" s="0" t="n">
        <f aca="false">[2]Sheet1!M480</f>
        <v>11</v>
      </c>
      <c r="O480" s="0" t="n">
        <f aca="false">[2]Sheet1!N480</f>
        <v>0</v>
      </c>
      <c r="P480" s="226" t="n">
        <f aca="false">SUM(AY480+BA480)</f>
        <v>0</v>
      </c>
      <c r="Q480" s="201"/>
      <c r="R480" s="71"/>
      <c r="S480" s="227"/>
      <c r="T480" s="71"/>
      <c r="U480" s="201"/>
      <c r="V480" s="71"/>
      <c r="W480" s="227"/>
      <c r="X480" s="71"/>
      <c r="Y480" s="201"/>
      <c r="Z480" s="71"/>
      <c r="AA480" s="227"/>
      <c r="AB480" s="71"/>
      <c r="AC480" s="201"/>
      <c r="AD480" s="71"/>
      <c r="AE480" s="227"/>
      <c r="AF480" s="71"/>
      <c r="AG480" s="201"/>
      <c r="AH480" s="71"/>
      <c r="AI480" s="227"/>
      <c r="AJ480" s="71"/>
      <c r="AK480" s="201"/>
      <c r="AL480" s="71"/>
      <c r="AM480" s="227"/>
      <c r="AN480" s="71"/>
      <c r="AO480" s="201"/>
      <c r="AP480" s="71"/>
      <c r="AQ480" s="227"/>
      <c r="AR480" s="71"/>
      <c r="AS480" s="227"/>
      <c r="AT480" s="228"/>
      <c r="AU480" s="227"/>
      <c r="AV480" s="228"/>
      <c r="AW480" s="227"/>
      <c r="AX480" s="229" t="n">
        <f aca="false">SUM(R480+T480+V480+X480+Z480+AB480+AD480+AF480+AH480+AJ480+AL480+AN480+AP480+AR480)</f>
        <v>0</v>
      </c>
      <c r="AY480" s="230" t="n">
        <f aca="false">SUM(AX480*1000)/48</f>
        <v>0</v>
      </c>
      <c r="AZ480" s="231" t="n">
        <f aca="false">IFERROR(VLOOKUP(A480,'Site check'!$A$14:$O$47,15,0),0)</f>
        <v>0</v>
      </c>
      <c r="BA480" s="232" t="n">
        <f aca="false">SUM(AZ480*1000)/48</f>
        <v>0</v>
      </c>
      <c r="BB480" s="90" t="n">
        <f aca="false">SUM(P480/2)+E480</f>
        <v>9.6</v>
      </c>
      <c r="BC480" s="90" t="n">
        <f aca="false">SUM(P480/2)+F480</f>
        <v>9.1</v>
      </c>
    </row>
    <row r="481" customFormat="false" ht="13.15" hidden="false" customHeight="false" outlineLevel="0" collapsed="false">
      <c r="A481" s="0" t="str">
        <f aca="false">[2]Sheet1!A481</f>
        <v>SHDTR1_EOS_K</v>
      </c>
      <c r="B481" s="0" t="str">
        <f aca="false">[2]Sheet1!B481</f>
        <v>SHDTR1;DC SYS01</v>
      </c>
      <c r="C481" s="44" t="str">
        <f aca="false">[2]Sheet1!C481</f>
        <v>SHDTR1</v>
      </c>
      <c r="D481" s="44" t="s">
        <v>758</v>
      </c>
      <c r="E481" s="0" t="n">
        <f aca="false">[2]Sheet1!D481</f>
        <v>30.4</v>
      </c>
      <c r="F481" s="0" t="n">
        <f aca="false">[2]Sheet1!E481</f>
        <v>31.4</v>
      </c>
      <c r="G481" s="45" t="n">
        <f aca="false">[2]Sheet1!F481</f>
        <v>44971</v>
      </c>
      <c r="H481" s="0" t="n">
        <f aca="false">[2]Sheet1!G481</f>
        <v>80</v>
      </c>
      <c r="I481" s="0" t="n">
        <f aca="false">[2]Sheet1!H481</f>
        <v>80</v>
      </c>
      <c r="J481" s="0" t="n">
        <f aca="false">[2]Sheet1!I481</f>
        <v>0</v>
      </c>
      <c r="K481" s="0" t="n">
        <f aca="false">[2]Sheet1!J481</f>
        <v>0</v>
      </c>
      <c r="L481" s="0" t="n">
        <f aca="false">[2]Sheet1!K481</f>
        <v>0</v>
      </c>
      <c r="M481" s="0" t="n">
        <f aca="false">[2]Sheet1!L481</f>
        <v>0</v>
      </c>
      <c r="N481" s="0" t="n">
        <f aca="false">[2]Sheet1!M481</f>
        <v>0</v>
      </c>
      <c r="O481" s="0" t="n">
        <f aca="false">[2]Sheet1!N481</f>
        <v>0</v>
      </c>
      <c r="P481" s="226" t="n">
        <f aca="false">SUM(AY481+BA481)</f>
        <v>0</v>
      </c>
      <c r="Q481" s="201"/>
      <c r="R481" s="71"/>
      <c r="S481" s="227"/>
      <c r="T481" s="71"/>
      <c r="U481" s="201"/>
      <c r="V481" s="71"/>
      <c r="W481" s="227"/>
      <c r="X481" s="71"/>
      <c r="Y481" s="201"/>
      <c r="Z481" s="71"/>
      <c r="AA481" s="227"/>
      <c r="AB481" s="71"/>
      <c r="AC481" s="201"/>
      <c r="AD481" s="71"/>
      <c r="AE481" s="227"/>
      <c r="AF481" s="71"/>
      <c r="AG481" s="201"/>
      <c r="AH481" s="71"/>
      <c r="AI481" s="227"/>
      <c r="AJ481" s="71"/>
      <c r="AK481" s="201"/>
      <c r="AL481" s="71"/>
      <c r="AM481" s="227"/>
      <c r="AN481" s="71"/>
      <c r="AO481" s="201"/>
      <c r="AP481" s="71"/>
      <c r="AQ481" s="227"/>
      <c r="AR481" s="71"/>
      <c r="AS481" s="227"/>
      <c r="AT481" s="228"/>
      <c r="AU481" s="227"/>
      <c r="AV481" s="228"/>
      <c r="AW481" s="227"/>
      <c r="AX481" s="229" t="n">
        <f aca="false">SUM(R481+T481+V481+X481+Z481+AB481+AD481+AF481+AH481+AJ481+AL481+AN481+AP481+AR481)</f>
        <v>0</v>
      </c>
      <c r="AY481" s="230" t="n">
        <f aca="false">SUM(AX481*1000)/48</f>
        <v>0</v>
      </c>
      <c r="AZ481" s="231" t="n">
        <f aca="false">IFERROR(VLOOKUP(A481,'Site check'!$A$14:$O$47,15,0),0)</f>
        <v>0</v>
      </c>
      <c r="BA481" s="232" t="n">
        <f aca="false">SUM(AZ481*1000)/48</f>
        <v>0</v>
      </c>
      <c r="BB481" s="90" t="n">
        <f aca="false">SUM(P481/2)+E481</f>
        <v>30.4</v>
      </c>
      <c r="BC481" s="90" t="n">
        <f aca="false">SUM(P481/2)+F481</f>
        <v>31.4</v>
      </c>
    </row>
    <row r="482" customFormat="false" ht="13.15" hidden="false" customHeight="false" outlineLevel="0" collapsed="false">
      <c r="A482" s="0" t="str">
        <f aca="false">[2]Sheet1!A482</f>
        <v>SHDTR1_EOS_L</v>
      </c>
      <c r="B482" s="0" t="str">
        <f aca="false">[2]Sheet1!B482</f>
        <v>SHDTR1;DC SYS01</v>
      </c>
      <c r="C482" s="44" t="str">
        <f aca="false">[2]Sheet1!C482</f>
        <v>SHDTR1</v>
      </c>
      <c r="D482" s="44" t="s">
        <v>758</v>
      </c>
      <c r="E482" s="0" t="n">
        <f aca="false">[2]Sheet1!D482</f>
        <v>25.7</v>
      </c>
      <c r="F482" s="0" t="n">
        <f aca="false">[2]Sheet1!E482</f>
        <v>25.7</v>
      </c>
      <c r="G482" s="45" t="n">
        <f aca="false">[2]Sheet1!F482</f>
        <v>44971</v>
      </c>
      <c r="H482" s="0" t="n">
        <f aca="false">[2]Sheet1!G482</f>
        <v>80</v>
      </c>
      <c r="I482" s="0" t="n">
        <f aca="false">[2]Sheet1!H482</f>
        <v>80</v>
      </c>
      <c r="J482" s="0" t="n">
        <f aca="false">[2]Sheet1!I482</f>
        <v>0</v>
      </c>
      <c r="K482" s="0" t="n">
        <f aca="false">[2]Sheet1!J482</f>
        <v>0</v>
      </c>
      <c r="L482" s="0" t="n">
        <f aca="false">[2]Sheet1!K482</f>
        <v>1</v>
      </c>
      <c r="M482" s="0" t="n">
        <f aca="false">[2]Sheet1!L482</f>
        <v>0</v>
      </c>
      <c r="N482" s="0" t="n">
        <f aca="false">[2]Sheet1!M482</f>
        <v>0</v>
      </c>
      <c r="O482" s="0" t="n">
        <f aca="false">[2]Sheet1!N482</f>
        <v>0</v>
      </c>
      <c r="P482" s="226" t="n">
        <f aca="false">SUM(AY482+BA482)</f>
        <v>0</v>
      </c>
      <c r="Q482" s="201"/>
      <c r="R482" s="71"/>
      <c r="S482" s="227"/>
      <c r="T482" s="71"/>
      <c r="U482" s="201"/>
      <c r="V482" s="71"/>
      <c r="W482" s="227"/>
      <c r="X482" s="71"/>
      <c r="Y482" s="201"/>
      <c r="Z482" s="71"/>
      <c r="AA482" s="227"/>
      <c r="AB482" s="71"/>
      <c r="AC482" s="201"/>
      <c r="AD482" s="71"/>
      <c r="AE482" s="227"/>
      <c r="AF482" s="71"/>
      <c r="AG482" s="201"/>
      <c r="AH482" s="71"/>
      <c r="AI482" s="227"/>
      <c r="AJ482" s="71"/>
      <c r="AK482" s="201"/>
      <c r="AL482" s="71"/>
      <c r="AM482" s="227"/>
      <c r="AN482" s="71"/>
      <c r="AO482" s="201"/>
      <c r="AP482" s="71"/>
      <c r="AQ482" s="227"/>
      <c r="AR482" s="71"/>
      <c r="AS482" s="227"/>
      <c r="AT482" s="228"/>
      <c r="AU482" s="227"/>
      <c r="AV482" s="228"/>
      <c r="AW482" s="227"/>
      <c r="AX482" s="229" t="n">
        <f aca="false">SUM(R482+T482+V482+X482+Z482+AB482+AD482+AF482+AH482+AJ482+AL482+AN482+AP482+AR482)</f>
        <v>0</v>
      </c>
      <c r="AY482" s="230" t="n">
        <f aca="false">SUM(AX482*1000)/48</f>
        <v>0</v>
      </c>
      <c r="AZ482" s="231" t="n">
        <f aca="false">IFERROR(VLOOKUP(A482,'Site check'!$A$14:$O$47,15,0),0)</f>
        <v>0</v>
      </c>
      <c r="BA482" s="232" t="n">
        <f aca="false">SUM(AZ482*1000)/48</f>
        <v>0</v>
      </c>
      <c r="BB482" s="90" t="n">
        <f aca="false">SUM(P482/2)+E482</f>
        <v>25.7</v>
      </c>
      <c r="BC482" s="90" t="n">
        <f aca="false">SUM(P482/2)+F482</f>
        <v>25.7</v>
      </c>
    </row>
    <row r="483" customFormat="false" ht="13.15" hidden="false" customHeight="false" outlineLevel="0" collapsed="false">
      <c r="A483" s="0" t="str">
        <f aca="false">[2]Sheet1!A483</f>
        <v>SHDTR1_EOS_M</v>
      </c>
      <c r="B483" s="0" t="str">
        <f aca="false">[2]Sheet1!B483</f>
        <v>SHDTR1;DC SYS01</v>
      </c>
      <c r="C483" s="44" t="str">
        <f aca="false">[2]Sheet1!C483</f>
        <v>SHDTR1</v>
      </c>
      <c r="D483" s="44" t="s">
        <v>758</v>
      </c>
      <c r="E483" s="0" t="n">
        <f aca="false">[2]Sheet1!D483</f>
        <v>0</v>
      </c>
      <c r="F483" s="0" t="n">
        <f aca="false">[2]Sheet1!E483</f>
        <v>0</v>
      </c>
      <c r="G483" s="45" t="n">
        <f aca="false">[2]Sheet1!F483</f>
        <v>44971</v>
      </c>
      <c r="H483" s="0" t="n">
        <f aca="false">[2]Sheet1!G483</f>
        <v>80</v>
      </c>
      <c r="I483" s="0" t="n">
        <f aca="false">[2]Sheet1!H483</f>
        <v>80</v>
      </c>
      <c r="J483" s="0" t="n">
        <f aca="false">[2]Sheet1!I483</f>
        <v>0</v>
      </c>
      <c r="K483" s="0" t="n">
        <f aca="false">[2]Sheet1!J483</f>
        <v>0</v>
      </c>
      <c r="L483" s="0" t="n">
        <f aca="false">[2]Sheet1!K483</f>
        <v>0</v>
      </c>
      <c r="M483" s="0" t="n">
        <f aca="false">[2]Sheet1!L483</f>
        <v>0</v>
      </c>
      <c r="N483" s="0" t="n">
        <f aca="false">[2]Sheet1!M483</f>
        <v>20</v>
      </c>
      <c r="O483" s="0" t="n">
        <f aca="false">[2]Sheet1!N483</f>
        <v>0</v>
      </c>
      <c r="P483" s="226" t="n">
        <f aca="false">SUM(AY483+BA483)</f>
        <v>0</v>
      </c>
      <c r="Q483" s="201"/>
      <c r="R483" s="71"/>
      <c r="S483" s="227"/>
      <c r="T483" s="71"/>
      <c r="U483" s="201"/>
      <c r="V483" s="71"/>
      <c r="W483" s="227"/>
      <c r="X483" s="71"/>
      <c r="Y483" s="201"/>
      <c r="Z483" s="71"/>
      <c r="AA483" s="227"/>
      <c r="AB483" s="71"/>
      <c r="AC483" s="201"/>
      <c r="AD483" s="71"/>
      <c r="AE483" s="227"/>
      <c r="AF483" s="71"/>
      <c r="AG483" s="201"/>
      <c r="AH483" s="71"/>
      <c r="AI483" s="227"/>
      <c r="AJ483" s="71"/>
      <c r="AK483" s="201"/>
      <c r="AL483" s="71"/>
      <c r="AM483" s="227"/>
      <c r="AN483" s="71"/>
      <c r="AO483" s="201"/>
      <c r="AP483" s="71"/>
      <c r="AQ483" s="227"/>
      <c r="AR483" s="71"/>
      <c r="AS483" s="227"/>
      <c r="AT483" s="228"/>
      <c r="AU483" s="227"/>
      <c r="AV483" s="228"/>
      <c r="AW483" s="227"/>
      <c r="AX483" s="229" t="n">
        <f aca="false">SUM(R483+T483+V483+X483+Z483+AB483+AD483+AF483+AH483+AJ483+AL483+AN483+AP483+AR483)</f>
        <v>0</v>
      </c>
      <c r="AY483" s="230" t="n">
        <f aca="false">SUM(AX483*1000)/48</f>
        <v>0</v>
      </c>
      <c r="AZ483" s="231" t="n">
        <f aca="false">IFERROR(VLOOKUP(A483,'Site check'!$A$14:$O$47,15,0),0)</f>
        <v>0</v>
      </c>
      <c r="BA483" s="232" t="n">
        <f aca="false">SUM(AZ483*1000)/48</f>
        <v>0</v>
      </c>
      <c r="BB483" s="90" t="n">
        <f aca="false">SUM(P483/2)+E483</f>
        <v>0</v>
      </c>
      <c r="BC483" s="90" t="n">
        <f aca="false">SUM(P483/2)+F483</f>
        <v>0</v>
      </c>
    </row>
    <row r="484" customFormat="false" ht="12.75" hidden="false" customHeight="true" outlineLevel="0" collapsed="false">
      <c r="D484" s="44"/>
      <c r="Q484" s="201"/>
      <c r="R484" s="71"/>
      <c r="S484" s="227"/>
      <c r="T484" s="71"/>
      <c r="U484" s="201"/>
      <c r="V484" s="71"/>
      <c r="W484" s="227"/>
      <c r="X484" s="71"/>
      <c r="Y484" s="201"/>
      <c r="Z484" s="71"/>
      <c r="AA484" s="227"/>
      <c r="AB484" s="71"/>
      <c r="AC484" s="201"/>
      <c r="AD484" s="71"/>
      <c r="AE484" s="227"/>
      <c r="AF484" s="71"/>
      <c r="AG484" s="201"/>
      <c r="AH484" s="71"/>
      <c r="AI484" s="227"/>
      <c r="AJ484" s="71"/>
      <c r="AK484" s="201"/>
      <c r="AL484" s="71"/>
      <c r="AM484" s="227"/>
      <c r="AN484" s="71"/>
      <c r="AO484" s="201"/>
      <c r="AP484" s="71"/>
      <c r="AQ484" s="227"/>
      <c r="AR484" s="71"/>
      <c r="AS484" s="227"/>
      <c r="AT484" s="228"/>
      <c r="AU484" s="227"/>
      <c r="AV484" s="228"/>
      <c r="AW484" s="227"/>
    </row>
  </sheetData>
  <sheetProtection algorithmName="SHA-512" hashValue="e7In34p8YEbKIp6GwCHOyTf3Usnf5yOqS2WJmPV1sqwEeI9HDnQg9BUQVj6DJYTyhDBmiGSssAf9wrZHgfi5Hw==" saltValue="E6zYijDWeOWQbhaE2btZ9w==" spinCount="100000" sheet="true" formatCells="false"/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3.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20.57"/>
  </cols>
  <sheetData>
    <row r="1" customFormat="false" ht="13.15" hidden="false" customHeight="false" outlineLevel="0" collapsed="false">
      <c r="A1" s="0" t="str">
        <f aca="false">All!E7</f>
        <v>Equipment Area Code</v>
      </c>
      <c r="B1" s="0" t="str">
        <f aca="false">All!Y7</f>
        <v>Available Suite Sections</v>
      </c>
      <c r="C1" s="0" t="s">
        <v>1563</v>
      </c>
      <c r="D1" s="44" t="s">
        <v>1564</v>
      </c>
    </row>
    <row r="2" customFormat="false" ht="13.15" hidden="false" customHeight="false" outlineLevel="0" collapsed="false">
      <c r="A2" s="0" t="str">
        <f aca="false">All!E8</f>
        <v>ABH</v>
      </c>
      <c r="B2" s="0" t="n">
        <f aca="false">All!Y8</f>
        <v>23</v>
      </c>
      <c r="C2" s="0" t="n">
        <f aca="false">IFERROR(VLOOKUP(A2,'Site check'!A:Q,3,0),0)</f>
        <v>0</v>
      </c>
      <c r="D2" s="0" t="n">
        <f aca="false">SUM(B2-C2)</f>
        <v>23</v>
      </c>
    </row>
    <row r="3" customFormat="false" ht="13.15" hidden="false" customHeight="false" outlineLevel="0" collapsed="false">
      <c r="A3" s="0" t="str">
        <f aca="false">All!E9</f>
        <v>ABN</v>
      </c>
      <c r="B3" s="0" t="n">
        <f aca="false">All!Y9</f>
        <v>3</v>
      </c>
      <c r="C3" s="0" t="n">
        <f aca="false">IFERROR(VLOOKUP(A3,'Site check'!A:Q,3,0),0)</f>
        <v>0</v>
      </c>
      <c r="D3" s="0" t="n">
        <f aca="false">SUM(B3-C3)</f>
        <v>3</v>
      </c>
    </row>
    <row r="4" customFormat="false" ht="13.15" hidden="false" customHeight="false" outlineLevel="0" collapsed="false">
      <c r="A4" s="0" t="str">
        <f aca="false">All!E10</f>
        <v>ABNTB1</v>
      </c>
      <c r="B4" s="0" t="n">
        <f aca="false">All!Y10</f>
        <v>13</v>
      </c>
      <c r="C4" s="0" t="n">
        <f aca="false">IFERROR(VLOOKUP(A4,'Site check'!A:Q,3,0),0)</f>
        <v>0</v>
      </c>
      <c r="D4" s="0" t="n">
        <f aca="false">SUM(B4-C4)</f>
        <v>13</v>
      </c>
    </row>
    <row r="5" customFormat="false" ht="13.15" hidden="false" customHeight="false" outlineLevel="0" collapsed="false">
      <c r="A5" s="0" t="str">
        <f aca="false">All!E11</f>
        <v>ABNTD1</v>
      </c>
      <c r="B5" s="0" t="n">
        <f aca="false">All!Y11</f>
        <v>0</v>
      </c>
      <c r="C5" s="0" t="n">
        <f aca="false">IFERROR(VLOOKUP(A5,'Site check'!A:Q,3,0),0)</f>
        <v>0</v>
      </c>
      <c r="D5" s="0" t="n">
        <f aca="false">SUM(B5-C5)</f>
        <v>0</v>
      </c>
    </row>
    <row r="6" customFormat="false" ht="13.15" hidden="false" customHeight="false" outlineLevel="0" collapsed="false">
      <c r="A6" s="0" t="str">
        <f aca="false">All!E12</f>
        <v>ACTN01</v>
      </c>
      <c r="B6" s="0" t="n">
        <f aca="false">All!Y12</f>
        <v>178</v>
      </c>
      <c r="C6" s="0" t="n">
        <f aca="false">IFERROR(VLOOKUP(A6,'Site check'!A:Q,3,0),0)</f>
        <v>0</v>
      </c>
      <c r="D6" s="0" t="n">
        <f aca="false">SUM(B6-C6)</f>
        <v>178</v>
      </c>
    </row>
    <row r="7" customFormat="false" ht="13.15" hidden="false" customHeight="false" outlineLevel="0" collapsed="false">
      <c r="A7" s="0" t="str">
        <f aca="false">All!E14</f>
        <v>ANSTW1</v>
      </c>
      <c r="B7" s="0" t="n">
        <f aca="false">All!Y14</f>
        <v>5</v>
      </c>
      <c r="C7" s="0" t="n">
        <f aca="false">IFERROR(VLOOKUP(A7,'Site check'!A:Q,3,0),0)</f>
        <v>0</v>
      </c>
      <c r="D7" s="0" t="n">
        <f aca="false">SUM(B7-C7)</f>
        <v>5</v>
      </c>
    </row>
    <row r="8" customFormat="false" ht="13.15" hidden="false" customHeight="false" outlineLevel="0" collapsed="false">
      <c r="A8" s="0" t="str">
        <f aca="false">All!E15</f>
        <v>ASH</v>
      </c>
      <c r="B8" s="0" t="n">
        <f aca="false">All!Y15</f>
        <v>13</v>
      </c>
      <c r="C8" s="0" t="n">
        <f aca="false">IFERROR(VLOOKUP(A8,'Site check'!A:Q,3,0),0)</f>
        <v>0</v>
      </c>
      <c r="D8" s="0" t="n">
        <f aca="false">SUM(B8-C8)</f>
        <v>13</v>
      </c>
    </row>
    <row r="9" customFormat="false" ht="13.15" hidden="false" customHeight="false" outlineLevel="0" collapsed="false">
      <c r="A9" s="0" t="str">
        <f aca="false">All!E16</f>
        <v>ASMN02</v>
      </c>
      <c r="B9" s="0" t="n">
        <f aca="false">All!Y16</f>
        <v>23</v>
      </c>
      <c r="C9" s="0" t="n">
        <f aca="false">IFERROR(VLOOKUP(A9,'Site check'!A:Q,3,0),0)</f>
        <v>0</v>
      </c>
      <c r="D9" s="0" t="n">
        <f aca="false">SUM(B9-C9)</f>
        <v>23</v>
      </c>
    </row>
    <row r="10" customFormat="false" ht="13.15" hidden="false" customHeight="false" outlineLevel="0" collapsed="false">
      <c r="A10" s="0" t="str">
        <f aca="false">All!E17</f>
        <v>AYRN01</v>
      </c>
      <c r="B10" s="0" t="n">
        <f aca="false">All!Y17</f>
        <v>12</v>
      </c>
      <c r="C10" s="0" t="n">
        <f aca="false">IFERROR(VLOOKUP(A10,'Site check'!A:Q,3,0),0)</f>
        <v>0</v>
      </c>
      <c r="D10" s="0" t="n">
        <f aca="false">SUM(B10-C10)</f>
        <v>12</v>
      </c>
    </row>
    <row r="11" customFormat="false" ht="13.15" hidden="false" customHeight="false" outlineLevel="0" collapsed="false">
      <c r="A11" s="0" t="str">
        <f aca="false">All!E18</f>
        <v>AZTCD1</v>
      </c>
      <c r="B11" s="0" t="n">
        <f aca="false">All!Y18</f>
        <v>29</v>
      </c>
      <c r="C11" s="0" t="n">
        <f aca="false">IFERROR(VLOOKUP(A11,'Site check'!A:Q,3,0),0)</f>
        <v>0</v>
      </c>
      <c r="D11" s="0" t="n">
        <f aca="false">SUM(B11-C11)</f>
        <v>29</v>
      </c>
    </row>
    <row r="12" customFormat="false" ht="13.15" hidden="false" customHeight="false" outlineLevel="0" collapsed="false">
      <c r="A12" s="0" t="str">
        <f aca="false">All!E19</f>
        <v>BCT</v>
      </c>
      <c r="B12" s="0" t="n">
        <f aca="false">All!Y19</f>
        <v>19</v>
      </c>
      <c r="C12" s="0" t="n">
        <f aca="false">IFERROR(VLOOKUP(A12,'Site check'!A:Q,3,0),0)</f>
        <v>0</v>
      </c>
      <c r="D12" s="0" t="n">
        <f aca="false">SUM(B12-C12)</f>
        <v>19</v>
      </c>
    </row>
    <row r="13" customFormat="false" ht="13.15" hidden="false" customHeight="false" outlineLevel="0" collapsed="false">
      <c r="A13" s="0" t="str">
        <f aca="false">All!E20</f>
        <v>BDEN02</v>
      </c>
      <c r="B13" s="0" t="n">
        <f aca="false">All!Y20</f>
        <v>12</v>
      </c>
      <c r="C13" s="0" t="n">
        <f aca="false">IFERROR(VLOOKUP(A13,'Site check'!A:Q,3,0),0)</f>
        <v>0</v>
      </c>
      <c r="D13" s="0" t="n">
        <f aca="false">SUM(B13-C13)</f>
        <v>12</v>
      </c>
    </row>
    <row r="14" customFormat="false" ht="13.15" hidden="false" customHeight="false" outlineLevel="0" collapsed="false">
      <c r="A14" s="0" t="str">
        <f aca="false">All!E21</f>
        <v>BDEN06</v>
      </c>
      <c r="B14" s="0" t="n">
        <f aca="false">All!Y21</f>
        <v>31</v>
      </c>
      <c r="C14" s="0" t="n">
        <f aca="false">IFERROR(VLOOKUP(A14,'Site check'!A:Q,3,0),0)</f>
        <v>0</v>
      </c>
      <c r="D14" s="0" t="n">
        <f aca="false">SUM(B14-C14)</f>
        <v>31</v>
      </c>
    </row>
    <row r="15" customFormat="false" ht="13.15" hidden="false" customHeight="false" outlineLevel="0" collapsed="false">
      <c r="A15" s="0" t="str">
        <f aca="false">All!E22</f>
        <v>BDFN02</v>
      </c>
      <c r="B15" s="0" t="n">
        <f aca="false">All!Y22</f>
        <v>38</v>
      </c>
      <c r="C15" s="0" t="n">
        <f aca="false">IFERROR(VLOOKUP(A15,'Site check'!A:Q,3,0),0)</f>
        <v>0</v>
      </c>
      <c r="D15" s="0" t="n">
        <f aca="false">SUM(B15-C15)</f>
        <v>38</v>
      </c>
    </row>
    <row r="16" customFormat="false" ht="13.15" hidden="false" customHeight="false" outlineLevel="0" collapsed="false">
      <c r="A16" s="0" t="str">
        <f aca="false">All!E24</f>
        <v>BFDTB1</v>
      </c>
      <c r="B16" s="0" t="n">
        <f aca="false">All!Y24</f>
        <v>96</v>
      </c>
      <c r="C16" s="0" t="n">
        <f aca="false">IFERROR(VLOOKUP(A16,'Site check'!A:Q,3,0),0)</f>
        <v>0</v>
      </c>
      <c r="D16" s="0" t="n">
        <f aca="false">SUM(B16-C16)</f>
        <v>96</v>
      </c>
    </row>
    <row r="17" customFormat="false" ht="13.15" hidden="false" customHeight="false" outlineLevel="0" collapsed="false">
      <c r="A17" s="0" t="str">
        <f aca="false">All!E25</f>
        <v>BFEC01</v>
      </c>
      <c r="B17" s="0" t="n">
        <f aca="false">All!Y25</f>
        <v>12</v>
      </c>
      <c r="C17" s="0" t="n">
        <f aca="false">IFERROR(VLOOKUP(A17,'Site check'!A:Q,3,0),0)</f>
        <v>0</v>
      </c>
      <c r="D17" s="0" t="n">
        <f aca="false">SUM(B17-C17)</f>
        <v>12</v>
      </c>
    </row>
    <row r="18" customFormat="false" ht="13.15" hidden="false" customHeight="false" outlineLevel="0" collapsed="false">
      <c r="A18" s="0" t="str">
        <f aca="false">All!E26</f>
        <v>BFTN03</v>
      </c>
      <c r="B18" s="0" t="n">
        <f aca="false">All!Y26</f>
        <v>19</v>
      </c>
      <c r="C18" s="0" t="n">
        <f aca="false">IFERROR(VLOOKUP(A18,'Site check'!A:Q,3,0),0)</f>
        <v>0</v>
      </c>
      <c r="D18" s="0" t="n">
        <f aca="false">SUM(B18-C18)</f>
        <v>19</v>
      </c>
    </row>
    <row r="19" customFormat="false" ht="13.15" hidden="false" customHeight="false" outlineLevel="0" collapsed="false">
      <c r="A19" s="0" t="str">
        <f aca="false">All!E27</f>
        <v>BHMN07</v>
      </c>
      <c r="B19" s="0" t="n">
        <f aca="false">All!Y27</f>
        <v>0</v>
      </c>
      <c r="C19" s="0" t="n">
        <f aca="false">IFERROR(VLOOKUP(A19,'Site check'!A:Q,3,0),0)</f>
        <v>0</v>
      </c>
      <c r="D19" s="0" t="n">
        <f aca="false">SUM(B19-C19)</f>
        <v>0</v>
      </c>
    </row>
    <row r="20" customFormat="false" ht="13.15" hidden="false" customHeight="false" outlineLevel="0" collapsed="false">
      <c r="A20" s="0" t="str">
        <f aca="false">All!E28</f>
        <v>BHMN05</v>
      </c>
      <c r="B20" s="0" t="n">
        <f aca="false">All!Y28</f>
        <v>5</v>
      </c>
      <c r="C20" s="0" t="n">
        <f aca="false">IFERROR(VLOOKUP(A20,'Site check'!A:Q,3,0),0)</f>
        <v>0</v>
      </c>
      <c r="D20" s="0" t="n">
        <f aca="false">SUM(B20-C20)</f>
        <v>5</v>
      </c>
    </row>
    <row r="21" customFormat="false" ht="13.15" hidden="false" customHeight="false" outlineLevel="0" collapsed="false">
      <c r="A21" s="0" t="str">
        <f aca="false">All!E29</f>
        <v>BHMN05</v>
      </c>
      <c r="B21" s="0" t="n">
        <f aca="false">All!Y29</f>
        <v>5</v>
      </c>
      <c r="C21" s="0" t="n">
        <f aca="false">IFERROR(VLOOKUP(A21,'Site check'!A:Q,3,0),0)</f>
        <v>0</v>
      </c>
      <c r="D21" s="0" t="n">
        <f aca="false">SUM(B21-C21)</f>
        <v>5</v>
      </c>
    </row>
    <row r="22" customFormat="false" ht="13.15" hidden="false" customHeight="false" outlineLevel="0" collapsed="false">
      <c r="A22" s="0" t="str">
        <f aca="false">All!E32</f>
        <v>BHMTF1</v>
      </c>
      <c r="B22" s="0" t="n">
        <f aca="false">All!Y32</f>
        <v>12</v>
      </c>
      <c r="C22" s="0" t="n">
        <f aca="false">IFERROR(VLOOKUP(A22,'Site check'!A:Q,3,0),0)</f>
        <v>0</v>
      </c>
      <c r="D22" s="0" t="n">
        <f aca="false">SUM(B22-C22)</f>
        <v>12</v>
      </c>
    </row>
    <row r="23" customFormat="false" ht="13.15" hidden="false" customHeight="false" outlineLevel="0" collapsed="false">
      <c r="A23" s="0" t="str">
        <f aca="false">All!E33</f>
        <v>BHMTF1</v>
      </c>
      <c r="B23" s="0" t="n">
        <f aca="false">All!Y33</f>
        <v>12</v>
      </c>
      <c r="C23" s="0" t="n">
        <f aca="false">IFERROR(VLOOKUP(A23,'Site check'!A:Q,3,0),0)</f>
        <v>0</v>
      </c>
      <c r="D23" s="0" t="n">
        <f aca="false">SUM(B23-C23)</f>
        <v>12</v>
      </c>
    </row>
    <row r="24" customFormat="false" ht="13.15" hidden="false" customHeight="false" outlineLevel="0" collapsed="false">
      <c r="A24" s="0" t="str">
        <f aca="false">All!E34</f>
        <v>BHWCN1</v>
      </c>
      <c r="B24" s="0" t="n">
        <f aca="false">All!Y34</f>
        <v>0</v>
      </c>
      <c r="C24" s="0" t="n">
        <f aca="false">IFERROR(VLOOKUP(A24,'Site check'!A:Q,3,0),0)</f>
        <v>0</v>
      </c>
      <c r="D24" s="0" t="n">
        <f aca="false">SUM(B24-C24)</f>
        <v>0</v>
      </c>
    </row>
    <row r="25" customFormat="false" ht="13.15" hidden="false" customHeight="false" outlineLevel="0" collapsed="false">
      <c r="A25" s="0" t="str">
        <f aca="false">All!E35</f>
        <v>BIFTS1</v>
      </c>
      <c r="B25" s="0" t="n">
        <f aca="false">All!Y35</f>
        <v>0</v>
      </c>
      <c r="C25" s="0" t="n">
        <f aca="false">IFERROR(VLOOKUP(A25,'Site check'!A:Q,3,0),0)</f>
        <v>0</v>
      </c>
      <c r="D25" s="0" t="n">
        <f aca="false">SUM(B25-C25)</f>
        <v>0</v>
      </c>
    </row>
    <row r="26" customFormat="false" ht="13.15" hidden="false" customHeight="false" outlineLevel="0" collapsed="false">
      <c r="A26" s="0" t="str">
        <f aca="false">All!E36</f>
        <v>BKBN41</v>
      </c>
      <c r="B26" s="0" t="n">
        <f aca="false">All!Y36</f>
        <v>20</v>
      </c>
      <c r="C26" s="0" t="n">
        <f aca="false">IFERROR(VLOOKUP(A26,'Site check'!A:Q,3,0),0)</f>
        <v>0</v>
      </c>
      <c r="D26" s="0" t="n">
        <f aca="false">SUM(B26-C26)</f>
        <v>20</v>
      </c>
    </row>
    <row r="27" customFormat="false" ht="13.15" hidden="false" customHeight="false" outlineLevel="0" collapsed="false">
      <c r="A27" s="0" t="e">
        <f aca="false">all!#ref!</f>
        <v>#NAME?</v>
      </c>
      <c r="B27" s="0" t="e">
        <f aca="false">all!#ref!</f>
        <v>#NAME?</v>
      </c>
      <c r="C27" s="0" t="n">
        <f aca="false">IFERROR(VLOOKUP(A27,'Site check'!A:Q,3,0),0)</f>
        <v>0</v>
      </c>
      <c r="D27" s="0" t="e">
        <f aca="false">SUM(B27-C27)</f>
        <v>#NAME?</v>
      </c>
    </row>
    <row r="28" customFormat="false" ht="13.15" hidden="false" customHeight="false" outlineLevel="0" collapsed="false">
      <c r="A28" s="0" t="str">
        <f aca="false">All!E37</f>
        <v>BKLN05</v>
      </c>
      <c r="B28" s="0" t="n">
        <f aca="false">All!Y37</f>
        <v>104</v>
      </c>
      <c r="C28" s="0" t="n">
        <f aca="false">IFERROR(VLOOKUP(A28,'Site check'!A:Q,3,0),0)</f>
        <v>0</v>
      </c>
      <c r="D28" s="0" t="n">
        <f aca="false">SUM(B28-C28)</f>
        <v>104</v>
      </c>
    </row>
    <row r="29" customFormat="false" ht="13.15" hidden="false" customHeight="false" outlineLevel="0" collapsed="false">
      <c r="A29" s="0" t="str">
        <f aca="false">All!E38</f>
        <v>BKLN05</v>
      </c>
      <c r="B29" s="0" t="n">
        <f aca="false">All!Y38</f>
        <v>104</v>
      </c>
      <c r="C29" s="0" t="n">
        <f aca="false">IFERROR(VLOOKUP(A29,'Site check'!A:Q,3,0),0)</f>
        <v>0</v>
      </c>
      <c r="D29" s="0" t="n">
        <f aca="false">SUM(B29-C29)</f>
        <v>104</v>
      </c>
    </row>
    <row r="30" customFormat="false" ht="13.15" hidden="false" customHeight="false" outlineLevel="0" collapsed="false">
      <c r="A30" s="0" t="str">
        <f aca="false">All!E40</f>
        <v>BKLN05</v>
      </c>
      <c r="B30" s="0" t="n">
        <f aca="false">All!Y40</f>
        <v>104</v>
      </c>
      <c r="C30" s="0" t="n">
        <f aca="false">IFERROR(VLOOKUP(A30,'Site check'!A:Q,3,0),0)</f>
        <v>0</v>
      </c>
      <c r="D30" s="0" t="n">
        <f aca="false">SUM(B30-C30)</f>
        <v>104</v>
      </c>
    </row>
    <row r="31" customFormat="false" ht="13.15" hidden="false" customHeight="false" outlineLevel="0" collapsed="false">
      <c r="A31" s="0" t="str">
        <f aca="false">All!E41</f>
        <v>BMGV03</v>
      </c>
      <c r="B31" s="0" t="n">
        <f aca="false">All!Y41</f>
        <v>30</v>
      </c>
      <c r="C31" s="0" t="n">
        <f aca="false">IFERROR(VLOOKUP(A31,'Site check'!A:Q,3,0),0)</f>
        <v>0</v>
      </c>
      <c r="D31" s="0" t="n">
        <f aca="false">SUM(B31-C31)</f>
        <v>30</v>
      </c>
    </row>
    <row r="32" customFormat="false" ht="13.15" hidden="false" customHeight="false" outlineLevel="0" collapsed="false">
      <c r="A32" s="0" t="str">
        <f aca="false">All!E42</f>
        <v>BMGV03</v>
      </c>
      <c r="B32" s="0" t="n">
        <f aca="false">All!Y42</f>
        <v>30</v>
      </c>
      <c r="C32" s="0" t="n">
        <f aca="false">IFERROR(VLOOKUP(A32,'Site check'!A:Q,3,0),0)</f>
        <v>0</v>
      </c>
      <c r="D32" s="0" t="n">
        <f aca="false">SUM(B32-C32)</f>
        <v>30</v>
      </c>
    </row>
    <row r="33" customFormat="false" ht="13.15" hidden="false" customHeight="false" outlineLevel="0" collapsed="false">
      <c r="A33" s="0" t="str">
        <f aca="false">All!E43</f>
        <v>BMTDN1</v>
      </c>
      <c r="B33" s="0" t="n">
        <f aca="false">All!Y43</f>
        <v>2</v>
      </c>
      <c r="C33" s="0" t="n">
        <f aca="false">IFERROR(VLOOKUP(A33,'Site check'!A:Q,3,0),0)</f>
        <v>0</v>
      </c>
      <c r="D33" s="0" t="n">
        <f aca="false">SUM(B33-C33)</f>
        <v>2</v>
      </c>
    </row>
    <row r="34" customFormat="false" ht="13.15" hidden="false" customHeight="false" outlineLevel="0" collapsed="false">
      <c r="A34" s="0" t="str">
        <f aca="false">All!E44</f>
        <v>BPL</v>
      </c>
      <c r="B34" s="0" t="n">
        <f aca="false">All!Y44</f>
        <v>6</v>
      </c>
      <c r="C34" s="0" t="n">
        <f aca="false">IFERROR(VLOOKUP(A34,'Site check'!A:Q,3,0),0)</f>
        <v>0</v>
      </c>
      <c r="D34" s="0" t="n">
        <f aca="false">SUM(B34-C34)</f>
        <v>6</v>
      </c>
    </row>
    <row r="35" customFormat="false" ht="13.15" hidden="false" customHeight="false" outlineLevel="0" collapsed="false">
      <c r="A35" s="0" t="str">
        <f aca="false">All!E45</f>
        <v>BRETS1</v>
      </c>
      <c r="B35" s="0" t="n">
        <f aca="false">All!Y45</f>
        <v>9</v>
      </c>
      <c r="C35" s="0" t="n">
        <f aca="false">IFERROR(VLOOKUP(A35,'Site check'!A:Q,3,0),0)</f>
        <v>0</v>
      </c>
      <c r="D35" s="0" t="n">
        <f aca="false">SUM(B35-C35)</f>
        <v>9</v>
      </c>
    </row>
    <row r="36" customFormat="false" ht="13.15" hidden="false" customHeight="false" outlineLevel="0" collapsed="false">
      <c r="A36" s="0" t="e">
        <f aca="false">all!#ref!</f>
        <v>#NAME?</v>
      </c>
      <c r="B36" s="0" t="e">
        <f aca="false">all!#ref!</f>
        <v>#NAME?</v>
      </c>
      <c r="C36" s="0" t="n">
        <f aca="false">IFERROR(VLOOKUP(A36,'Site check'!A:Q,3,0),0)</f>
        <v>0</v>
      </c>
      <c r="D36" s="0" t="e">
        <f aca="false">SUM(B36-C36)</f>
        <v>#NAME?</v>
      </c>
    </row>
    <row r="37" customFormat="false" ht="13.15" hidden="false" customHeight="false" outlineLevel="0" collapsed="false">
      <c r="A37" s="0" t="str">
        <f aca="false">All!E46</f>
        <v>BRRTS1</v>
      </c>
      <c r="B37" s="0" t="n">
        <f aca="false">All!Y46</f>
        <v>1</v>
      </c>
      <c r="C37" s="0" t="n">
        <f aca="false">IFERROR(VLOOKUP(A37,'Site check'!A:Q,3,0),0)</f>
        <v>0</v>
      </c>
      <c r="D37" s="0" t="n">
        <f aca="false">SUM(B37-C37)</f>
        <v>1</v>
      </c>
    </row>
    <row r="38" customFormat="false" ht="13.15" hidden="false" customHeight="false" outlineLevel="0" collapsed="false">
      <c r="A38" s="0" t="str">
        <f aca="false">All!E47</f>
        <v>BSG</v>
      </c>
      <c r="B38" s="0" t="n">
        <f aca="false">All!Y47</f>
        <v>57</v>
      </c>
      <c r="C38" s="0" t="n">
        <f aca="false">IFERROR(VLOOKUP(A38,'Site check'!A:Q,3,0),0)</f>
        <v>0</v>
      </c>
      <c r="D38" s="0" t="n">
        <f aca="false">SUM(B38-C38)</f>
        <v>57</v>
      </c>
    </row>
    <row r="39" customFormat="false" ht="13.15" hidden="false" customHeight="false" outlineLevel="0" collapsed="false">
      <c r="A39" s="0" t="e">
        <f aca="false">all!#ref!</f>
        <v>#NAME?</v>
      </c>
      <c r="B39" s="0" t="e">
        <f aca="false">all!#ref!</f>
        <v>#NAME?</v>
      </c>
      <c r="C39" s="0" t="n">
        <f aca="false">IFERROR(VLOOKUP(A39,'Site check'!A:Q,3,0),0)</f>
        <v>0</v>
      </c>
      <c r="D39" s="0" t="e">
        <f aca="false">SUM(B39-C39)</f>
        <v>#NAME?</v>
      </c>
    </row>
    <row r="40" customFormat="false" ht="13.15" hidden="false" customHeight="false" outlineLevel="0" collapsed="false">
      <c r="A40" s="0" t="str">
        <f aca="false">All!E48</f>
        <v>BSHN07</v>
      </c>
      <c r="B40" s="0" t="n">
        <f aca="false">All!Y48</f>
        <v>31</v>
      </c>
      <c r="C40" s="0" t="n">
        <f aca="false">IFERROR(VLOOKUP(A40,'Site check'!A:Q,3,0),0)</f>
        <v>0</v>
      </c>
      <c r="D40" s="0" t="n">
        <f aca="false">SUM(B40-C40)</f>
        <v>31</v>
      </c>
    </row>
    <row r="41" customFormat="false" ht="13.15" hidden="false" customHeight="false" outlineLevel="0" collapsed="false">
      <c r="A41" s="0" t="str">
        <f aca="false">All!E49</f>
        <v>BSHN07</v>
      </c>
      <c r="B41" s="0" t="n">
        <f aca="false">All!Y49</f>
        <v>31</v>
      </c>
      <c r="C41" s="0" t="n">
        <f aca="false">IFERROR(VLOOKUP(A41,'Site check'!A:Q,3,0),0)</f>
        <v>0</v>
      </c>
      <c r="D41" s="0" t="n">
        <f aca="false">SUM(B41-C41)</f>
        <v>31</v>
      </c>
    </row>
    <row r="42" customFormat="false" ht="13.15" hidden="false" customHeight="false" outlineLevel="0" collapsed="false">
      <c r="A42" s="0" t="str">
        <f aca="false">All!E50</f>
        <v>BSHN03</v>
      </c>
      <c r="B42" s="0" t="n">
        <f aca="false">All!Y50</f>
        <v>130</v>
      </c>
      <c r="C42" s="0" t="n">
        <f aca="false">IFERROR(VLOOKUP(A42,'Site check'!A:Q,3,0),0)</f>
        <v>0</v>
      </c>
      <c r="D42" s="0" t="n">
        <f aca="false">SUM(B42-C42)</f>
        <v>130</v>
      </c>
    </row>
    <row r="43" customFormat="false" ht="13.15" hidden="false" customHeight="false" outlineLevel="0" collapsed="false">
      <c r="A43" s="0" t="str">
        <f aca="false">All!E52</f>
        <v>BTFTB1</v>
      </c>
      <c r="B43" s="0" t="n">
        <f aca="false">All!Y52</f>
        <v>18</v>
      </c>
      <c r="C43" s="0" t="n">
        <f aca="false">IFERROR(VLOOKUP(A43,'Site check'!A:Q,3,0),0)</f>
        <v>0</v>
      </c>
      <c r="D43" s="0" t="n">
        <f aca="false">SUM(B43-C43)</f>
        <v>18</v>
      </c>
    </row>
    <row r="44" customFormat="false" ht="13.15" hidden="false" customHeight="false" outlineLevel="0" collapsed="false">
      <c r="A44" s="0" t="str">
        <f aca="false">All!E53</f>
        <v>BTFTB1</v>
      </c>
      <c r="B44" s="0" t="n">
        <f aca="false">All!Y53</f>
        <v>18</v>
      </c>
      <c r="C44" s="0" t="n">
        <f aca="false">IFERROR(VLOOKUP(A44,'Site check'!A:Q,3,0),0)</f>
        <v>0</v>
      </c>
      <c r="D44" s="0" t="n">
        <f aca="false">SUM(B44-C44)</f>
        <v>18</v>
      </c>
    </row>
    <row r="45" customFormat="false" ht="13.15" hidden="false" customHeight="false" outlineLevel="0" collapsed="false">
      <c r="A45" s="0" t="str">
        <f aca="false">All!E54</f>
        <v>BTLCD1</v>
      </c>
      <c r="B45" s="0" t="n">
        <f aca="false">All!Y54</f>
        <v>45</v>
      </c>
      <c r="C45" s="0" t="n">
        <f aca="false">IFERROR(VLOOKUP(A45,'Site check'!A:Q,3,0),0)</f>
        <v>0</v>
      </c>
      <c r="D45" s="0" t="n">
        <f aca="false">SUM(B45-C45)</f>
        <v>45</v>
      </c>
    </row>
    <row r="46" customFormat="false" ht="13.15" hidden="false" customHeight="false" outlineLevel="0" collapsed="false">
      <c r="A46" s="0" t="str">
        <f aca="false">All!E55</f>
        <v>BTLN08</v>
      </c>
      <c r="B46" s="0" t="n">
        <f aca="false">All!Y55</f>
        <v>14</v>
      </c>
      <c r="C46" s="0" t="n">
        <f aca="false">IFERROR(VLOOKUP(A46,'Site check'!A:Q,3,0),0)</f>
        <v>0</v>
      </c>
      <c r="D46" s="0" t="n">
        <f aca="false">SUM(B46-C46)</f>
        <v>14</v>
      </c>
    </row>
    <row r="47" customFormat="false" ht="13.15" hidden="false" customHeight="false" outlineLevel="0" collapsed="false">
      <c r="A47" s="0" t="str">
        <f aca="false">All!E56</f>
        <v>BTLN09</v>
      </c>
      <c r="B47" s="0" t="n">
        <f aca="false">All!Y56</f>
        <v>20</v>
      </c>
      <c r="C47" s="0" t="n">
        <f aca="false">IFERROR(VLOOKUP(A47,'Site check'!A:Q,3,0),0)</f>
        <v>0</v>
      </c>
      <c r="D47" s="0" t="n">
        <f aca="false">SUM(B47-C47)</f>
        <v>20</v>
      </c>
    </row>
    <row r="48" customFormat="false" ht="13.15" hidden="false" customHeight="false" outlineLevel="0" collapsed="false">
      <c r="A48" s="0" t="str">
        <f aca="false">All!E57</f>
        <v>BTN</v>
      </c>
      <c r="B48" s="0" t="n">
        <f aca="false">All!Y57</f>
        <v>59</v>
      </c>
      <c r="C48" s="0" t="n">
        <f aca="false">IFERROR(VLOOKUP(A48,'Site check'!A:Q,3,0),0)</f>
        <v>0</v>
      </c>
      <c r="D48" s="0" t="n">
        <f aca="false">SUM(B48-C48)</f>
        <v>59</v>
      </c>
    </row>
    <row r="49" customFormat="false" ht="13.15" hidden="false" customHeight="false" outlineLevel="0" collapsed="false">
      <c r="A49" s="0" t="str">
        <f aca="false">All!E58</f>
        <v>BTNW01</v>
      </c>
      <c r="B49" s="0" t="n">
        <f aca="false">All!Y58</f>
        <v>1</v>
      </c>
      <c r="C49" s="0" t="n">
        <f aca="false">IFERROR(VLOOKUP(A49,'Site check'!A:Q,3,0),0)</f>
        <v>0</v>
      </c>
      <c r="D49" s="0" t="n">
        <f aca="false">SUM(B49-C49)</f>
        <v>1</v>
      </c>
    </row>
    <row r="50" customFormat="false" ht="13.15" hidden="false" customHeight="false" outlineLevel="0" collapsed="false">
      <c r="A50" s="0" t="str">
        <f aca="false">All!E59</f>
        <v>BTRTP1</v>
      </c>
      <c r="B50" s="0" t="n">
        <f aca="false">All!Y59</f>
        <v>3</v>
      </c>
      <c r="C50" s="0" t="n">
        <f aca="false">IFERROR(VLOOKUP(A50,'Site check'!A:Q,3,0),0)</f>
        <v>0</v>
      </c>
      <c r="D50" s="0" t="n">
        <f aca="false">SUM(B50-C50)</f>
        <v>3</v>
      </c>
    </row>
    <row r="51" customFormat="false" ht="13.15" hidden="false" customHeight="false" outlineLevel="0" collapsed="false">
      <c r="A51" s="0" t="str">
        <f aca="false">All!E60</f>
        <v>BYR</v>
      </c>
      <c r="B51" s="0" t="n">
        <f aca="false">All!Y60</f>
        <v>4</v>
      </c>
      <c r="C51" s="0" t="n">
        <f aca="false">IFERROR(VLOOKUP(A51,'Site check'!A:Q,3,0),0)</f>
        <v>0</v>
      </c>
      <c r="D51" s="0" t="n">
        <f aca="false">SUM(B51-C51)</f>
        <v>4</v>
      </c>
    </row>
    <row r="52" customFormat="false" ht="13.15" hidden="false" customHeight="false" outlineLevel="0" collapsed="false">
      <c r="A52" s="0" t="str">
        <f aca="false">All!E61</f>
        <v>CAMN02</v>
      </c>
      <c r="B52" s="0" t="n">
        <f aca="false">All!Y61</f>
        <v>1</v>
      </c>
      <c r="C52" s="0" t="n">
        <f aca="false">IFERROR(VLOOKUP(A52,'Site check'!A:Q,3,0),0)</f>
        <v>0</v>
      </c>
      <c r="D52" s="0" t="n">
        <f aca="false">SUM(B52-C52)</f>
        <v>1</v>
      </c>
    </row>
    <row r="53" customFormat="false" ht="13.15" hidden="false" customHeight="false" outlineLevel="0" collapsed="false">
      <c r="A53" s="0" t="str">
        <f aca="false">All!E62</f>
        <v>CAMN41</v>
      </c>
      <c r="B53" s="0" t="n">
        <f aca="false">All!Y62</f>
        <v>12</v>
      </c>
      <c r="C53" s="0" t="n">
        <f aca="false">IFERROR(VLOOKUP(A53,'Site check'!A:Q,3,0),0)</f>
        <v>0</v>
      </c>
      <c r="D53" s="0" t="n">
        <f aca="false">SUM(B53-C53)</f>
        <v>12</v>
      </c>
    </row>
    <row r="54" customFormat="false" ht="13.15" hidden="false" customHeight="false" outlineLevel="0" collapsed="false">
      <c r="A54" s="0" t="str">
        <f aca="false">All!E63</f>
        <v>CBY</v>
      </c>
      <c r="B54" s="0" t="n">
        <f aca="false">All!Y63</f>
        <v>13</v>
      </c>
      <c r="C54" s="0" t="n">
        <f aca="false">IFERROR(VLOOKUP(A54,'Site check'!A:Q,3,0),0)</f>
        <v>0</v>
      </c>
      <c r="D54" s="0" t="n">
        <f aca="false">SUM(B54-C54)</f>
        <v>13</v>
      </c>
    </row>
    <row r="55" customFormat="false" ht="13.15" hidden="false" customHeight="false" outlineLevel="0" collapsed="false">
      <c r="A55" s="0" t="str">
        <f aca="false">All!E64</f>
        <v>CDFN02</v>
      </c>
      <c r="B55" s="0" t="n">
        <f aca="false">All!Y64</f>
        <v>15</v>
      </c>
      <c r="C55" s="0" t="n">
        <f aca="false">IFERROR(VLOOKUP(A55,'Site check'!A:Q,3,0),0)</f>
        <v>0</v>
      </c>
      <c r="D55" s="0" t="n">
        <f aca="false">SUM(B55-C55)</f>
        <v>15</v>
      </c>
    </row>
    <row r="56" customFormat="false" ht="13.15" hidden="false" customHeight="false" outlineLevel="0" collapsed="false">
      <c r="A56" s="0" t="str">
        <f aca="false">All!E65</f>
        <v>CELL01</v>
      </c>
      <c r="B56" s="0" t="n">
        <f aca="false">All!Y65</f>
        <v>8</v>
      </c>
      <c r="C56" s="0" t="n">
        <f aca="false">IFERROR(VLOOKUP(A56,'Site check'!A:Q,3,0),0)</f>
        <v>0</v>
      </c>
      <c r="D56" s="0" t="n">
        <f aca="false">SUM(B56-C56)</f>
        <v>8</v>
      </c>
    </row>
    <row r="57" customFormat="false" ht="13.15" hidden="false" customHeight="false" outlineLevel="0" collapsed="false">
      <c r="A57" s="0" t="str">
        <f aca="false">All!E66</f>
        <v>CFDTN1</v>
      </c>
      <c r="B57" s="0" t="n">
        <f aca="false">All!Y66</f>
        <v>6</v>
      </c>
      <c r="C57" s="0" t="n">
        <f aca="false">IFERROR(VLOOKUP(A57,'Site check'!A:Q,3,0),0)</f>
        <v>0</v>
      </c>
      <c r="D57" s="0" t="n">
        <f aca="false">SUM(B57-C57)</f>
        <v>6</v>
      </c>
    </row>
    <row r="58" customFormat="false" ht="13.15" hidden="false" customHeight="false" outlineLevel="0" collapsed="false">
      <c r="A58" s="0" t="str">
        <f aca="false">All!E67</f>
        <v>CHDCD1</v>
      </c>
      <c r="B58" s="0" t="n">
        <f aca="false">All!Y67</f>
        <v>0</v>
      </c>
      <c r="C58" s="0" t="n">
        <f aca="false">IFERROR(VLOOKUP(A58,'Site check'!A:Q,3,0),0)</f>
        <v>0</v>
      </c>
      <c r="D58" s="0" t="n">
        <f aca="false">SUM(B58-C58)</f>
        <v>0</v>
      </c>
    </row>
    <row r="59" customFormat="false" ht="13.15" hidden="false" customHeight="false" outlineLevel="0" collapsed="false">
      <c r="A59" s="0" t="str">
        <f aca="false">All!E68</f>
        <v>CHMN21</v>
      </c>
      <c r="B59" s="0" t="n">
        <f aca="false">All!Y68</f>
        <v>25</v>
      </c>
      <c r="C59" s="0" t="n">
        <f aca="false">IFERROR(VLOOKUP(A59,'Site check'!A:Q,3,0),0)</f>
        <v>0</v>
      </c>
      <c r="D59" s="0" t="n">
        <f aca="false">SUM(B59-C59)</f>
        <v>25</v>
      </c>
    </row>
    <row r="60" customFormat="false" ht="13.15" hidden="false" customHeight="false" outlineLevel="0" collapsed="false">
      <c r="A60" s="0" t="str">
        <f aca="false">All!E69</f>
        <v>CHTN07</v>
      </c>
      <c r="B60" s="0" t="n">
        <f aca="false">All!Y69</f>
        <v>18</v>
      </c>
      <c r="C60" s="0" t="n">
        <f aca="false">IFERROR(VLOOKUP(A60,'Site check'!A:Q,3,0),0)</f>
        <v>0</v>
      </c>
      <c r="D60" s="0" t="n">
        <f aca="false">SUM(B60-C60)</f>
        <v>18</v>
      </c>
    </row>
    <row r="61" customFormat="false" ht="13.15" hidden="false" customHeight="false" outlineLevel="0" collapsed="false">
      <c r="A61" s="0" t="str">
        <f aca="false">All!E70</f>
        <v>CHTN07</v>
      </c>
      <c r="B61" s="0" t="n">
        <f aca="false">All!Y70</f>
        <v>18</v>
      </c>
      <c r="C61" s="0" t="n">
        <f aca="false">IFERROR(VLOOKUP(A61,'Site check'!A:Q,3,0),0)</f>
        <v>0</v>
      </c>
      <c r="D61" s="0" t="n">
        <f aca="false">SUM(B61-C61)</f>
        <v>18</v>
      </c>
    </row>
    <row r="62" customFormat="false" ht="13.15" hidden="false" customHeight="false" outlineLevel="0" collapsed="false">
      <c r="A62" s="0" t="str">
        <f aca="false">All!E71</f>
        <v>CHTTN3</v>
      </c>
      <c r="B62" s="0" t="n">
        <f aca="false">All!Y71</f>
        <v>65</v>
      </c>
      <c r="C62" s="0" t="n">
        <f aca="false">IFERROR(VLOOKUP(A62,'Site check'!A:Q,3,0),0)</f>
        <v>0</v>
      </c>
      <c r="D62" s="0" t="n">
        <f aca="false">SUM(B62-C62)</f>
        <v>65</v>
      </c>
    </row>
    <row r="63" customFormat="false" ht="13.15" hidden="false" customHeight="false" outlineLevel="0" collapsed="false">
      <c r="A63" s="0" t="str">
        <f aca="false">All!E73</f>
        <v>CKNN03</v>
      </c>
      <c r="B63" s="0" t="n">
        <f aca="false">All!Y73</f>
        <v>24</v>
      </c>
      <c r="C63" s="0" t="n">
        <f aca="false">IFERROR(VLOOKUP(A63,'Site check'!A:Q,3,0),0)</f>
        <v>0</v>
      </c>
      <c r="D63" s="0" t="n">
        <f aca="false">SUM(B63-C63)</f>
        <v>24</v>
      </c>
    </row>
    <row r="64" customFormat="false" ht="13.15" hidden="false" customHeight="false" outlineLevel="0" collapsed="false">
      <c r="A64" s="0" t="str">
        <f aca="false">All!E74</f>
        <v>CKNN03</v>
      </c>
      <c r="B64" s="0" t="n">
        <f aca="false">All!Y74</f>
        <v>24</v>
      </c>
      <c r="C64" s="0" t="n">
        <f aca="false">IFERROR(VLOOKUP(A64,'Site check'!A:Q,3,0),0)</f>
        <v>0</v>
      </c>
      <c r="D64" s="0" t="n">
        <f aca="false">SUM(B64-C64)</f>
        <v>24</v>
      </c>
    </row>
    <row r="65" customFormat="false" ht="13.15" hidden="false" customHeight="false" outlineLevel="0" collapsed="false">
      <c r="A65" s="0" t="str">
        <f aca="false">All!E75</f>
        <v>COV</v>
      </c>
      <c r="B65" s="0" t="n">
        <f aca="false">All!Y75</f>
        <v>17</v>
      </c>
      <c r="C65" s="0" t="n">
        <f aca="false">IFERROR(VLOOKUP(A65,'Site check'!A:Q,3,0),0)</f>
        <v>0</v>
      </c>
      <c r="D65" s="0" t="n">
        <f aca="false">SUM(B65-C65)</f>
        <v>17</v>
      </c>
    </row>
    <row r="66" customFormat="false" ht="13.15" hidden="false" customHeight="false" outlineLevel="0" collapsed="false">
      <c r="A66" s="0" t="str">
        <f aca="false">All!E77</f>
        <v>COWL02</v>
      </c>
      <c r="B66" s="0" t="n">
        <f aca="false">All!Y77</f>
        <v>7</v>
      </c>
      <c r="C66" s="0" t="n">
        <f aca="false">IFERROR(VLOOKUP(A66,'Site check'!A:Q,3,0),0)</f>
        <v>0</v>
      </c>
      <c r="D66" s="0" t="n">
        <f aca="false">SUM(B66-C66)</f>
        <v>7</v>
      </c>
    </row>
    <row r="67" customFormat="false" ht="13.15" hidden="false" customHeight="false" outlineLevel="0" collapsed="false">
      <c r="A67" s="0" t="str">
        <f aca="false">All!E78</f>
        <v>CSLN13</v>
      </c>
      <c r="B67" s="0" t="n">
        <f aca="false">All!Y78</f>
        <v>8</v>
      </c>
      <c r="C67" s="0" t="n">
        <f aca="false">IFERROR(VLOOKUP(A67,'Site check'!A:Q,3,0),0)</f>
        <v>0</v>
      </c>
      <c r="D67" s="0" t="n">
        <f aca="false">SUM(B67-C67)</f>
        <v>8</v>
      </c>
    </row>
    <row r="68" customFormat="false" ht="13.15" hidden="false" customHeight="false" outlineLevel="0" collapsed="false">
      <c r="A68" s="0" t="str">
        <f aca="false">All!E79</f>
        <v>CTNN01</v>
      </c>
      <c r="B68" s="0" t="n">
        <f aca="false">All!Y79</f>
        <v>20</v>
      </c>
      <c r="C68" s="0" t="n">
        <f aca="false">IFERROR(VLOOKUP(A68,'Site check'!A:Q,3,0),0)</f>
        <v>0</v>
      </c>
      <c r="D68" s="0" t="n">
        <f aca="false">SUM(B68-C68)</f>
        <v>20</v>
      </c>
    </row>
    <row r="69" customFormat="false" ht="13.15" hidden="false" customHeight="false" outlineLevel="0" collapsed="false">
      <c r="A69" s="0" t="str">
        <f aca="false">All!E80</f>
        <v>CTNN01</v>
      </c>
      <c r="B69" s="0" t="n">
        <f aca="false">All!Y80</f>
        <v>20</v>
      </c>
      <c r="C69" s="0" t="n">
        <f aca="false">IFERROR(VLOOKUP(A69,'Site check'!A:Q,3,0),0)</f>
        <v>0</v>
      </c>
      <c r="D69" s="0" t="n">
        <f aca="false">SUM(B69-C69)</f>
        <v>20</v>
      </c>
    </row>
    <row r="70" customFormat="false" ht="13.15" hidden="false" customHeight="false" outlineLevel="0" collapsed="false">
      <c r="A70" s="0" t="str">
        <f aca="false">All!E81</f>
        <v>CTRTK1</v>
      </c>
      <c r="B70" s="0" t="n">
        <f aca="false">All!Y81</f>
        <v>7</v>
      </c>
      <c r="C70" s="0" t="n">
        <f aca="false">IFERROR(VLOOKUP(A70,'Site check'!A:Q,3,0),0)</f>
        <v>0</v>
      </c>
      <c r="D70" s="0" t="n">
        <f aca="false">SUM(B70-C70)</f>
        <v>7</v>
      </c>
    </row>
    <row r="71" customFormat="false" ht="13.15" hidden="false" customHeight="false" outlineLevel="0" collapsed="false">
      <c r="A71" s="0" t="str">
        <f aca="false">All!E82</f>
        <v>CTRTS1</v>
      </c>
      <c r="B71" s="0" t="n">
        <f aca="false">All!Y82</f>
        <v>51</v>
      </c>
      <c r="C71" s="0" t="n">
        <f aca="false">IFERROR(VLOOKUP(A71,'Site check'!A:Q,3,0),0)</f>
        <v>0</v>
      </c>
      <c r="D71" s="0" t="n">
        <f aca="false">SUM(B71-C71)</f>
        <v>51</v>
      </c>
    </row>
    <row r="72" customFormat="false" ht="13.15" hidden="false" customHeight="false" outlineLevel="0" collapsed="false">
      <c r="A72" s="0" t="str">
        <f aca="false">All!E83</f>
        <v>CYNTN2(EXT'N)</v>
      </c>
      <c r="B72" s="0" t="n">
        <f aca="false">All!Y83</f>
        <v>6</v>
      </c>
      <c r="C72" s="0" t="n">
        <f aca="false">IFERROR(VLOOKUP(A72,'Site check'!A:Q,3,0),0)</f>
        <v>0</v>
      </c>
      <c r="D72" s="0" t="n">
        <f aca="false">SUM(B72-C72)</f>
        <v>6</v>
      </c>
    </row>
    <row r="73" customFormat="false" ht="13.15" hidden="false" customHeight="false" outlineLevel="0" collapsed="false">
      <c r="A73" s="0" t="str">
        <f aca="false">All!E84</f>
        <v>DBY</v>
      </c>
      <c r="B73" s="0" t="n">
        <f aca="false">All!Y84</f>
        <v>18</v>
      </c>
      <c r="C73" s="0" t="n">
        <f aca="false">IFERROR(VLOOKUP(A73,'Site check'!A:Q,3,0),0)</f>
        <v>0</v>
      </c>
      <c r="D73" s="0" t="n">
        <f aca="false">SUM(B73-C73)</f>
        <v>18</v>
      </c>
    </row>
    <row r="74" customFormat="false" ht="13.15" hidden="false" customHeight="false" outlineLevel="0" collapsed="false">
      <c r="A74" s="0" t="str">
        <f aca="false">All!E85</f>
        <v>DCT</v>
      </c>
      <c r="B74" s="0" t="n">
        <f aca="false">All!Y85</f>
        <v>11</v>
      </c>
      <c r="C74" s="0" t="n">
        <f aca="false">IFERROR(VLOOKUP(A74,'Site check'!A:Q,3,0),0)</f>
        <v>0</v>
      </c>
      <c r="D74" s="0" t="n">
        <f aca="false">SUM(B74-C74)</f>
        <v>11</v>
      </c>
    </row>
    <row r="75" customFormat="false" ht="13.15" hidden="false" customHeight="false" outlineLevel="0" collapsed="false">
      <c r="A75" s="0" t="str">
        <f aca="false">All!E86</f>
        <v>DFSN01</v>
      </c>
      <c r="B75" s="0" t="n">
        <f aca="false">All!Y86</f>
        <v>47</v>
      </c>
      <c r="C75" s="0" t="n">
        <f aca="false">IFERROR(VLOOKUP(A75,'Site check'!A:Q,3,0),0)</f>
        <v>0</v>
      </c>
      <c r="D75" s="0" t="n">
        <f aca="false">SUM(B75-C75)</f>
        <v>47</v>
      </c>
    </row>
    <row r="76" customFormat="false" ht="13.15" hidden="false" customHeight="false" outlineLevel="0" collapsed="false">
      <c r="A76" s="0" t="str">
        <f aca="false">All!E87</f>
        <v>DFSNC1</v>
      </c>
      <c r="B76" s="0" t="n">
        <f aca="false">All!Y87</f>
        <v>0</v>
      </c>
      <c r="C76" s="0" t="n">
        <f aca="false">IFERROR(VLOOKUP(A76,'Site check'!A:Q,3,0),0)</f>
        <v>0</v>
      </c>
      <c r="D76" s="0" t="n">
        <f aca="false">SUM(B76-C76)</f>
        <v>0</v>
      </c>
    </row>
    <row r="77" customFormat="false" ht="13.15" hidden="false" customHeight="false" outlineLevel="0" collapsed="false">
      <c r="A77" s="0" t="str">
        <f aca="false">All!E88</f>
        <v>DGS</v>
      </c>
      <c r="B77" s="0" t="n">
        <f aca="false">All!Y88</f>
        <v>3</v>
      </c>
      <c r="C77" s="0" t="n">
        <f aca="false">IFERROR(VLOOKUP(A77,'Site check'!A:Q,3,0),0)</f>
        <v>0</v>
      </c>
      <c r="D77" s="0" t="n">
        <f aca="false">SUM(B77-C77)</f>
        <v>3</v>
      </c>
    </row>
    <row r="78" customFormat="false" ht="13.15" hidden="false" customHeight="false" outlineLevel="0" collapsed="false">
      <c r="A78" s="0" t="str">
        <f aca="false">All!E89</f>
        <v>DHMNU1</v>
      </c>
      <c r="B78" s="0" t="n">
        <f aca="false">All!Y89</f>
        <v>1</v>
      </c>
      <c r="C78" s="0" t="n">
        <f aca="false">IFERROR(VLOOKUP(A78,'Site check'!A:Q,3,0),0)</f>
        <v>0</v>
      </c>
      <c r="D78" s="0" t="n">
        <f aca="false">SUM(B78-C78)</f>
        <v>1</v>
      </c>
    </row>
    <row r="79" customFormat="false" ht="13.15" hidden="false" customHeight="false" outlineLevel="0" collapsed="false">
      <c r="A79" s="0" t="str">
        <f aca="false">All!E90</f>
        <v>DKTN08</v>
      </c>
      <c r="B79" s="0" t="n">
        <f aca="false">All!Y90</f>
        <v>33</v>
      </c>
      <c r="C79" s="0" t="n">
        <f aca="false">IFERROR(VLOOKUP(A79,'Site check'!A:Q,3,0),0)</f>
        <v>0</v>
      </c>
      <c r="D79" s="0" t="n">
        <f aca="false">SUM(B79-C79)</f>
        <v>33</v>
      </c>
    </row>
    <row r="80" customFormat="false" ht="13.15" hidden="false" customHeight="false" outlineLevel="0" collapsed="false">
      <c r="A80" s="0" t="str">
        <f aca="false">All!E91</f>
        <v>DLD</v>
      </c>
      <c r="B80" s="0" t="n">
        <f aca="false">All!Y91</f>
        <v>11</v>
      </c>
      <c r="C80" s="0" t="n">
        <f aca="false">IFERROR(VLOOKUP(A80,'Site check'!A:Q,3,0),0)</f>
        <v>0</v>
      </c>
      <c r="D80" s="0" t="n">
        <f aca="false">SUM(B80-C80)</f>
        <v>11</v>
      </c>
    </row>
    <row r="81" customFormat="false" ht="13.15" hidden="false" customHeight="false" outlineLevel="0" collapsed="false">
      <c r="A81" s="0" t="str">
        <f aca="false">All!E92</f>
        <v>DLNTC1</v>
      </c>
      <c r="B81" s="0" t="n">
        <f aca="false">All!Y92</f>
        <v>67</v>
      </c>
      <c r="C81" s="0" t="n">
        <f aca="false">IFERROR(VLOOKUP(A81,'Site check'!A:Q,3,0),0)</f>
        <v>0</v>
      </c>
      <c r="D81" s="0" t="n">
        <f aca="false">SUM(B81-C81)</f>
        <v>67</v>
      </c>
    </row>
    <row r="82" customFormat="false" ht="13.15" hidden="false" customHeight="false" outlineLevel="0" collapsed="false">
      <c r="A82" s="0" t="str">
        <f aca="false">All!E93</f>
        <v>DNDN71</v>
      </c>
      <c r="B82" s="0" t="n">
        <f aca="false">All!Y93</f>
        <v>17</v>
      </c>
      <c r="C82" s="0" t="n">
        <f aca="false">IFERROR(VLOOKUP(A82,'Site check'!A:Q,3,0),0)</f>
        <v>0</v>
      </c>
      <c r="D82" s="0" t="n">
        <f aca="false">SUM(B82-C82)</f>
        <v>17</v>
      </c>
    </row>
    <row r="83" customFormat="false" ht="13.15" hidden="false" customHeight="false" outlineLevel="0" collapsed="false">
      <c r="A83" s="0" t="str">
        <f aca="false">All!E94</f>
        <v>DNDTC1</v>
      </c>
      <c r="B83" s="0" t="n">
        <f aca="false">All!Y94</f>
        <v>0</v>
      </c>
      <c r="C83" s="0" t="n">
        <f aca="false">IFERROR(VLOOKUP(A83,'Site check'!A:Q,3,0),0)</f>
        <v>0</v>
      </c>
      <c r="D83" s="0" t="n">
        <f aca="false">SUM(B83-C83)</f>
        <v>0</v>
      </c>
    </row>
    <row r="84" customFormat="false" ht="13.15" hidden="false" customHeight="false" outlineLevel="0" collapsed="false">
      <c r="A84" s="0" t="str">
        <f aca="false">All!E95</f>
        <v>DNFNP1</v>
      </c>
      <c r="B84" s="0" t="n">
        <f aca="false">All!Y95</f>
        <v>2</v>
      </c>
      <c r="C84" s="0" t="n">
        <f aca="false">IFERROR(VLOOKUP(A84,'Site check'!A:Q,3,0),0)</f>
        <v>0</v>
      </c>
      <c r="D84" s="0" t="n">
        <f aca="false">SUM(B84-C84)</f>
        <v>2</v>
      </c>
    </row>
    <row r="85" customFormat="false" ht="13.15" hidden="false" customHeight="false" outlineLevel="0" collapsed="false">
      <c r="A85" s="0" t="str">
        <f aca="false">All!E96</f>
        <v>DONTN1</v>
      </c>
      <c r="B85" s="0" t="n">
        <f aca="false">All!Y96</f>
        <v>4</v>
      </c>
      <c r="C85" s="0" t="n">
        <f aca="false">IFERROR(VLOOKUP(A85,'Site check'!A:Q,3,0),0)</f>
        <v>0</v>
      </c>
      <c r="D85" s="0" t="n">
        <f aca="false">SUM(B85-C85)</f>
        <v>4</v>
      </c>
    </row>
    <row r="86" customFormat="false" ht="13.15" hidden="false" customHeight="false" outlineLevel="0" collapsed="false">
      <c r="A86" s="0" t="str">
        <f aca="false">All!E97</f>
        <v>DVSTB1</v>
      </c>
      <c r="B86" s="0" t="n">
        <f aca="false">All!Y97</f>
        <v>14</v>
      </c>
      <c r="C86" s="0" t="n">
        <f aca="false">IFERROR(VLOOKUP(A86,'Site check'!A:Q,3,0),0)</f>
        <v>0</v>
      </c>
      <c r="D86" s="0" t="n">
        <f aca="false">SUM(B86-C86)</f>
        <v>14</v>
      </c>
    </row>
    <row r="87" customFormat="false" ht="13.15" hidden="false" customHeight="false" outlineLevel="0" collapsed="false">
      <c r="A87" s="0" t="str">
        <f aca="false">All!E98</f>
        <v>DWLTM1</v>
      </c>
      <c r="B87" s="0" t="n">
        <f aca="false">All!Y98</f>
        <v>0</v>
      </c>
      <c r="C87" s="0" t="n">
        <f aca="false">IFERROR(VLOOKUP(A87,'Site check'!A:Q,3,0),0)</f>
        <v>0</v>
      </c>
      <c r="D87" s="0" t="n">
        <f aca="false">SUM(B87-C87)</f>
        <v>0</v>
      </c>
    </row>
    <row r="88" customFormat="false" ht="13.15" hidden="false" customHeight="false" outlineLevel="0" collapsed="false">
      <c r="A88" s="0" t="str">
        <f aca="false">All!E99</f>
        <v>EBCTC1</v>
      </c>
      <c r="B88" s="0" t="n">
        <f aca="false">All!Y99</f>
        <v>3</v>
      </c>
      <c r="C88" s="0" t="n">
        <f aca="false">IFERROR(VLOOKUP(A88,'Site check'!A:Q,3,0),0)</f>
        <v>0</v>
      </c>
      <c r="D88" s="0" t="n">
        <f aca="false">SUM(B88-C88)</f>
        <v>3</v>
      </c>
    </row>
    <row r="89" customFormat="false" ht="13.15" hidden="false" customHeight="false" outlineLevel="0" collapsed="false">
      <c r="A89" s="0" t="str">
        <f aca="false">All!E100</f>
        <v>EDBN07</v>
      </c>
      <c r="B89" s="0" t="n">
        <f aca="false">All!Y100</f>
        <v>0</v>
      </c>
      <c r="C89" s="0" t="n">
        <f aca="false">IFERROR(VLOOKUP(A89,'Site check'!A:Q,3,0),0)</f>
        <v>0</v>
      </c>
      <c r="D89" s="0" t="n">
        <f aca="false">SUM(B89-C89)</f>
        <v>0</v>
      </c>
    </row>
    <row r="90" customFormat="false" ht="13.15" hidden="false" customHeight="false" outlineLevel="0" collapsed="false">
      <c r="A90" s="0" t="str">
        <f aca="false">All!E101</f>
        <v>EDBTG1</v>
      </c>
      <c r="B90" s="0" t="n">
        <f aca="false">All!Y101</f>
        <v>4</v>
      </c>
      <c r="C90" s="0" t="n">
        <f aca="false">IFERROR(VLOOKUP(A90,'Site check'!A:Q,3,0),0)</f>
        <v>0</v>
      </c>
      <c r="D90" s="0" t="n">
        <f aca="false">SUM(B90-C90)</f>
        <v>4</v>
      </c>
    </row>
    <row r="91" customFormat="false" ht="13.15" hidden="false" customHeight="false" outlineLevel="0" collapsed="false">
      <c r="A91" s="0" t="str">
        <f aca="false">All!E102</f>
        <v>EDBTG1</v>
      </c>
      <c r="B91" s="0" t="n">
        <f aca="false">All!Y102</f>
        <v>4</v>
      </c>
      <c r="C91" s="0" t="n">
        <f aca="false">IFERROR(VLOOKUP(A91,'Site check'!A:Q,3,0),0)</f>
        <v>0</v>
      </c>
      <c r="D91" s="0" t="n">
        <f aca="false">SUM(B91-C91)</f>
        <v>4</v>
      </c>
    </row>
    <row r="92" customFormat="false" ht="13.15" hidden="false" customHeight="false" outlineLevel="0" collapsed="false">
      <c r="A92" s="0" t="str">
        <f aca="false">All!E103</f>
        <v>EDBTN1</v>
      </c>
      <c r="B92" s="0" t="n">
        <f aca="false">All!Y103</f>
        <v>31</v>
      </c>
      <c r="C92" s="0" t="n">
        <f aca="false">IFERROR(VLOOKUP(A92,'Site check'!A:Q,3,0),0)</f>
        <v>0</v>
      </c>
      <c r="D92" s="0" t="n">
        <f aca="false">SUM(B92-C92)</f>
        <v>31</v>
      </c>
    </row>
    <row r="93" customFormat="false" ht="13.15" hidden="false" customHeight="false" outlineLevel="0" collapsed="false">
      <c r="A93" s="0" t="str">
        <f aca="false">All!E104</f>
        <v>EDBTN1</v>
      </c>
      <c r="B93" s="0" t="n">
        <f aca="false">All!Y104</f>
        <v>31</v>
      </c>
      <c r="C93" s="0" t="n">
        <f aca="false">IFERROR(VLOOKUP(A93,'Site check'!A:Q,3,0),0)</f>
        <v>0</v>
      </c>
      <c r="D93" s="0" t="n">
        <f aca="false">SUM(B93-C93)</f>
        <v>31</v>
      </c>
    </row>
    <row r="94" customFormat="false" ht="13.15" hidden="false" customHeight="false" outlineLevel="0" collapsed="false">
      <c r="A94" s="0" t="str">
        <f aca="false">All!E105</f>
        <v>EGNTM1</v>
      </c>
      <c r="B94" s="0" t="n">
        <f aca="false">All!Y105</f>
        <v>3</v>
      </c>
      <c r="C94" s="0" t="n">
        <f aca="false">IFERROR(VLOOKUP(A94,'Site check'!A:Q,3,0),0)</f>
        <v>0</v>
      </c>
      <c r="D94" s="0" t="n">
        <f aca="false">SUM(B94-C94)</f>
        <v>3</v>
      </c>
    </row>
    <row r="95" customFormat="false" ht="13.15" hidden="false" customHeight="false" outlineLevel="0" collapsed="false">
      <c r="A95" s="0" t="str">
        <f aca="false">All!E106</f>
        <v>EVMN01</v>
      </c>
      <c r="B95" s="0" t="n">
        <f aca="false">All!Y106</f>
        <v>19</v>
      </c>
      <c r="C95" s="0" t="n">
        <f aca="false">IFERROR(VLOOKUP(A95,'Site check'!A:Q,3,0),0)</f>
        <v>0</v>
      </c>
      <c r="D95" s="0" t="n">
        <f aca="false">SUM(B95-C95)</f>
        <v>19</v>
      </c>
    </row>
    <row r="96" customFormat="false" ht="13.15" hidden="false" customHeight="false" outlineLevel="0" collapsed="false">
      <c r="A96" s="0" t="str">
        <f aca="false">All!E107</f>
        <v>EXR</v>
      </c>
      <c r="B96" s="0" t="n">
        <f aca="false">All!Y107</f>
        <v>71</v>
      </c>
      <c r="C96" s="0" t="n">
        <f aca="false">IFERROR(VLOOKUP(A96,'Site check'!A:Q,3,0),0)</f>
        <v>0</v>
      </c>
      <c r="D96" s="0" t="n">
        <f aca="false">SUM(B96-C96)</f>
        <v>71</v>
      </c>
    </row>
    <row r="97" customFormat="false" ht="13.15" hidden="false" customHeight="false" outlineLevel="0" collapsed="false">
      <c r="A97" s="0" t="str">
        <f aca="false">All!E109</f>
        <v>EXR</v>
      </c>
      <c r="B97" s="0" t="n">
        <f aca="false">All!Y109</f>
        <v>71</v>
      </c>
      <c r="C97" s="0" t="n">
        <f aca="false">IFERROR(VLOOKUP(A97,'Site check'!A:Q,3,0),0)</f>
        <v>0</v>
      </c>
      <c r="D97" s="0" t="n">
        <f aca="false">SUM(B97-C97)</f>
        <v>71</v>
      </c>
    </row>
    <row r="98" customFormat="false" ht="13.15" hidden="false" customHeight="false" outlineLevel="0" collapsed="false">
      <c r="A98" s="0" t="str">
        <f aca="false">All!E110</f>
        <v>FKE</v>
      </c>
      <c r="B98" s="0" t="n">
        <f aca="false">All!Y110</f>
        <v>19</v>
      </c>
      <c r="C98" s="0" t="n">
        <f aca="false">IFERROR(VLOOKUP(A98,'Site check'!A:Q,3,0),0)</f>
        <v>0</v>
      </c>
      <c r="D98" s="0" t="n">
        <f aca="false">SUM(B98-C98)</f>
        <v>19</v>
      </c>
    </row>
    <row r="99" customFormat="false" ht="13.15" hidden="false" customHeight="false" outlineLevel="0" collapsed="false">
      <c r="A99" s="0" t="str">
        <f aca="false">All!E111</f>
        <v>FLNTT1</v>
      </c>
      <c r="B99" s="0" t="n">
        <f aca="false">All!Y111</f>
        <v>6</v>
      </c>
      <c r="C99" s="0" t="n">
        <f aca="false">IFERROR(VLOOKUP(A99,'Site check'!A:Q,3,0),0)</f>
        <v>0</v>
      </c>
      <c r="D99" s="0" t="n">
        <f aca="false">SUM(B99-C99)</f>
        <v>6</v>
      </c>
    </row>
    <row r="100" customFormat="false" ht="13.15" hidden="false" customHeight="false" outlineLevel="0" collapsed="false">
      <c r="A100" s="0" t="str">
        <f aca="false">All!E112</f>
        <v>FMYN31</v>
      </c>
      <c r="B100" s="0" t="n">
        <f aca="false">All!Y112</f>
        <v>21</v>
      </c>
      <c r="C100" s="0" t="n">
        <f aca="false">IFERROR(VLOOKUP(A100,'Site check'!A:Q,3,0),0)</f>
        <v>0</v>
      </c>
      <c r="D100" s="0" t="n">
        <f aca="false">SUM(B100-C100)</f>
        <v>21</v>
      </c>
    </row>
    <row r="101" customFormat="false" ht="13.15" hidden="false" customHeight="false" outlineLevel="0" collapsed="false">
      <c r="A101" s="0" t="str">
        <f aca="false">All!E113</f>
        <v>FRNN03</v>
      </c>
      <c r="B101" s="0" t="n">
        <f aca="false">All!Y113</f>
        <v>22</v>
      </c>
      <c r="C101" s="0" t="n">
        <f aca="false">IFERROR(VLOOKUP(A101,'Site check'!A:Q,3,0),0)</f>
        <v>0</v>
      </c>
      <c r="D101" s="0" t="n">
        <f aca="false">SUM(B101-C101)</f>
        <v>22</v>
      </c>
    </row>
    <row r="102" customFormat="false" ht="13.15" hidden="false" customHeight="false" outlineLevel="0" collapsed="false">
      <c r="A102" s="0" t="str">
        <f aca="false">All!E114</f>
        <v>FRNN03</v>
      </c>
      <c r="B102" s="0" t="n">
        <f aca="false">All!Y114</f>
        <v>22</v>
      </c>
      <c r="C102" s="0" t="n">
        <f aca="false">IFERROR(VLOOKUP(A102,'Site check'!A:Q,3,0),0)</f>
        <v>0</v>
      </c>
      <c r="D102" s="0" t="n">
        <f aca="false">SUM(B102-C102)</f>
        <v>22</v>
      </c>
    </row>
    <row r="103" customFormat="false" ht="13.15" hidden="false" customHeight="false" outlineLevel="0" collapsed="false">
      <c r="A103" s="0" t="str">
        <f aca="false">All!E115</f>
        <v>GCRTB1</v>
      </c>
      <c r="B103" s="0" t="n">
        <f aca="false">All!Y115</f>
        <v>24</v>
      </c>
      <c r="C103" s="0" t="n">
        <f aca="false">IFERROR(VLOOKUP(A103,'Site check'!A:Q,3,0),0)</f>
        <v>0</v>
      </c>
      <c r="D103" s="0" t="n">
        <f aca="false">SUM(B103-C103)</f>
        <v>24</v>
      </c>
    </row>
    <row r="104" customFormat="false" ht="13.15" hidden="false" customHeight="false" outlineLevel="0" collapsed="false">
      <c r="A104" s="0" t="str">
        <f aca="false">All!E116</f>
        <v>GFDCD1</v>
      </c>
      <c r="B104" s="0" t="n">
        <f aca="false">All!Y116</f>
        <v>60</v>
      </c>
      <c r="C104" s="0" t="n">
        <f aca="false">IFERROR(VLOOKUP(A104,'Site check'!A:Q,3,0),0)</f>
        <v>0</v>
      </c>
      <c r="D104" s="0" t="n">
        <f aca="false">SUM(B104-C104)</f>
        <v>60</v>
      </c>
    </row>
    <row r="105" customFormat="false" ht="13.15" hidden="false" customHeight="false" outlineLevel="0" collapsed="false">
      <c r="A105" s="0" t="str">
        <f aca="false">All!E118</f>
        <v>GLWN07</v>
      </c>
      <c r="B105" s="0" t="n">
        <f aca="false">All!Y118</f>
        <v>51</v>
      </c>
      <c r="C105" s="0" t="n">
        <f aca="false">IFERROR(VLOOKUP(A105,'Site check'!A:Q,3,0),0)</f>
        <v>0</v>
      </c>
      <c r="D105" s="0" t="n">
        <f aca="false">SUM(B105-C105)</f>
        <v>51</v>
      </c>
    </row>
    <row r="106" customFormat="false" ht="13.15" hidden="false" customHeight="false" outlineLevel="0" collapsed="false">
      <c r="A106" s="0" t="str">
        <f aca="false">All!E119</f>
        <v>GLWN07</v>
      </c>
      <c r="B106" s="0" t="n">
        <f aca="false">All!Y119</f>
        <v>51</v>
      </c>
      <c r="C106" s="0" t="n">
        <f aca="false">IFERROR(VLOOKUP(A106,'Site check'!A:Q,3,0),0)</f>
        <v>0</v>
      </c>
      <c r="D106" s="0" t="n">
        <f aca="false">SUM(B106-C106)</f>
        <v>51</v>
      </c>
    </row>
    <row r="107" customFormat="false" ht="13.15" hidden="false" customHeight="false" outlineLevel="0" collapsed="false">
      <c r="A107" s="0" t="str">
        <f aca="false">All!E120</f>
        <v>GLWTO1</v>
      </c>
      <c r="B107" s="0" t="n">
        <f aca="false">All!Y120</f>
        <v>61</v>
      </c>
      <c r="C107" s="0" t="n">
        <f aca="false">IFERROR(VLOOKUP(A107,'Site check'!A:Q,3,0),0)</f>
        <v>0</v>
      </c>
      <c r="D107" s="0" t="n">
        <f aca="false">SUM(B107-C107)</f>
        <v>61</v>
      </c>
    </row>
    <row r="108" customFormat="false" ht="13.15" hidden="false" customHeight="false" outlineLevel="0" collapsed="false">
      <c r="A108" s="0" t="str">
        <f aca="false">All!E121</f>
        <v>GLWTW1</v>
      </c>
      <c r="B108" s="0" t="n">
        <f aca="false">All!Y121</f>
        <v>3</v>
      </c>
      <c r="C108" s="0" t="n">
        <f aca="false">IFERROR(VLOOKUP(A108,'Site check'!A:Q,3,0),0)</f>
        <v>0</v>
      </c>
      <c r="D108" s="0" t="n">
        <f aca="false">SUM(B108-C108)</f>
        <v>3</v>
      </c>
    </row>
    <row r="109" customFormat="false" ht="13.15" hidden="false" customHeight="false" outlineLevel="0" collapsed="false">
      <c r="A109" s="0" t="str">
        <f aca="false">All!E122</f>
        <v>GRSTB1</v>
      </c>
      <c r="B109" s="0" t="n">
        <f aca="false">All!Y122</f>
        <v>6</v>
      </c>
      <c r="C109" s="0" t="n">
        <f aca="false">IFERROR(VLOOKUP(A109,'Site check'!A:Q,3,0),0)</f>
        <v>0</v>
      </c>
      <c r="D109" s="0" t="n">
        <f aca="false">SUM(B109-C109)</f>
        <v>6</v>
      </c>
    </row>
    <row r="110" customFormat="false" ht="13.15" hidden="false" customHeight="false" outlineLevel="0" collapsed="false">
      <c r="A110" s="0" t="str">
        <f aca="false">All!E123</f>
        <v>GWK</v>
      </c>
      <c r="B110" s="0" t="n">
        <f aca="false">All!Y123</f>
        <v>3</v>
      </c>
      <c r="C110" s="0" t="n">
        <f aca="false">IFERROR(VLOOKUP(A110,'Site check'!A:Q,3,0),0)</f>
        <v>0</v>
      </c>
      <c r="D110" s="0" t="n">
        <f aca="false">SUM(B110-C110)</f>
        <v>3</v>
      </c>
    </row>
    <row r="111" customFormat="false" ht="13.15" hidden="false" customHeight="false" outlineLevel="0" collapsed="false">
      <c r="A111" s="0" t="str">
        <f aca="false">All!E124</f>
        <v>HHD</v>
      </c>
      <c r="B111" s="0" t="n">
        <f aca="false">All!Y124</f>
        <v>16</v>
      </c>
      <c r="C111" s="0" t="n">
        <f aca="false">IFERROR(VLOOKUP(A111,'Site check'!A:Q,3,0),0)</f>
        <v>0</v>
      </c>
      <c r="D111" s="0" t="n">
        <f aca="false">SUM(B111-C111)</f>
        <v>16</v>
      </c>
    </row>
    <row r="112" customFormat="false" ht="13.15" hidden="false" customHeight="false" outlineLevel="0" collapsed="false">
      <c r="A112" s="0" t="str">
        <f aca="false">All!E125</f>
        <v>HLDA11</v>
      </c>
      <c r="B112" s="0" t="n">
        <f aca="false">All!Y125</f>
        <v>12</v>
      </c>
      <c r="C112" s="0" t="n">
        <f aca="false">IFERROR(VLOOKUP(A112,'Site check'!A:Q,3,0),0)</f>
        <v>0</v>
      </c>
      <c r="D112" s="0" t="n">
        <f aca="false">SUM(B112-C112)</f>
        <v>12</v>
      </c>
    </row>
    <row r="113" customFormat="false" ht="13.15" hidden="false" customHeight="false" outlineLevel="0" collapsed="false">
      <c r="A113" s="0" t="str">
        <f aca="false">All!E126</f>
        <v>HLDA12</v>
      </c>
      <c r="B113" s="0" t="n">
        <f aca="false">All!Y126</f>
        <v>4</v>
      </c>
      <c r="C113" s="0" t="n">
        <f aca="false">IFERROR(VLOOKUP(A113,'Site check'!A:Q,3,0),0)</f>
        <v>0</v>
      </c>
      <c r="D113" s="0" t="n">
        <f aca="false">SUM(B113-C113)</f>
        <v>4</v>
      </c>
    </row>
    <row r="114" customFormat="false" ht="13.15" hidden="false" customHeight="false" outlineLevel="0" collapsed="false">
      <c r="A114" s="0" t="str">
        <f aca="false">All!E127</f>
        <v>HLWN02</v>
      </c>
      <c r="B114" s="0" t="n">
        <f aca="false">All!Y127</f>
        <v>38</v>
      </c>
      <c r="C114" s="0" t="n">
        <f aca="false">IFERROR(VLOOKUP(A114,'Site check'!A:Q,3,0),0)</f>
        <v>0</v>
      </c>
      <c r="D114" s="0" t="n">
        <f aca="false">SUM(B114-C114)</f>
        <v>38</v>
      </c>
    </row>
    <row r="115" customFormat="false" ht="13.15" hidden="false" customHeight="false" outlineLevel="0" collapsed="false">
      <c r="A115" s="0" t="str">
        <f aca="false">All!E128</f>
        <v>HRWN02</v>
      </c>
      <c r="B115" s="0" t="n">
        <f aca="false">All!Y128</f>
        <v>235</v>
      </c>
      <c r="C115" s="0" t="n">
        <f aca="false">IFERROR(VLOOKUP(A115,'Site check'!A:Q,3,0),0)</f>
        <v>0</v>
      </c>
      <c r="D115" s="0" t="n">
        <f aca="false">SUM(B115-C115)</f>
        <v>235</v>
      </c>
    </row>
    <row r="116" customFormat="false" ht="13.15" hidden="false" customHeight="false" outlineLevel="0" collapsed="false">
      <c r="A116" s="0" t="str">
        <f aca="false">All!E129</f>
        <v>HTE</v>
      </c>
      <c r="B116" s="0" t="n">
        <f aca="false">All!Y129</f>
        <v>4</v>
      </c>
      <c r="C116" s="0" t="n">
        <f aca="false">IFERROR(VLOOKUP(A116,'Site check'!A:Q,3,0),0)</f>
        <v>0</v>
      </c>
      <c r="D116" s="0" t="n">
        <f aca="false">SUM(B116-C116)</f>
        <v>4</v>
      </c>
    </row>
    <row r="117" customFormat="false" ht="13.15" hidden="false" customHeight="false" outlineLevel="0" collapsed="false">
      <c r="A117" s="0" t="str">
        <f aca="false">All!E130</f>
        <v>IGNN01</v>
      </c>
      <c r="B117" s="0" t="n">
        <f aca="false">All!Y130</f>
        <v>119</v>
      </c>
      <c r="C117" s="0" t="n">
        <f aca="false">IFERROR(VLOOKUP(A117,'Site check'!A:Q,3,0),0)</f>
        <v>0</v>
      </c>
      <c r="D117" s="0" t="n">
        <f aca="false">SUM(B117-C117)</f>
        <v>119</v>
      </c>
    </row>
    <row r="118" customFormat="false" ht="13.15" hidden="false" customHeight="false" outlineLevel="0" collapsed="false">
      <c r="A118" s="0" t="str">
        <f aca="false">All!E131</f>
        <v>INVN41</v>
      </c>
      <c r="B118" s="0" t="n">
        <f aca="false">All!Y131</f>
        <v>29</v>
      </c>
      <c r="C118" s="0" t="n">
        <f aca="false">IFERROR(VLOOKUP(A118,'Site check'!A:Q,3,0),0)</f>
        <v>0</v>
      </c>
      <c r="D118" s="0" t="n">
        <f aca="false">SUM(B118-C118)</f>
        <v>29</v>
      </c>
    </row>
    <row r="119" customFormat="false" ht="13.15" hidden="false" customHeight="false" outlineLevel="0" collapsed="false">
      <c r="A119" s="0" t="str">
        <f aca="false">All!E132</f>
        <v>INVTL1</v>
      </c>
      <c r="B119" s="0" t="n">
        <f aca="false">All!Y132</f>
        <v>1</v>
      </c>
      <c r="C119" s="0" t="n">
        <f aca="false">IFERROR(VLOOKUP(A119,'Site check'!A:Q,3,0),0)</f>
        <v>0</v>
      </c>
      <c r="D119" s="0" t="n">
        <f aca="false">SUM(B119-C119)</f>
        <v>1</v>
      </c>
    </row>
    <row r="120" customFormat="false" ht="13.15" hidden="false" customHeight="false" outlineLevel="0" collapsed="false">
      <c r="A120" s="0" t="str">
        <f aca="false">All!E133</f>
        <v>IODN01</v>
      </c>
      <c r="B120" s="0" t="n">
        <f aca="false">All!Y133</f>
        <v>16</v>
      </c>
      <c r="C120" s="0" t="n">
        <f aca="false">IFERROR(VLOOKUP(A120,'Site check'!A:Q,3,0),0)</f>
        <v>0</v>
      </c>
      <c r="D120" s="0" t="n">
        <f aca="false">SUM(B120-C120)</f>
        <v>16</v>
      </c>
    </row>
    <row r="121" customFormat="false" ht="13.15" hidden="false" customHeight="false" outlineLevel="0" collapsed="false">
      <c r="A121" s="0" t="str">
        <f aca="false">All!E135</f>
        <v>IPWTN1</v>
      </c>
      <c r="B121" s="0" t="n">
        <f aca="false">All!Y135</f>
        <v>98</v>
      </c>
      <c r="C121" s="0" t="n">
        <f aca="false">IFERROR(VLOOKUP(A121,'Site check'!A:Q,3,0),0)</f>
        <v>0</v>
      </c>
      <c r="D121" s="0" t="n">
        <f aca="false">SUM(B121-C121)</f>
        <v>98</v>
      </c>
    </row>
    <row r="122" customFormat="false" ht="13.15" hidden="false" customHeight="false" outlineLevel="0" collapsed="false">
      <c r="A122" s="0" t="str">
        <f aca="false">All!E136</f>
        <v>IVER02</v>
      </c>
      <c r="B122" s="0" t="n">
        <f aca="false">All!Y136</f>
        <v>4</v>
      </c>
      <c r="C122" s="0" t="n">
        <f aca="false">IFERROR(VLOOKUP(A122,'Site check'!A:Q,3,0),0)</f>
        <v>0</v>
      </c>
      <c r="D122" s="0" t="n">
        <f aca="false">SUM(B122-C122)</f>
        <v>4</v>
      </c>
    </row>
    <row r="123" customFormat="false" ht="13.15" hidden="false" customHeight="false" outlineLevel="0" collapsed="false">
      <c r="A123" s="0" t="str">
        <f aca="false">All!E137</f>
        <v>KLNN01</v>
      </c>
      <c r="B123" s="0" t="n">
        <f aca="false">All!Y137</f>
        <v>1</v>
      </c>
      <c r="C123" s="0" t="n">
        <f aca="false">IFERROR(VLOOKUP(A123,'Site check'!A:Q,3,0),0)</f>
        <v>0</v>
      </c>
      <c r="D123" s="0" t="n">
        <f aca="false">SUM(B123-C123)</f>
        <v>1</v>
      </c>
    </row>
    <row r="124" customFormat="false" ht="13.15" hidden="false" customHeight="false" outlineLevel="0" collapsed="false">
      <c r="A124" s="0" t="str">
        <f aca="false">All!E138</f>
        <v>KNLTS1</v>
      </c>
      <c r="B124" s="0" t="n">
        <f aca="false">All!Y138</f>
        <v>4</v>
      </c>
      <c r="C124" s="0" t="n">
        <f aca="false">IFERROR(VLOOKUP(A124,'Site check'!A:Q,3,0),0)</f>
        <v>0</v>
      </c>
      <c r="D124" s="0" t="n">
        <f aca="false">SUM(B124-C124)</f>
        <v>4</v>
      </c>
    </row>
    <row r="125" customFormat="false" ht="13.15" hidden="false" customHeight="false" outlineLevel="0" collapsed="false">
      <c r="A125" s="0" t="str">
        <f aca="false">All!E139</f>
        <v>LCT</v>
      </c>
      <c r="B125" s="0" t="n">
        <f aca="false">All!Y139</f>
        <v>11</v>
      </c>
      <c r="C125" s="0" t="n">
        <f aca="false">IFERROR(VLOOKUP(A125,'Site check'!A:Q,3,0),0)</f>
        <v>0</v>
      </c>
      <c r="D125" s="0" t="n">
        <f aca="false">SUM(B125-C125)</f>
        <v>11</v>
      </c>
    </row>
    <row r="126" customFormat="false" ht="13.15" hidden="false" customHeight="false" outlineLevel="0" collapsed="false">
      <c r="A126" s="0" t="str">
        <f aca="false">All!E140</f>
        <v>LDMS13</v>
      </c>
      <c r="B126" s="0" t="n">
        <f aca="false">All!Y140</f>
        <v>4</v>
      </c>
      <c r="C126" s="0" t="n">
        <f aca="false">IFERROR(VLOOKUP(A126,'Site check'!A:Q,3,0),0)</f>
        <v>0</v>
      </c>
      <c r="D126" s="0" t="n">
        <f aca="false">SUM(B126-C126)</f>
        <v>4</v>
      </c>
    </row>
    <row r="127" customFormat="false" ht="13.15" hidden="false" customHeight="false" outlineLevel="0" collapsed="false">
      <c r="A127" s="0" t="str">
        <f aca="false">All!E141</f>
        <v>LDMS13</v>
      </c>
      <c r="B127" s="0" t="n">
        <f aca="false">All!Y141</f>
        <v>4</v>
      </c>
      <c r="C127" s="0" t="n">
        <f aca="false">IFERROR(VLOOKUP(A127,'Site check'!A:Q,3,0),0)</f>
        <v>0</v>
      </c>
      <c r="D127" s="0" t="n">
        <f aca="false">SUM(B127-C127)</f>
        <v>4</v>
      </c>
    </row>
    <row r="128" customFormat="false" ht="13.15" hidden="false" customHeight="false" outlineLevel="0" collapsed="false">
      <c r="A128" s="0" t="str">
        <f aca="false">All!E142</f>
        <v>LDSCD2</v>
      </c>
      <c r="B128" s="0" t="n">
        <f aca="false">All!Y142</f>
        <v>37</v>
      </c>
      <c r="C128" s="0" t="n">
        <f aca="false">IFERROR(VLOOKUP(A128,'Site check'!A:Q,3,0),0)</f>
        <v>0</v>
      </c>
      <c r="D128" s="0" t="n">
        <f aca="false">SUM(B128-C128)</f>
        <v>37</v>
      </c>
    </row>
    <row r="129" customFormat="false" ht="13.15" hidden="false" customHeight="false" outlineLevel="0" collapsed="false">
      <c r="A129" s="0" t="str">
        <f aca="false">All!E143</f>
        <v>LDSCD2</v>
      </c>
      <c r="B129" s="0" t="n">
        <f aca="false">All!Y143</f>
        <v>37</v>
      </c>
      <c r="C129" s="0" t="n">
        <f aca="false">IFERROR(VLOOKUP(A129,'Site check'!A:Q,3,0),0)</f>
        <v>0</v>
      </c>
      <c r="D129" s="0" t="n">
        <f aca="false">SUM(B129-C129)</f>
        <v>37</v>
      </c>
    </row>
    <row r="130" customFormat="false" ht="13.15" hidden="false" customHeight="false" outlineLevel="0" collapsed="false">
      <c r="A130" s="0" t="str">
        <f aca="false">All!E144</f>
        <v>LDSN14</v>
      </c>
      <c r="B130" s="0" t="n">
        <f aca="false">All!Y144</f>
        <v>3</v>
      </c>
      <c r="C130" s="0" t="n">
        <f aca="false">IFERROR(VLOOKUP(A130,'Site check'!A:Q,3,0),0)</f>
        <v>0</v>
      </c>
      <c r="D130" s="0" t="n">
        <f aca="false">SUM(B130-C130)</f>
        <v>3</v>
      </c>
    </row>
    <row r="131" customFormat="false" ht="13.15" hidden="false" customHeight="false" outlineLevel="0" collapsed="false">
      <c r="A131" s="0" t="str">
        <f aca="false">All!E145</f>
        <v>LDSTS1</v>
      </c>
      <c r="B131" s="0" t="n">
        <f aca="false">All!Y145</f>
        <v>135</v>
      </c>
      <c r="C131" s="0" t="n">
        <f aca="false">IFERROR(VLOOKUP(A131,'Site check'!A:Q,3,0),0)</f>
        <v>0</v>
      </c>
      <c r="D131" s="0" t="n">
        <f aca="false">SUM(B131-C131)</f>
        <v>135</v>
      </c>
    </row>
    <row r="132" customFormat="false" ht="13.15" hidden="false" customHeight="false" outlineLevel="0" collapsed="false">
      <c r="A132" s="0" t="str">
        <f aca="false">All!E146</f>
        <v>LIVN01</v>
      </c>
      <c r="B132" s="0" t="n">
        <f aca="false">All!Y146</f>
        <v>44</v>
      </c>
      <c r="C132" s="0" t="n">
        <f aca="false">IFERROR(VLOOKUP(A132,'Site check'!A:Q,3,0),0)</f>
        <v>0</v>
      </c>
      <c r="D132" s="0" t="n">
        <f aca="false">SUM(B132-C132)</f>
        <v>44</v>
      </c>
    </row>
    <row r="133" customFormat="false" ht="13.15" hidden="false" customHeight="false" outlineLevel="0" collapsed="false">
      <c r="A133" s="0" t="str">
        <f aca="false">All!E147</f>
        <v>LLDTE1</v>
      </c>
      <c r="B133" s="0" t="n">
        <f aca="false">All!Y147</f>
        <v>174</v>
      </c>
      <c r="C133" s="0" t="n">
        <f aca="false">IFERROR(VLOOKUP(A133,'Site check'!A:Q,3,0),0)</f>
        <v>0</v>
      </c>
      <c r="D133" s="0" t="n">
        <f aca="false">SUM(B133-C133)</f>
        <v>174</v>
      </c>
    </row>
    <row r="134" customFormat="false" ht="13.15" hidden="false" customHeight="false" outlineLevel="0" collapsed="false">
      <c r="A134" s="0" t="str">
        <f aca="false">All!E148</f>
        <v>LMSCN2</v>
      </c>
      <c r="B134" s="0" t="n">
        <f aca="false">All!Y148</f>
        <v>1</v>
      </c>
      <c r="C134" s="0" t="n">
        <f aca="false">IFERROR(VLOOKUP(A134,'Site check'!A:Q,3,0),0)</f>
        <v>0</v>
      </c>
      <c r="D134" s="0" t="n">
        <f aca="false">SUM(B134-C134)</f>
        <v>1</v>
      </c>
    </row>
    <row r="135" customFormat="false" ht="13.15" hidden="false" customHeight="false" outlineLevel="0" collapsed="false">
      <c r="A135" s="0" t="str">
        <f aca="false">All!E149</f>
        <v>LPLTB1</v>
      </c>
      <c r="B135" s="0" t="n">
        <f aca="false">All!Y149</f>
        <v>4</v>
      </c>
      <c r="C135" s="0" t="n">
        <f aca="false">IFERROR(VLOOKUP(A135,'Site check'!A:Q,3,0),0)</f>
        <v>0</v>
      </c>
      <c r="D135" s="0" t="n">
        <f aca="false">SUM(B135-C135)</f>
        <v>4</v>
      </c>
    </row>
    <row r="136" customFormat="false" ht="13.15" hidden="false" customHeight="false" outlineLevel="0" collapsed="false">
      <c r="A136" s="0" t="str">
        <f aca="false">All!E150</f>
        <v>LPLTK1</v>
      </c>
      <c r="B136" s="0" t="n">
        <f aca="false">All!Y150</f>
        <v>18</v>
      </c>
      <c r="C136" s="0" t="n">
        <f aca="false">IFERROR(VLOOKUP(A136,'Site check'!A:Q,3,0),0)</f>
        <v>0</v>
      </c>
      <c r="D136" s="0" t="n">
        <f aca="false">SUM(B136-C136)</f>
        <v>18</v>
      </c>
    </row>
    <row r="137" customFormat="false" ht="13.15" hidden="false" customHeight="false" outlineLevel="0" collapsed="false">
      <c r="A137" s="0" t="str">
        <f aca="false">All!E151</f>
        <v>LSWN01</v>
      </c>
      <c r="B137" s="0" t="n">
        <f aca="false">All!Y151</f>
        <v>45</v>
      </c>
      <c r="C137" s="0" t="n">
        <f aca="false">IFERROR(VLOOKUP(A137,'Site check'!A:Q,3,0),0)</f>
        <v>0</v>
      </c>
      <c r="D137" s="0" t="n">
        <f aca="false">SUM(B137-C137)</f>
        <v>45</v>
      </c>
    </row>
    <row r="138" customFormat="false" ht="13.15" hidden="false" customHeight="false" outlineLevel="0" collapsed="false">
      <c r="A138" s="0" t="str">
        <f aca="false">All!E152</f>
        <v>LTNDN1</v>
      </c>
      <c r="B138" s="0" t="n">
        <f aca="false">All!Y152</f>
        <v>7</v>
      </c>
      <c r="C138" s="0" t="n">
        <f aca="false">IFERROR(VLOOKUP(A138,'Site check'!A:Q,3,0),0)</f>
        <v>0</v>
      </c>
      <c r="D138" s="0" t="n">
        <f aca="false">SUM(B138-C138)</f>
        <v>7</v>
      </c>
    </row>
    <row r="139" customFormat="false" ht="13.15" hidden="false" customHeight="false" outlineLevel="0" collapsed="false">
      <c r="A139" s="0" t="str">
        <f aca="false">All!E153</f>
        <v>MCRCD2</v>
      </c>
      <c r="B139" s="0" t="n">
        <f aca="false">All!Y153</f>
        <v>55</v>
      </c>
      <c r="C139" s="0" t="n">
        <f aca="false">IFERROR(VLOOKUP(A139,'Site check'!A:Q,3,0),0)</f>
        <v>0</v>
      </c>
      <c r="D139" s="0" t="n">
        <f aca="false">SUM(B139-C139)</f>
        <v>55</v>
      </c>
    </row>
    <row r="140" customFormat="false" ht="13.15" hidden="false" customHeight="false" outlineLevel="0" collapsed="false">
      <c r="A140" s="0" t="str">
        <f aca="false">All!E154</f>
        <v>MCRCD2</v>
      </c>
      <c r="B140" s="0" t="n">
        <f aca="false">All!Y154</f>
        <v>55</v>
      </c>
      <c r="C140" s="0" t="n">
        <f aca="false">IFERROR(VLOOKUP(A140,'Site check'!A:Q,3,0),0)</f>
        <v>0</v>
      </c>
      <c r="D140" s="0" t="n">
        <f aca="false">SUM(B140-C140)</f>
        <v>55</v>
      </c>
    </row>
    <row r="141" customFormat="false" ht="13.15" hidden="false" customHeight="false" outlineLevel="0" collapsed="false">
      <c r="A141" s="0" t="str">
        <f aca="false">All!E155</f>
        <v>MCRCD2</v>
      </c>
      <c r="B141" s="0" t="n">
        <f aca="false">All!Y155</f>
        <v>55</v>
      </c>
      <c r="C141" s="0" t="n">
        <f aca="false">IFERROR(VLOOKUP(A141,'Site check'!A:Q,3,0),0)</f>
        <v>0</v>
      </c>
      <c r="D141" s="0" t="n">
        <f aca="false">SUM(B141-C141)</f>
        <v>55</v>
      </c>
    </row>
    <row r="142" customFormat="false" ht="13.15" hidden="false" customHeight="false" outlineLevel="0" collapsed="false">
      <c r="A142" s="0" t="str">
        <f aca="false">All!E156</f>
        <v>MCRN11</v>
      </c>
      <c r="B142" s="0" t="n">
        <f aca="false">All!Y156</f>
        <v>39</v>
      </c>
      <c r="C142" s="0" t="n">
        <f aca="false">IFERROR(VLOOKUP(A142,'Site check'!A:Q,3,0),0)</f>
        <v>0</v>
      </c>
      <c r="D142" s="0" t="n">
        <f aca="false">SUM(B142-C142)</f>
        <v>39</v>
      </c>
    </row>
    <row r="143" customFormat="false" ht="13.15" hidden="false" customHeight="false" outlineLevel="0" collapsed="false">
      <c r="A143" s="0" t="str">
        <f aca="false">All!E157</f>
        <v>MCRN11</v>
      </c>
      <c r="B143" s="0" t="n">
        <f aca="false">All!Y157</f>
        <v>39</v>
      </c>
      <c r="C143" s="0" t="n">
        <f aca="false">IFERROR(VLOOKUP(A143,'Site check'!A:Q,3,0),0)</f>
        <v>0</v>
      </c>
      <c r="D143" s="0" t="n">
        <f aca="false">SUM(B143-C143)</f>
        <v>39</v>
      </c>
    </row>
    <row r="144" customFormat="false" ht="13.15" hidden="false" customHeight="false" outlineLevel="0" collapsed="false">
      <c r="A144" s="0" t="str">
        <f aca="false">All!E158</f>
        <v>MCRN12</v>
      </c>
      <c r="B144" s="0" t="n">
        <f aca="false">All!Y158</f>
        <v>94</v>
      </c>
      <c r="C144" s="0" t="n">
        <f aca="false">IFERROR(VLOOKUP(A144,'Site check'!A:Q,3,0),0)</f>
        <v>0</v>
      </c>
      <c r="D144" s="0" t="n">
        <f aca="false">SUM(B144-C144)</f>
        <v>94</v>
      </c>
    </row>
    <row r="145" customFormat="false" ht="13.15" hidden="false" customHeight="false" outlineLevel="0" collapsed="false">
      <c r="A145" s="0" t="str">
        <f aca="false">All!E159</f>
        <v>MCRN12</v>
      </c>
      <c r="B145" s="0" t="n">
        <f aca="false">All!Y159</f>
        <v>94</v>
      </c>
      <c r="C145" s="0" t="n">
        <f aca="false">IFERROR(VLOOKUP(A145,'Site check'!A:Q,3,0),0)</f>
        <v>0</v>
      </c>
      <c r="D145" s="0" t="n">
        <f aca="false">SUM(B145-C145)</f>
        <v>94</v>
      </c>
    </row>
    <row r="146" customFormat="false" ht="13.15" hidden="false" customHeight="false" outlineLevel="0" collapsed="false">
      <c r="A146" s="0" t="str">
        <f aca="false">All!E160</f>
        <v>MDBTD1</v>
      </c>
      <c r="B146" s="0" t="n">
        <f aca="false">All!Y160</f>
        <v>27</v>
      </c>
      <c r="C146" s="0" t="n">
        <f aca="false">IFERROR(VLOOKUP(A146,'Site check'!A:Q,3,0),0)</f>
        <v>0</v>
      </c>
      <c r="D146" s="0" t="n">
        <f aca="false">SUM(B146-C146)</f>
        <v>27</v>
      </c>
    </row>
    <row r="147" customFormat="false" ht="13.15" hidden="false" customHeight="false" outlineLevel="0" collapsed="false">
      <c r="A147" s="0" t="str">
        <f aca="false">All!E161</f>
        <v>MDE</v>
      </c>
      <c r="B147" s="0" t="n">
        <f aca="false">All!Y161</f>
        <v>16</v>
      </c>
      <c r="C147" s="0" t="n">
        <f aca="false">IFERROR(VLOOKUP(A147,'Site check'!A:Q,3,0),0)</f>
        <v>0</v>
      </c>
      <c r="D147" s="0" t="n">
        <f aca="false">SUM(B147-C147)</f>
        <v>16</v>
      </c>
    </row>
    <row r="148" customFormat="false" ht="13.15" hidden="false" customHeight="false" outlineLevel="0" collapsed="false">
      <c r="A148" s="0" t="str">
        <f aca="false">All!E162</f>
        <v>MDFTB1</v>
      </c>
      <c r="B148" s="0" t="n">
        <f aca="false">All!Y162</f>
        <v>2</v>
      </c>
      <c r="C148" s="0" t="n">
        <f aca="false">IFERROR(VLOOKUP(A148,'Site check'!A:Q,3,0),0)</f>
        <v>0</v>
      </c>
      <c r="D148" s="0" t="n">
        <f aca="false">SUM(B148-C148)</f>
        <v>2</v>
      </c>
    </row>
    <row r="149" customFormat="false" ht="13.15" hidden="false" customHeight="false" outlineLevel="0" collapsed="false">
      <c r="A149" s="0" t="str">
        <f aca="false">All!E163</f>
        <v>MKSTN1</v>
      </c>
      <c r="B149" s="0" t="n">
        <f aca="false">All!Y163</f>
        <v>24</v>
      </c>
      <c r="C149" s="0" t="n">
        <f aca="false">IFERROR(VLOOKUP(A149,'Site check'!A:Q,3,0),0)</f>
        <v>0</v>
      </c>
      <c r="D149" s="0" t="n">
        <f aca="false">SUM(B149-C149)</f>
        <v>24</v>
      </c>
    </row>
    <row r="150" customFormat="false" ht="13.15" hidden="false" customHeight="false" outlineLevel="0" collapsed="false">
      <c r="A150" s="0" t="str">
        <f aca="false">All!E164</f>
        <v>NBYCD1</v>
      </c>
      <c r="B150" s="0" t="n">
        <f aca="false">All!Y164</f>
        <v>0</v>
      </c>
      <c r="C150" s="0" t="n">
        <f aca="false">IFERROR(VLOOKUP(A150,'Site check'!A:Q,3,0),0)</f>
        <v>0</v>
      </c>
      <c r="D150" s="0" t="n">
        <f aca="false">SUM(B150-C150)</f>
        <v>0</v>
      </c>
    </row>
    <row r="151" customFormat="false" ht="13.15" hidden="false" customHeight="false" outlineLevel="0" collapsed="false">
      <c r="A151" s="0" t="str">
        <f aca="false">All!E165</f>
        <v>NECCD1</v>
      </c>
      <c r="B151" s="0" t="n">
        <f aca="false">All!Y165</f>
        <v>0</v>
      </c>
      <c r="C151" s="0" t="n">
        <f aca="false">IFERROR(VLOOKUP(A151,'Site check'!A:Q,3,0),0)</f>
        <v>0</v>
      </c>
      <c r="D151" s="0" t="n">
        <f aca="false">SUM(B151-C151)</f>
        <v>0</v>
      </c>
    </row>
    <row r="152" customFormat="false" ht="13.15" hidden="false" customHeight="false" outlineLevel="0" collapsed="false">
      <c r="A152" s="0" t="str">
        <f aca="false">All!E166</f>
        <v>NGM</v>
      </c>
      <c r="B152" s="0" t="n">
        <f aca="false">All!Y166</f>
        <v>21</v>
      </c>
      <c r="C152" s="0" t="n">
        <f aca="false">IFERROR(VLOOKUP(A152,'Site check'!A:Q,3,0),0)</f>
        <v>0</v>
      </c>
      <c r="D152" s="0" t="n">
        <f aca="false">SUM(B152-C152)</f>
        <v>21</v>
      </c>
    </row>
    <row r="153" customFormat="false" ht="13.15" hidden="false" customHeight="false" outlineLevel="0" collapsed="false">
      <c r="A153" s="0" t="str">
        <f aca="false">All!E167</f>
        <v>NGMTL1</v>
      </c>
      <c r="B153" s="0" t="n">
        <f aca="false">All!Y167</f>
        <v>96</v>
      </c>
      <c r="C153" s="0" t="n">
        <f aca="false">IFERROR(VLOOKUP(A153,'Site check'!A:Q,3,0),0)</f>
        <v>0</v>
      </c>
      <c r="D153" s="0" t="n">
        <f aca="false">SUM(B153-C153)</f>
        <v>96</v>
      </c>
    </row>
    <row r="154" customFormat="false" ht="13.15" hidden="false" customHeight="false" outlineLevel="0" collapsed="false">
      <c r="A154" s="0" t="str">
        <f aca="false">All!E168</f>
        <v>NRWN51</v>
      </c>
      <c r="B154" s="0" t="n">
        <f aca="false">All!Y168</f>
        <v>8</v>
      </c>
      <c r="C154" s="0" t="n">
        <f aca="false">IFERROR(VLOOKUP(A154,'Site check'!A:Q,3,0),0)</f>
        <v>0</v>
      </c>
      <c r="D154" s="0" t="n">
        <f aca="false">SUM(B154-C154)</f>
        <v>8</v>
      </c>
    </row>
    <row r="155" customFormat="false" ht="13.15" hidden="false" customHeight="false" outlineLevel="0" collapsed="false">
      <c r="A155" s="0" t="str">
        <f aca="false">All!E169</f>
        <v>NRWTN1</v>
      </c>
      <c r="B155" s="0" t="n">
        <f aca="false">All!Y169</f>
        <v>9</v>
      </c>
      <c r="C155" s="0" t="n">
        <f aca="false">IFERROR(VLOOKUP(A155,'Site check'!A:Q,3,0),0)</f>
        <v>0</v>
      </c>
      <c r="D155" s="0" t="n">
        <f aca="false">SUM(B155-C155)</f>
        <v>9</v>
      </c>
    </row>
    <row r="156" customFormat="false" ht="13.15" hidden="false" customHeight="false" outlineLevel="0" collapsed="false">
      <c r="A156" s="0" t="str">
        <f aca="false">All!E170</f>
        <v>NULTB1</v>
      </c>
      <c r="B156" s="0" t="n">
        <f aca="false">All!Y170</f>
        <v>6</v>
      </c>
      <c r="C156" s="0" t="n">
        <f aca="false">IFERROR(VLOOKUP(A156,'Site check'!A:Q,3,0),0)</f>
        <v>0</v>
      </c>
      <c r="D156" s="0" t="n">
        <f aca="false">SUM(B156-C156)</f>
        <v>6</v>
      </c>
    </row>
    <row r="157" customFormat="false" ht="13.15" hidden="false" customHeight="false" outlineLevel="0" collapsed="false">
      <c r="A157" s="0" t="str">
        <f aca="false">All!E171</f>
        <v>NWCN05</v>
      </c>
      <c r="B157" s="0" t="n">
        <f aca="false">All!Y171</f>
        <v>40</v>
      </c>
      <c r="C157" s="0" t="n">
        <f aca="false">IFERROR(VLOOKUP(A157,'Site check'!A:Q,3,0),0)</f>
        <v>0</v>
      </c>
      <c r="D157" s="0" t="n">
        <f aca="false">SUM(B157-C157)</f>
        <v>40</v>
      </c>
    </row>
    <row r="158" customFormat="false" ht="13.15" hidden="false" customHeight="false" outlineLevel="0" collapsed="false">
      <c r="A158" s="0" t="str">
        <f aca="false">All!E173</f>
        <v>NWCNY1</v>
      </c>
      <c r="B158" s="0" t="n">
        <f aca="false">All!Y173</f>
        <v>24</v>
      </c>
      <c r="C158" s="0" t="n">
        <f aca="false">IFERROR(VLOOKUP(A158,'Site check'!A:Q,3,0),0)</f>
        <v>0</v>
      </c>
      <c r="D158" s="0" t="n">
        <f aca="false">SUM(B158-C158)</f>
        <v>24</v>
      </c>
    </row>
    <row r="159" customFormat="false" ht="13.15" hidden="false" customHeight="false" outlineLevel="0" collapsed="false">
      <c r="A159" s="0" t="str">
        <f aca="false">All!E174</f>
        <v>NWPDN1</v>
      </c>
      <c r="B159" s="0" t="n">
        <f aca="false">All!Y174</f>
        <v>3</v>
      </c>
      <c r="C159" s="0" t="n">
        <f aca="false">IFERROR(VLOOKUP(A159,'Site check'!A:Q,3,0),0)</f>
        <v>0</v>
      </c>
      <c r="D159" s="0" t="n">
        <f aca="false">SUM(B159-C159)</f>
        <v>3</v>
      </c>
    </row>
    <row r="160" customFormat="false" ht="13.15" hidden="false" customHeight="false" outlineLevel="0" collapsed="false">
      <c r="A160" s="0" t="str">
        <f aca="false">All!E175</f>
        <v>OHB</v>
      </c>
      <c r="B160" s="0" t="n">
        <f aca="false">All!Y175</f>
        <v>31</v>
      </c>
      <c r="C160" s="0" t="n">
        <f aca="false">IFERROR(VLOOKUP(A160,'Site check'!A:Q,3,0),0)</f>
        <v>0</v>
      </c>
      <c r="D160" s="0" t="n">
        <f aca="false">SUM(B160-C160)</f>
        <v>31</v>
      </c>
    </row>
    <row r="161" customFormat="false" ht="13.15" hidden="false" customHeight="false" outlineLevel="0" collapsed="false">
      <c r="A161" s="0" t="str">
        <f aca="false">All!E176</f>
        <v>OHB</v>
      </c>
      <c r="B161" s="0" t="n">
        <f aca="false">All!Y176</f>
        <v>31</v>
      </c>
      <c r="C161" s="0" t="n">
        <f aca="false">IFERROR(VLOOKUP(A161,'Site check'!A:Q,3,0),0)</f>
        <v>0</v>
      </c>
      <c r="D161" s="0" t="n">
        <f aca="false">SUM(B161-C161)</f>
        <v>31</v>
      </c>
    </row>
    <row r="162" customFormat="false" ht="13.15" hidden="false" customHeight="false" outlineLevel="0" collapsed="false">
      <c r="A162" s="0" t="str">
        <f aca="false">All!E177</f>
        <v>OKNN01</v>
      </c>
      <c r="B162" s="0" t="n">
        <f aca="false">All!Y177</f>
        <v>7</v>
      </c>
      <c r="C162" s="0" t="n">
        <f aca="false">IFERROR(VLOOKUP(A162,'Site check'!A:Q,3,0),0)</f>
        <v>0</v>
      </c>
      <c r="D162" s="0" t="n">
        <f aca="false">SUM(B162-C162)</f>
        <v>7</v>
      </c>
    </row>
    <row r="163" customFormat="false" ht="13.15" hidden="false" customHeight="false" outlineLevel="0" collapsed="false">
      <c r="A163" s="0" t="str">
        <f aca="false">All!E178</f>
        <v>OKNN01</v>
      </c>
      <c r="B163" s="0" t="n">
        <f aca="false">All!Y178</f>
        <v>7</v>
      </c>
      <c r="C163" s="0" t="n">
        <f aca="false">IFERROR(VLOOKUP(A163,'Site check'!A:Q,3,0),0)</f>
        <v>0</v>
      </c>
      <c r="D163" s="0" t="n">
        <f aca="false">SUM(B163-C163)</f>
        <v>7</v>
      </c>
    </row>
    <row r="164" customFormat="false" ht="13.15" hidden="false" customHeight="false" outlineLevel="0" collapsed="false">
      <c r="A164" s="0" t="str">
        <f aca="false">All!E179</f>
        <v>PCOTN1</v>
      </c>
      <c r="B164" s="0" t="n">
        <f aca="false">All!Y179</f>
        <v>66</v>
      </c>
      <c r="C164" s="0" t="n">
        <f aca="false">IFERROR(VLOOKUP(A164,'Site check'!A:Q,3,0),0)</f>
        <v>0</v>
      </c>
      <c r="D164" s="0" t="n">
        <f aca="false">SUM(B164-C164)</f>
        <v>66</v>
      </c>
    </row>
    <row r="165" customFormat="false" ht="13.15" hidden="false" customHeight="false" outlineLevel="0" collapsed="false">
      <c r="A165" s="0" t="str">
        <f aca="false">All!E180</f>
        <v>PCOTN1</v>
      </c>
      <c r="B165" s="0" t="n">
        <f aca="false">All!Y180</f>
        <v>66</v>
      </c>
      <c r="C165" s="0" t="n">
        <f aca="false">IFERROR(VLOOKUP(A165,'Site check'!A:Q,3,0),0)</f>
        <v>0</v>
      </c>
      <c r="D165" s="0" t="n">
        <f aca="false">SUM(B165-C165)</f>
        <v>66</v>
      </c>
    </row>
    <row r="166" customFormat="false" ht="13.15" hidden="false" customHeight="false" outlineLevel="0" collapsed="false">
      <c r="A166" s="0" t="str">
        <f aca="false">All!E181</f>
        <v>PCOTN1</v>
      </c>
      <c r="B166" s="0" t="n">
        <f aca="false">All!Y181</f>
        <v>66</v>
      </c>
      <c r="C166" s="0" t="n">
        <f aca="false">IFERROR(VLOOKUP(A166,'Site check'!A:Q,3,0),0)</f>
        <v>0</v>
      </c>
      <c r="D166" s="0" t="n">
        <f aca="false">SUM(B166-C166)</f>
        <v>66</v>
      </c>
    </row>
    <row r="167" customFormat="false" ht="13.15" hidden="false" customHeight="false" outlineLevel="0" collapsed="false">
      <c r="A167" s="0" t="str">
        <f aca="false">All!E182</f>
        <v>PCOTN1</v>
      </c>
      <c r="B167" s="0" t="n">
        <f aca="false">All!Y182</f>
        <v>66</v>
      </c>
      <c r="C167" s="0" t="n">
        <f aca="false">IFERROR(VLOOKUP(A167,'Site check'!A:Q,3,0),0)</f>
        <v>0</v>
      </c>
      <c r="D167" s="0" t="n">
        <f aca="false">SUM(B167-C167)</f>
        <v>66</v>
      </c>
    </row>
    <row r="168" customFormat="false" ht="13.15" hidden="false" customHeight="false" outlineLevel="0" collapsed="false">
      <c r="A168" s="0" t="str">
        <f aca="false">All!E183</f>
        <v>PLY</v>
      </c>
      <c r="B168" s="0" t="n">
        <f aca="false">All!Y183</f>
        <v>49</v>
      </c>
      <c r="C168" s="0" t="n">
        <f aca="false">IFERROR(VLOOKUP(A168,'Site check'!A:Q,3,0),0)</f>
        <v>0</v>
      </c>
      <c r="D168" s="0" t="n">
        <f aca="false">SUM(B168-C168)</f>
        <v>49</v>
      </c>
    </row>
    <row r="169" customFormat="false" ht="13.15" hidden="false" customHeight="false" outlineLevel="0" collapsed="false">
      <c r="A169" s="0" t="str">
        <f aca="false">All!E184</f>
        <v>PLY</v>
      </c>
      <c r="B169" s="0" t="n">
        <f aca="false">All!Y184</f>
        <v>49</v>
      </c>
      <c r="C169" s="0" t="n">
        <f aca="false">IFERROR(VLOOKUP(A169,'Site check'!A:Q,3,0),0)</f>
        <v>0</v>
      </c>
      <c r="D169" s="0" t="n">
        <f aca="false">SUM(B169-C169)</f>
        <v>49</v>
      </c>
    </row>
    <row r="170" customFormat="false" ht="13.15" hidden="false" customHeight="false" outlineLevel="0" collapsed="false">
      <c r="A170" s="0" t="str">
        <f aca="false">All!E185</f>
        <v>PNRTN1</v>
      </c>
      <c r="B170" s="0" t="n">
        <f aca="false">All!Y185</f>
        <v>8</v>
      </c>
      <c r="C170" s="0" t="n">
        <f aca="false">IFERROR(VLOOKUP(A170,'Site check'!A:Q,3,0),0)</f>
        <v>0</v>
      </c>
      <c r="D170" s="0" t="n">
        <f aca="false">SUM(B170-C170)</f>
        <v>8</v>
      </c>
    </row>
    <row r="171" customFormat="false" ht="13.15" hidden="false" customHeight="false" outlineLevel="0" collapsed="false">
      <c r="A171" s="0" t="str">
        <f aca="false">All!E186</f>
        <v>POLN02</v>
      </c>
      <c r="B171" s="0" t="n">
        <f aca="false">All!Y186</f>
        <v>25</v>
      </c>
      <c r="C171" s="0" t="n">
        <f aca="false">IFERROR(VLOOKUP(A171,'Site check'!A:Q,3,0),0)</f>
        <v>0</v>
      </c>
      <c r="D171" s="0" t="n">
        <f aca="false">SUM(B171-C171)</f>
        <v>25</v>
      </c>
    </row>
    <row r="172" customFormat="false" ht="13.15" hidden="false" customHeight="false" outlineLevel="0" collapsed="false">
      <c r="A172" s="0" t="str">
        <f aca="false">All!E187</f>
        <v>POLN02</v>
      </c>
      <c r="B172" s="0" t="n">
        <f aca="false">All!Y187</f>
        <v>25</v>
      </c>
      <c r="C172" s="0" t="n">
        <f aca="false">IFERROR(VLOOKUP(A172,'Site check'!A:Q,3,0),0)</f>
        <v>0</v>
      </c>
      <c r="D172" s="0" t="n">
        <f aca="false">SUM(B172-C172)</f>
        <v>25</v>
      </c>
    </row>
    <row r="173" customFormat="false" ht="13.15" hidden="false" customHeight="false" outlineLevel="0" collapsed="false">
      <c r="A173" s="0" t="str">
        <f aca="false">All!E188</f>
        <v>PRDTB1</v>
      </c>
      <c r="B173" s="0" t="n">
        <f aca="false">All!Y188</f>
        <v>7</v>
      </c>
      <c r="C173" s="0" t="n">
        <f aca="false">IFERROR(VLOOKUP(A173,'Site check'!A:Q,3,0),0)</f>
        <v>0</v>
      </c>
      <c r="D173" s="0" t="n">
        <f aca="false">SUM(B173-C173)</f>
        <v>7</v>
      </c>
    </row>
    <row r="174" customFormat="false" ht="13.15" hidden="false" customHeight="false" outlineLevel="0" collapsed="false">
      <c r="A174" s="0" t="str">
        <f aca="false">All!E189</f>
        <v>PRLN02</v>
      </c>
      <c r="B174" s="0" t="n">
        <f aca="false">All!Y189</f>
        <v>5</v>
      </c>
      <c r="C174" s="0" t="n">
        <f aca="false">IFERROR(VLOOKUP(A174,'Site check'!A:Q,3,0),0)</f>
        <v>0</v>
      </c>
      <c r="D174" s="0" t="n">
        <f aca="false">SUM(B174-C174)</f>
        <v>5</v>
      </c>
    </row>
    <row r="175" customFormat="false" ht="13.15" hidden="false" customHeight="false" outlineLevel="0" collapsed="false">
      <c r="A175" s="0" t="str">
        <f aca="false">All!E190</f>
        <v>PTBTN1</v>
      </c>
      <c r="B175" s="0" t="n">
        <f aca="false">All!Y190</f>
        <v>9</v>
      </c>
      <c r="C175" s="0" t="n">
        <f aca="false">IFERROR(VLOOKUP(A175,'Site check'!A:Q,3,0),0)</f>
        <v>0</v>
      </c>
      <c r="D175" s="0" t="n">
        <f aca="false">SUM(B175-C175)</f>
        <v>9</v>
      </c>
    </row>
    <row r="176" customFormat="false" ht="13.15" hidden="false" customHeight="false" outlineLevel="0" collapsed="false">
      <c r="A176" s="0" t="str">
        <f aca="false">All!E191</f>
        <v>PTHTL1</v>
      </c>
      <c r="B176" s="0" t="n">
        <f aca="false">All!Y191</f>
        <v>3</v>
      </c>
      <c r="C176" s="0" t="n">
        <f aca="false">IFERROR(VLOOKUP(A176,'Site check'!A:Q,3,0),0)</f>
        <v>0</v>
      </c>
      <c r="D176" s="0" t="n">
        <f aca="false">SUM(B176-C176)</f>
        <v>3</v>
      </c>
    </row>
    <row r="177" customFormat="false" ht="13.15" hidden="false" customHeight="false" outlineLevel="0" collapsed="false">
      <c r="A177" s="0" t="str">
        <f aca="false">All!E192</f>
        <v>PTMDN1</v>
      </c>
      <c r="B177" s="0" t="n">
        <f aca="false">All!Y192</f>
        <v>1</v>
      </c>
      <c r="C177" s="0" t="n">
        <f aca="false">IFERROR(VLOOKUP(A177,'Site check'!A:Q,3,0),0)</f>
        <v>0</v>
      </c>
      <c r="D177" s="0" t="n">
        <f aca="false">SUM(B177-C177)</f>
        <v>1</v>
      </c>
    </row>
    <row r="178" customFormat="false" ht="13.15" hidden="false" customHeight="false" outlineLevel="0" collapsed="false">
      <c r="A178" s="0" t="str">
        <f aca="false">All!E193</f>
        <v>PTMN03</v>
      </c>
      <c r="B178" s="0" t="n">
        <f aca="false">All!Y193</f>
        <v>278</v>
      </c>
      <c r="C178" s="0" t="n">
        <f aca="false">IFERROR(VLOOKUP(A178,'Site check'!A:Q,3,0),0)</f>
        <v>0</v>
      </c>
      <c r="D178" s="0" t="n">
        <f aca="false">SUM(B178-C178)</f>
        <v>278</v>
      </c>
    </row>
    <row r="179" customFormat="false" ht="13.15" hidden="false" customHeight="false" outlineLevel="0" collapsed="false">
      <c r="A179" s="0" t="str">
        <f aca="false">All!E194</f>
        <v>RATE02</v>
      </c>
      <c r="B179" s="0" t="n">
        <f aca="false">All!Y194</f>
        <v>3</v>
      </c>
      <c r="C179" s="0" t="n">
        <f aca="false">IFERROR(VLOOKUP(A179,'Site check'!A:Q,3,0),0)</f>
        <v>0</v>
      </c>
      <c r="D179" s="0" t="n">
        <f aca="false">SUM(B179-C179)</f>
        <v>3</v>
      </c>
    </row>
    <row r="180" customFormat="false" ht="13.15" hidden="false" customHeight="false" outlineLevel="0" collapsed="false">
      <c r="A180" s="0" t="str">
        <f aca="false">All!E195</f>
        <v>RATE02</v>
      </c>
      <c r="B180" s="0" t="n">
        <f aca="false">All!Y195</f>
        <v>3</v>
      </c>
      <c r="C180" s="0" t="n">
        <f aca="false">IFERROR(VLOOKUP(A180,'Site check'!A:Q,3,0),0)</f>
        <v>0</v>
      </c>
      <c r="D180" s="0" t="n">
        <f aca="false">SUM(B180-C180)</f>
        <v>3</v>
      </c>
    </row>
    <row r="181" customFormat="false" ht="13.15" hidden="false" customHeight="false" outlineLevel="0" collapsed="false">
      <c r="A181" s="0" t="str">
        <f aca="false">All!E196</f>
        <v>RCR</v>
      </c>
      <c r="B181" s="0" t="n">
        <f aca="false">All!Y196</f>
        <v>17</v>
      </c>
      <c r="C181" s="0" t="n">
        <f aca="false">IFERROR(VLOOKUP(A181,'Site check'!A:Q,3,0),0)</f>
        <v>0</v>
      </c>
      <c r="D181" s="0" t="n">
        <f aca="false">SUM(B181-C181)</f>
        <v>17</v>
      </c>
    </row>
    <row r="182" customFormat="false" ht="13.15" hidden="false" customHeight="false" outlineLevel="0" collapsed="false">
      <c r="A182" s="0" t="str">
        <f aca="false">All!E198</f>
        <v>RDG</v>
      </c>
      <c r="B182" s="0" t="n">
        <f aca="false">All!Y198</f>
        <v>27</v>
      </c>
      <c r="C182" s="0" t="n">
        <f aca="false">IFERROR(VLOOKUP(A182,'Site check'!A:Q,3,0),0)</f>
        <v>0</v>
      </c>
      <c r="D182" s="0" t="n">
        <f aca="false">SUM(B182-C182)</f>
        <v>27</v>
      </c>
    </row>
    <row r="183" customFormat="false" ht="13.15" hidden="false" customHeight="false" outlineLevel="0" collapsed="false">
      <c r="A183" s="0" t="str">
        <f aca="false">All!E199</f>
        <v>RFDN11</v>
      </c>
      <c r="B183" s="0" t="n">
        <f aca="false">All!Y199</f>
        <v>35</v>
      </c>
      <c r="C183" s="0" t="n">
        <f aca="false">IFERROR(VLOOKUP(A183,'Site check'!A:Q,3,0),0)</f>
        <v>0</v>
      </c>
      <c r="D183" s="0" t="n">
        <f aca="false">SUM(B183-C183)</f>
        <v>35</v>
      </c>
    </row>
    <row r="184" customFormat="false" ht="13.15" hidden="false" customHeight="false" outlineLevel="0" collapsed="false">
      <c r="A184" s="0" t="str">
        <f aca="false">All!E200</f>
        <v>SBHN01</v>
      </c>
      <c r="B184" s="0" t="n">
        <f aca="false">All!Y200</f>
        <v>84</v>
      </c>
      <c r="C184" s="0" t="n">
        <f aca="false">IFERROR(VLOOKUP(A184,'Site check'!A:Q,3,0),0)</f>
        <v>0</v>
      </c>
      <c r="D184" s="0" t="n">
        <f aca="false">SUM(B184-C184)</f>
        <v>84</v>
      </c>
    </row>
    <row r="185" customFormat="false" ht="13.15" hidden="false" customHeight="false" outlineLevel="0" collapsed="false">
      <c r="A185" s="0" t="str">
        <f aca="false">All!E201</f>
        <v>SDN</v>
      </c>
      <c r="B185" s="0" t="n">
        <f aca="false">All!Y201</f>
        <v>6</v>
      </c>
      <c r="C185" s="0" t="n">
        <f aca="false">IFERROR(VLOOKUP(A185,'Site check'!A:Q,3,0),0)</f>
        <v>0</v>
      </c>
      <c r="D185" s="0" t="n">
        <f aca="false">SUM(B185-C185)</f>
        <v>6</v>
      </c>
    </row>
    <row r="186" customFormat="false" ht="13.15" hidden="false" customHeight="false" outlineLevel="0" collapsed="false">
      <c r="A186" s="0" t="str">
        <f aca="false">All!E202</f>
        <v>SDNN06</v>
      </c>
      <c r="B186" s="0" t="n">
        <f aca="false">All!Y202</f>
        <v>61</v>
      </c>
      <c r="C186" s="0" t="n">
        <f aca="false">IFERROR(VLOOKUP(A186,'Site check'!A:Q,3,0),0)</f>
        <v>0</v>
      </c>
      <c r="D186" s="0" t="n">
        <f aca="false">SUM(B186-C186)</f>
        <v>61</v>
      </c>
    </row>
    <row r="187" customFormat="false" ht="13.15" hidden="false" customHeight="false" outlineLevel="0" collapsed="false">
      <c r="A187" s="0" t="str">
        <f aca="false">All!E203</f>
        <v>SDNN06</v>
      </c>
      <c r="B187" s="0" t="n">
        <f aca="false">All!Y203</f>
        <v>61</v>
      </c>
      <c r="C187" s="0" t="n">
        <f aca="false">IFERROR(VLOOKUP(A187,'Site check'!A:Q,3,0),0)</f>
        <v>0</v>
      </c>
      <c r="D187" s="0" t="n">
        <f aca="false">SUM(B187-C187)</f>
        <v>61</v>
      </c>
    </row>
    <row r="188" customFormat="false" ht="13.15" hidden="false" customHeight="false" outlineLevel="0" collapsed="false">
      <c r="A188" s="0" t="str">
        <f aca="false">All!E204</f>
        <v>SDNN06</v>
      </c>
      <c r="B188" s="0" t="n">
        <f aca="false">All!Y204</f>
        <v>61</v>
      </c>
      <c r="C188" s="0" t="n">
        <f aca="false">IFERROR(VLOOKUP(A188,'Site check'!A:Q,3,0),0)</f>
        <v>0</v>
      </c>
      <c r="D188" s="0" t="n">
        <f aca="false">SUM(B188-C188)</f>
        <v>61</v>
      </c>
    </row>
    <row r="189" customFormat="false" ht="13.15" hidden="false" customHeight="false" outlineLevel="0" collapsed="false">
      <c r="A189" s="0" t="str">
        <f aca="false">All!E205</f>
        <v>SDNN13</v>
      </c>
      <c r="B189" s="0" t="n">
        <f aca="false">All!Y205</f>
        <v>4</v>
      </c>
      <c r="C189" s="0" t="n">
        <f aca="false">IFERROR(VLOOKUP(A189,'Site check'!A:Q,3,0),0)</f>
        <v>0</v>
      </c>
      <c r="D189" s="0" t="n">
        <f aca="false">SUM(B189-C189)</f>
        <v>4</v>
      </c>
    </row>
    <row r="190" customFormat="false" ht="13.15" hidden="false" customHeight="false" outlineLevel="0" collapsed="false">
      <c r="A190" s="0" t="str">
        <f aca="false">All!E206</f>
        <v>SHD</v>
      </c>
      <c r="B190" s="0" t="n">
        <f aca="false">All!Y206</f>
        <v>6</v>
      </c>
      <c r="C190" s="0" t="n">
        <f aca="false">IFERROR(VLOOKUP(A190,'Site check'!A:Q,3,0),0)</f>
        <v>0</v>
      </c>
      <c r="D190" s="0" t="n">
        <f aca="false">SUM(B190-C190)</f>
        <v>6</v>
      </c>
    </row>
    <row r="191" customFormat="false" ht="13.15" hidden="false" customHeight="false" outlineLevel="0" collapsed="false">
      <c r="A191" s="0" t="str">
        <f aca="false">All!E207</f>
        <v>SHDTR1</v>
      </c>
      <c r="B191" s="0" t="n">
        <f aca="false">All!Y207</f>
        <v>21</v>
      </c>
      <c r="C191" s="0" t="n">
        <f aca="false">IFERROR(VLOOKUP(A191,'Site check'!A:Q,3,0),0)</f>
        <v>0</v>
      </c>
      <c r="D191" s="0" t="n">
        <f aca="false">SUM(B191-C191)</f>
        <v>21</v>
      </c>
    </row>
    <row r="192" customFormat="false" ht="13.15" hidden="false" customHeight="false" outlineLevel="0" collapsed="false">
      <c r="A192" s="0" t="str">
        <f aca="false">All!E208</f>
        <v>SHTN03</v>
      </c>
      <c r="B192" s="0" t="n">
        <f aca="false">All!Y208</f>
        <v>69</v>
      </c>
      <c r="C192" s="0" t="n">
        <f aca="false">IFERROR(VLOOKUP(A192,'Site check'!A:Q,3,0),0)</f>
        <v>0</v>
      </c>
      <c r="D192" s="0" t="n">
        <f aca="false">SUM(B192-C192)</f>
        <v>69</v>
      </c>
    </row>
    <row r="193" customFormat="false" ht="13.15" hidden="false" customHeight="false" outlineLevel="0" collapsed="false">
      <c r="A193" s="0" t="str">
        <f aca="false">All!E209</f>
        <v>SLO</v>
      </c>
      <c r="B193" s="0" t="n">
        <f aca="false">All!Y209</f>
        <v>13</v>
      </c>
      <c r="C193" s="0" t="n">
        <f aca="false">IFERROR(VLOOKUP(A193,'Site check'!A:Q,3,0),0)</f>
        <v>0</v>
      </c>
      <c r="D193" s="0" t="n">
        <f aca="false">SUM(B193-C193)</f>
        <v>13</v>
      </c>
    </row>
    <row r="194" customFormat="false" ht="13.15" hidden="false" customHeight="false" outlineLevel="0" collapsed="false">
      <c r="A194" s="0" t="str">
        <f aca="false">All!E210</f>
        <v>SMHN02</v>
      </c>
      <c r="B194" s="0" t="n">
        <f aca="false">All!Y210</f>
        <v>3</v>
      </c>
      <c r="C194" s="0" t="n">
        <f aca="false">IFERROR(VLOOKUP(A194,'Site check'!A:Q,3,0),0)</f>
        <v>0</v>
      </c>
      <c r="D194" s="0" t="n">
        <f aca="false">SUM(B194-C194)</f>
        <v>3</v>
      </c>
    </row>
    <row r="195" customFormat="false" ht="13.15" hidden="false" customHeight="false" outlineLevel="0" collapsed="false">
      <c r="A195" s="0" t="str">
        <f aca="false">All!E211</f>
        <v>SNDTM1</v>
      </c>
      <c r="B195" s="0" t="n">
        <f aca="false">All!Y211</f>
        <v>9</v>
      </c>
      <c r="C195" s="0" t="n">
        <f aca="false">IFERROR(VLOOKUP(A195,'Site check'!A:Q,3,0),0)</f>
        <v>0</v>
      </c>
      <c r="D195" s="0" t="n">
        <f aca="false">SUM(B195-C195)</f>
        <v>9</v>
      </c>
    </row>
    <row r="196" customFormat="false" ht="13.15" hidden="false" customHeight="false" outlineLevel="0" collapsed="false">
      <c r="A196" s="0" t="str">
        <f aca="false">All!E212</f>
        <v>SOLN02</v>
      </c>
      <c r="B196" s="0" t="n">
        <f aca="false">All!Y212</f>
        <v>38</v>
      </c>
      <c r="C196" s="0" t="n">
        <f aca="false">IFERROR(VLOOKUP(A196,'Site check'!A:Q,3,0),0)</f>
        <v>0</v>
      </c>
      <c r="D196" s="0" t="n">
        <f aca="false">SUM(B196-C196)</f>
        <v>38</v>
      </c>
    </row>
    <row r="197" customFormat="false" ht="13.15" hidden="false" customHeight="false" outlineLevel="0" collapsed="false">
      <c r="A197" s="0" t="str">
        <f aca="false">All!E213</f>
        <v>SOSTN1</v>
      </c>
      <c r="B197" s="0" t="n">
        <f aca="false">All!Y213</f>
        <v>30</v>
      </c>
      <c r="C197" s="0" t="n">
        <f aca="false">IFERROR(VLOOKUP(A197,'Site check'!A:Q,3,0),0)</f>
        <v>0</v>
      </c>
      <c r="D197" s="0" t="n">
        <f aca="false">SUM(B197-C197)</f>
        <v>30</v>
      </c>
    </row>
    <row r="198" customFormat="false" ht="13.15" hidden="false" customHeight="false" outlineLevel="0" collapsed="false">
      <c r="A198" s="0" t="str">
        <f aca="false">All!E214</f>
        <v>SOT</v>
      </c>
      <c r="B198" s="0" t="n">
        <f aca="false">All!Y214</f>
        <v>22</v>
      </c>
      <c r="C198" s="0" t="n">
        <f aca="false">IFERROR(VLOOKUP(A198,'Site check'!A:Q,3,0),0)</f>
        <v>0</v>
      </c>
      <c r="D198" s="0" t="n">
        <f aca="false">SUM(B198-C198)</f>
        <v>22</v>
      </c>
    </row>
    <row r="199" customFormat="false" ht="13.15" hidden="false" customHeight="false" outlineLevel="0" collapsed="false">
      <c r="A199" s="0" t="str">
        <f aca="false">All!E215</f>
        <v>SQYN01</v>
      </c>
      <c r="B199" s="0" t="n">
        <f aca="false">All!Y215</f>
        <v>104</v>
      </c>
      <c r="C199" s="0" t="n">
        <f aca="false">IFERROR(VLOOKUP(A199,'Site check'!A:Q,3,0),0)</f>
        <v>0</v>
      </c>
      <c r="D199" s="0" t="n">
        <f aca="false">SUM(B199-C199)</f>
        <v>104</v>
      </c>
    </row>
    <row r="200" customFormat="false" ht="13.15" hidden="false" customHeight="false" outlineLevel="0" collapsed="false">
      <c r="A200" s="0" t="str">
        <f aca="false">All!E216</f>
        <v>SQYN01</v>
      </c>
      <c r="B200" s="0" t="n">
        <f aca="false">All!Y216</f>
        <v>104</v>
      </c>
      <c r="C200" s="0" t="n">
        <f aca="false">IFERROR(VLOOKUP(A200,'Site check'!A:Q,3,0),0)</f>
        <v>0</v>
      </c>
      <c r="D200" s="0" t="n">
        <f aca="false">SUM(B200-C200)</f>
        <v>104</v>
      </c>
    </row>
    <row r="201" customFormat="false" ht="13.15" hidden="false" customHeight="false" outlineLevel="0" collapsed="false">
      <c r="A201" s="0" t="str">
        <f aca="false">All!E217</f>
        <v>SQYN01</v>
      </c>
      <c r="B201" s="0" t="n">
        <f aca="false">All!Y217</f>
        <v>104</v>
      </c>
      <c r="C201" s="0" t="n">
        <f aca="false">IFERROR(VLOOKUP(A201,'Site check'!A:Q,3,0),0)</f>
        <v>0</v>
      </c>
      <c r="D201" s="0" t="n">
        <f aca="false">SUM(B201-C201)</f>
        <v>104</v>
      </c>
    </row>
    <row r="202" customFormat="false" ht="13.15" hidden="false" customHeight="false" outlineLevel="0" collapsed="false">
      <c r="A202" s="0" t="str">
        <f aca="false">All!E218</f>
        <v>SQYN02</v>
      </c>
      <c r="B202" s="0" t="n">
        <f aca="false">All!Y218</f>
        <v>94</v>
      </c>
      <c r="C202" s="0" t="n">
        <f aca="false">IFERROR(VLOOKUP(A202,'Site check'!A:Q,3,0),0)</f>
        <v>0</v>
      </c>
      <c r="D202" s="0" t="n">
        <f aca="false">SUM(B202-C202)</f>
        <v>94</v>
      </c>
    </row>
    <row r="203" customFormat="false" ht="13.15" hidden="false" customHeight="false" outlineLevel="0" collapsed="false">
      <c r="A203" s="0" t="str">
        <f aca="false">All!E219</f>
        <v>SQYN02</v>
      </c>
      <c r="B203" s="0" t="n">
        <f aca="false">All!Y219</f>
        <v>94</v>
      </c>
      <c r="C203" s="0" t="n">
        <f aca="false">IFERROR(VLOOKUP(A203,'Site check'!A:Q,3,0),0)</f>
        <v>0</v>
      </c>
      <c r="D203" s="0" t="n">
        <f aca="false">SUM(B203-C203)</f>
        <v>94</v>
      </c>
    </row>
    <row r="204" customFormat="false" ht="13.15" hidden="false" customHeight="false" outlineLevel="0" collapsed="false">
      <c r="A204" s="0" t="str">
        <f aca="false">All!E220</f>
        <v>SQYN02</v>
      </c>
      <c r="B204" s="0" t="n">
        <f aca="false">All!Y220</f>
        <v>94</v>
      </c>
      <c r="C204" s="0" t="n">
        <f aca="false">IFERROR(VLOOKUP(A204,'Site check'!A:Q,3,0),0)</f>
        <v>0</v>
      </c>
      <c r="D204" s="0" t="n">
        <f aca="false">SUM(B204-C204)</f>
        <v>94</v>
      </c>
    </row>
    <row r="205" customFormat="false" ht="13.15" hidden="false" customHeight="false" outlineLevel="0" collapsed="false">
      <c r="A205" s="0" t="str">
        <f aca="false">All!E221</f>
        <v>SQYN02</v>
      </c>
      <c r="B205" s="0" t="n">
        <f aca="false">All!Y221</f>
        <v>94</v>
      </c>
      <c r="C205" s="0" t="n">
        <f aca="false">IFERROR(VLOOKUP(A205,'Site check'!A:Q,3,0),0)</f>
        <v>0</v>
      </c>
      <c r="D205" s="0" t="n">
        <f aca="false">SUM(B205-C205)</f>
        <v>94</v>
      </c>
    </row>
    <row r="206" customFormat="false" ht="13.15" hidden="false" customHeight="false" outlineLevel="0" collapsed="false">
      <c r="A206" s="0" t="str">
        <f aca="false">All!E222</f>
        <v>STEDN1</v>
      </c>
      <c r="B206" s="0" t="n">
        <f aca="false">All!Y222</f>
        <v>1</v>
      </c>
      <c r="C206" s="0" t="n">
        <f aca="false">IFERROR(VLOOKUP(A206,'Site check'!A:Q,3,0),0)</f>
        <v>0</v>
      </c>
      <c r="D206" s="0" t="n">
        <f aca="false">SUM(B206-C206)</f>
        <v>1</v>
      </c>
    </row>
    <row r="207" customFormat="false" ht="13.15" hidden="false" customHeight="false" outlineLevel="0" collapsed="false">
      <c r="A207" s="0" t="str">
        <f aca="false">All!E223</f>
        <v>STGCD1</v>
      </c>
      <c r="B207" s="0" t="n">
        <f aca="false">All!Y223</f>
        <v>13</v>
      </c>
      <c r="C207" s="0" t="n">
        <f aca="false">IFERROR(VLOOKUP(A207,'Site check'!A:Q,3,0),0)</f>
        <v>0</v>
      </c>
      <c r="D207" s="0" t="n">
        <f aca="false">SUM(B207-C207)</f>
        <v>13</v>
      </c>
    </row>
    <row r="208" customFormat="false" ht="13.15" hidden="false" customHeight="false" outlineLevel="0" collapsed="false">
      <c r="A208" s="0" t="str">
        <f aca="false">All!E224</f>
        <v>SWNN03</v>
      </c>
      <c r="B208" s="0" t="n">
        <f aca="false">All!Y224</f>
        <v>5</v>
      </c>
      <c r="C208" s="0" t="n">
        <f aca="false">IFERROR(VLOOKUP(A208,'Site check'!A:Q,3,0),0)</f>
        <v>0</v>
      </c>
      <c r="D208" s="0" t="n">
        <f aca="false">SUM(B208-C208)</f>
        <v>5</v>
      </c>
    </row>
    <row r="209" customFormat="false" ht="13.15" hidden="false" customHeight="false" outlineLevel="0" collapsed="false">
      <c r="A209" s="0" t="str">
        <f aca="false">All!E225</f>
        <v>SWY</v>
      </c>
      <c r="B209" s="0" t="n">
        <f aca="false">All!Y225</f>
        <v>13</v>
      </c>
      <c r="C209" s="0" t="n">
        <f aca="false">IFERROR(VLOOKUP(A209,'Site check'!A:Q,3,0),0)</f>
        <v>0</v>
      </c>
      <c r="D209" s="0" t="n">
        <f aca="false">SUM(B209-C209)</f>
        <v>13</v>
      </c>
    </row>
    <row r="210" customFormat="false" ht="13.15" hidden="false" customHeight="false" outlineLevel="0" collapsed="false">
      <c r="A210" s="0" t="str">
        <f aca="false">All!E226</f>
        <v>TELHS1</v>
      </c>
      <c r="B210" s="0" t="n">
        <f aca="false">All!Y226</f>
        <v>2</v>
      </c>
      <c r="C210" s="0" t="n">
        <f aca="false">IFERROR(VLOOKUP(A210,'Site check'!A:Q,3,0),0)</f>
        <v>0</v>
      </c>
      <c r="D210" s="0" t="n">
        <f aca="false">SUM(B210-C210)</f>
        <v>2</v>
      </c>
    </row>
    <row r="211" customFormat="false" ht="13.15" hidden="false" customHeight="false" outlineLevel="0" collapsed="false">
      <c r="A211" s="0" t="str">
        <f aca="false">All!E227</f>
        <v>TELHS1</v>
      </c>
      <c r="B211" s="0" t="n">
        <f aca="false">All!Y227</f>
        <v>2</v>
      </c>
      <c r="C211" s="0" t="n">
        <f aca="false">IFERROR(VLOOKUP(A211,'Site check'!A:Q,3,0),0)</f>
        <v>0</v>
      </c>
      <c r="D211" s="0" t="n">
        <f aca="false">SUM(B211-C211)</f>
        <v>2</v>
      </c>
    </row>
    <row r="212" customFormat="false" ht="13.15" hidden="false" customHeight="false" outlineLevel="0" collapsed="false">
      <c r="A212" s="0" t="str">
        <f aca="false">All!E228</f>
        <v>TELHS1</v>
      </c>
      <c r="B212" s="0" t="n">
        <f aca="false">All!Y228</f>
        <v>2</v>
      </c>
      <c r="C212" s="0" t="n">
        <f aca="false">IFERROR(VLOOKUP(A212,'Site check'!A:Q,3,0),0)</f>
        <v>0</v>
      </c>
      <c r="D212" s="0" t="n">
        <f aca="false">SUM(B212-C212)</f>
        <v>2</v>
      </c>
    </row>
    <row r="213" customFormat="false" ht="13.15" hidden="false" customHeight="false" outlineLevel="0" collapsed="false">
      <c r="A213" s="0" t="str">
        <f aca="false">All!E229</f>
        <v>TELHS1</v>
      </c>
      <c r="B213" s="0" t="n">
        <f aca="false">All!Y229</f>
        <v>2</v>
      </c>
      <c r="C213" s="0" t="n">
        <f aca="false">IFERROR(VLOOKUP(A213,'Site check'!A:Q,3,0),0)</f>
        <v>0</v>
      </c>
      <c r="D213" s="0" t="n">
        <f aca="false">SUM(B213-C213)</f>
        <v>2</v>
      </c>
    </row>
    <row r="214" customFormat="false" ht="13.15" hidden="false" customHeight="false" outlineLevel="0" collapsed="false">
      <c r="A214" s="0" t="str">
        <f aca="false">All!E230</f>
        <v>TELHS2</v>
      </c>
      <c r="B214" s="0" t="n">
        <f aca="false">All!Y230</f>
        <v>0</v>
      </c>
      <c r="C214" s="0" t="n">
        <f aca="false">IFERROR(VLOOKUP(A214,'Site check'!A:Q,3,0),0)</f>
        <v>0</v>
      </c>
      <c r="D214" s="0" t="n">
        <f aca="false">SUM(B214-C214)</f>
        <v>0</v>
      </c>
    </row>
    <row r="215" customFormat="false" ht="13.15" hidden="false" customHeight="false" outlineLevel="0" collapsed="false">
      <c r="A215" s="0" t="str">
        <f aca="false">All!E231</f>
        <v>TGYN04</v>
      </c>
      <c r="B215" s="0" t="n">
        <f aca="false">All!Y231</f>
        <v>6</v>
      </c>
      <c r="C215" s="0" t="n">
        <f aca="false">IFERROR(VLOOKUP(A215,'Site check'!A:Q,3,0),0)</f>
        <v>0</v>
      </c>
      <c r="D215" s="0" t="n">
        <f aca="false">SUM(B215-C215)</f>
        <v>6</v>
      </c>
    </row>
    <row r="216" customFormat="false" ht="13.15" hidden="false" customHeight="false" outlineLevel="0" collapsed="false">
      <c r="A216" s="0" t="str">
        <f aca="false">All!E232</f>
        <v>TGYN04</v>
      </c>
      <c r="B216" s="0" t="n">
        <f aca="false">All!Y232</f>
        <v>6</v>
      </c>
      <c r="C216" s="0" t="n">
        <f aca="false">IFERROR(VLOOKUP(A216,'Site check'!A:Q,3,0),0)</f>
        <v>0</v>
      </c>
      <c r="D216" s="0" t="n">
        <f aca="false">SUM(B216-C216)</f>
        <v>6</v>
      </c>
    </row>
    <row r="217" customFormat="false" ht="13.15" hidden="false" customHeight="false" outlineLevel="0" collapsed="false">
      <c r="A217" s="0" t="str">
        <f aca="false">All!E234</f>
        <v>TNTTN1</v>
      </c>
      <c r="B217" s="0" t="n">
        <f aca="false">All!Y234</f>
        <v>55</v>
      </c>
      <c r="C217" s="0" t="n">
        <f aca="false">IFERROR(VLOOKUP(A217,'Site check'!A:Q,3,0),0)</f>
        <v>0</v>
      </c>
      <c r="D217" s="0" t="n">
        <f aca="false">SUM(B217-C217)</f>
        <v>55</v>
      </c>
    </row>
    <row r="218" customFormat="false" ht="13.15" hidden="false" customHeight="false" outlineLevel="0" collapsed="false">
      <c r="A218" s="0" t="str">
        <f aca="false">All!E235</f>
        <v>TNTTN1</v>
      </c>
      <c r="B218" s="0" t="n">
        <f aca="false">All!Y235</f>
        <v>55</v>
      </c>
      <c r="C218" s="0" t="n">
        <f aca="false">IFERROR(VLOOKUP(A218,'Site check'!A:Q,3,0),0)</f>
        <v>0</v>
      </c>
      <c r="D218" s="0" t="n">
        <f aca="false">SUM(B218-C218)</f>
        <v>55</v>
      </c>
    </row>
    <row r="219" customFormat="false" ht="13.15" hidden="false" customHeight="false" outlineLevel="0" collapsed="false">
      <c r="A219" s="0" t="str">
        <f aca="false">All!E236</f>
        <v>TRON01</v>
      </c>
      <c r="B219" s="0" t="n">
        <f aca="false">All!Y236</f>
        <v>65</v>
      </c>
      <c r="C219" s="0" t="n">
        <f aca="false">IFERROR(VLOOKUP(A219,'Site check'!A:Q,3,0),0)</f>
        <v>0</v>
      </c>
      <c r="D219" s="0" t="n">
        <f aca="false">SUM(B219-C219)</f>
        <v>65</v>
      </c>
    </row>
    <row r="220" customFormat="false" ht="13.15" hidden="false" customHeight="false" outlineLevel="0" collapsed="false">
      <c r="A220" s="0" t="str">
        <f aca="false">All!E237</f>
        <v>VHXN02</v>
      </c>
      <c r="B220" s="0" t="n">
        <f aca="false">All!Y237</f>
        <v>1</v>
      </c>
      <c r="C220" s="0" t="n">
        <f aca="false">IFERROR(VLOOKUP(A220,'Site check'!A:Q,3,0),0)</f>
        <v>0</v>
      </c>
      <c r="D220" s="0" t="n">
        <f aca="false">SUM(B220-C220)</f>
        <v>1</v>
      </c>
    </row>
    <row r="221" customFormat="false" ht="13.15" hidden="false" customHeight="false" outlineLevel="0" collapsed="false">
      <c r="A221" s="0" t="str">
        <f aca="false">All!E238</f>
        <v>WADN01</v>
      </c>
      <c r="B221" s="0" t="n">
        <f aca="false">All!Y238</f>
        <v>8</v>
      </c>
      <c r="C221" s="0" t="n">
        <f aca="false">IFERROR(VLOOKUP(A221,'Site check'!A:Q,3,0),0)</f>
        <v>0</v>
      </c>
      <c r="D221" s="0" t="n">
        <f aca="false">SUM(B221-C221)</f>
        <v>8</v>
      </c>
    </row>
    <row r="222" customFormat="false" ht="13.15" hidden="false" customHeight="false" outlineLevel="0" collapsed="false">
      <c r="A222" s="0" t="str">
        <f aca="false">All!E239</f>
        <v>WAHP06</v>
      </c>
      <c r="B222" s="0" t="n">
        <f aca="false">All!Y239</f>
        <v>9</v>
      </c>
      <c r="C222" s="0" t="n">
        <f aca="false">IFERROR(VLOOKUP(A222,'Site check'!A:Q,3,0),0)</f>
        <v>0</v>
      </c>
      <c r="D222" s="0" t="n">
        <f aca="false">SUM(B222-C222)</f>
        <v>9</v>
      </c>
    </row>
    <row r="223" customFormat="false" ht="13.15" hidden="false" customHeight="false" outlineLevel="0" collapsed="false">
      <c r="A223" s="0" t="str">
        <f aca="false">All!E241</f>
        <v>WAHP03</v>
      </c>
      <c r="B223" s="0" t="n">
        <f aca="false">All!Y241</f>
        <v>64</v>
      </c>
      <c r="C223" s="0" t="n">
        <f aca="false">IFERROR(VLOOKUP(A223,'Site check'!A:Q,3,0),0)</f>
        <v>0</v>
      </c>
      <c r="D223" s="0" t="n">
        <f aca="false">SUM(B223-C223)</f>
        <v>64</v>
      </c>
    </row>
    <row r="224" customFormat="false" ht="13.15" hidden="false" customHeight="false" outlineLevel="0" collapsed="false">
      <c r="A224" s="0" t="e">
        <f aca="false">all!#ref!</f>
        <v>#NAME?</v>
      </c>
      <c r="B224" s="0" t="e">
        <f aca="false">all!#ref!</f>
        <v>#NAME?</v>
      </c>
      <c r="C224" s="0" t="n">
        <f aca="false">IFERROR(VLOOKUP(A224,'Site check'!A:Q,3,0),0)</f>
        <v>0</v>
      </c>
      <c r="D224" s="0" t="e">
        <f aca="false">SUM(B224-C224)</f>
        <v>#NAME?</v>
      </c>
    </row>
    <row r="225" customFormat="false" ht="13.15" hidden="false" customHeight="false" outlineLevel="0" collapsed="false">
      <c r="A225" s="0" t="str">
        <f aca="false">All!E242</f>
        <v>WAHP03</v>
      </c>
      <c r="B225" s="0" t="n">
        <f aca="false">All!Y242</f>
        <v>64</v>
      </c>
      <c r="C225" s="0" t="n">
        <f aca="false">IFERROR(VLOOKUP(A225,'Site check'!A:Q,3,0),0)</f>
        <v>0</v>
      </c>
      <c r="D225" s="0" t="n">
        <f aca="false">SUM(B225-C225)</f>
        <v>64</v>
      </c>
    </row>
    <row r="226" customFormat="false" ht="13.15" hidden="false" customHeight="false" outlineLevel="0" collapsed="false">
      <c r="A226" s="0" t="str">
        <f aca="false">All!E243</f>
        <v>WAIP06</v>
      </c>
      <c r="B226" s="0" t="n">
        <f aca="false">All!Y243</f>
        <v>6</v>
      </c>
      <c r="C226" s="0" t="n">
        <f aca="false">IFERROR(VLOOKUP(A226,'Site check'!A:Q,3,0),0)</f>
        <v>0</v>
      </c>
      <c r="D226" s="0" t="n">
        <f aca="false">SUM(B226-C226)</f>
        <v>6</v>
      </c>
    </row>
    <row r="227" customFormat="false" ht="13.15" hidden="false" customHeight="false" outlineLevel="0" collapsed="false">
      <c r="A227" s="0" t="str">
        <f aca="false">All!E244</f>
        <v>WCKTR1</v>
      </c>
      <c r="B227" s="0" t="n">
        <f aca="false">All!Y244</f>
        <v>5</v>
      </c>
      <c r="C227" s="0" t="n">
        <f aca="false">IFERROR(VLOOKUP(A227,'Site check'!A:Q,3,0),0)</f>
        <v>0</v>
      </c>
      <c r="D227" s="0" t="n">
        <f aca="false">SUM(B227-C227)</f>
        <v>5</v>
      </c>
    </row>
    <row r="228" customFormat="false" ht="13.15" hidden="false" customHeight="false" outlineLevel="0" collapsed="false">
      <c r="A228" s="0" t="str">
        <f aca="false">All!E245</f>
        <v>WHD</v>
      </c>
      <c r="B228" s="0" t="n">
        <f aca="false">All!Y245</f>
        <v>1</v>
      </c>
      <c r="C228" s="0" t="n">
        <f aca="false">IFERROR(VLOOKUP(A228,'Site check'!A:Q,3,0),0)</f>
        <v>0</v>
      </c>
      <c r="D228" s="0" t="n">
        <f aca="false">SUM(B228-C228)</f>
        <v>1</v>
      </c>
    </row>
    <row r="229" customFormat="false" ht="13.15" hidden="false" customHeight="false" outlineLevel="0" collapsed="false">
      <c r="A229" s="0" t="str">
        <f aca="false">All!E246</f>
        <v>WHHN03</v>
      </c>
      <c r="B229" s="0" t="n">
        <f aca="false">All!Y246</f>
        <v>77</v>
      </c>
      <c r="C229" s="0" t="n">
        <f aca="false">IFERROR(VLOOKUP(A229,'Site check'!A:Q,3,0),0)</f>
        <v>0</v>
      </c>
      <c r="D229" s="0" t="n">
        <f aca="false">SUM(B229-C229)</f>
        <v>77</v>
      </c>
    </row>
    <row r="230" customFormat="false" ht="13.15" hidden="false" customHeight="false" outlineLevel="0" collapsed="false">
      <c r="A230" s="0" t="str">
        <f aca="false">All!E247</f>
        <v>WKGN01</v>
      </c>
      <c r="B230" s="0" t="n">
        <f aca="false">All!Y247</f>
        <v>34</v>
      </c>
      <c r="C230" s="0" t="n">
        <f aca="false">IFERROR(VLOOKUP(A230,'Site check'!A:Q,3,0),0)</f>
        <v>0</v>
      </c>
      <c r="D230" s="0" t="n">
        <f aca="false">SUM(B230-C230)</f>
        <v>34</v>
      </c>
    </row>
    <row r="231" customFormat="false" ht="13.15" hidden="false" customHeight="false" outlineLevel="0" collapsed="false">
      <c r="A231" s="0" t="str">
        <f aca="false">All!E248</f>
        <v>WONTL1</v>
      </c>
      <c r="B231" s="0" t="n">
        <f aca="false">All!Y248</f>
        <v>1</v>
      </c>
      <c r="C231" s="0" t="n">
        <f aca="false">IFERROR(VLOOKUP(A231,'Site check'!A:Q,3,0),0)</f>
        <v>0</v>
      </c>
      <c r="D231" s="0" t="n">
        <f aca="false">SUM(B231-C231)</f>
        <v>1</v>
      </c>
    </row>
    <row r="232" customFormat="false" ht="13.15" hidden="false" customHeight="false" outlineLevel="0" collapsed="false">
      <c r="A232" s="0" t="e">
        <f aca="false">all!#ref!</f>
        <v>#NAME?</v>
      </c>
      <c r="B232" s="0" t="e">
        <f aca="false">all!#ref!</f>
        <v>#NAME?</v>
      </c>
      <c r="C232" s="0" t="n">
        <f aca="false">IFERROR(VLOOKUP(A232,'Site check'!A:Q,3,0),0)</f>
        <v>0</v>
      </c>
      <c r="D232" s="0" t="e">
        <f aca="false">SUM(B232-C232)</f>
        <v>#NAME?</v>
      </c>
    </row>
    <row r="233" customFormat="false" ht="13.15" hidden="false" customHeight="false" outlineLevel="0" collapsed="false">
      <c r="A233" s="0" t="str">
        <f aca="false">All!E249</f>
        <v>WTNTK1</v>
      </c>
      <c r="B233" s="0" t="n">
        <f aca="false">All!Y249</f>
        <v>34</v>
      </c>
      <c r="C233" s="0" t="n">
        <f aca="false">IFERROR(VLOOKUP(A233,'Site check'!A:Q,3,0),0)</f>
        <v>0</v>
      </c>
      <c r="D233" s="0" t="n">
        <f aca="false">SUM(B233-C233)</f>
        <v>34</v>
      </c>
    </row>
    <row r="234" customFormat="false" ht="13.15" hidden="false" customHeight="false" outlineLevel="0" collapsed="false">
      <c r="A234" s="0" t="str">
        <f aca="false">All!E250</f>
        <v>WTT</v>
      </c>
      <c r="B234" s="0" t="n">
        <f aca="false">All!Y250</f>
        <v>42</v>
      </c>
      <c r="C234" s="0" t="n">
        <f aca="false">IFERROR(VLOOKUP(A234,'Site check'!A:Q,3,0),0)</f>
        <v>0</v>
      </c>
      <c r="D234" s="0" t="n">
        <f aca="false">SUM(B234-C234)</f>
        <v>42</v>
      </c>
    </row>
    <row r="235" customFormat="false" ht="13.15" hidden="false" customHeight="false" outlineLevel="0" collapsed="false">
      <c r="A235" s="0" t="str">
        <f aca="false">All!E251</f>
        <v>WVHTF1</v>
      </c>
      <c r="B235" s="0" t="n">
        <f aca="false">All!Y251</f>
        <v>12</v>
      </c>
      <c r="C235" s="0" t="n">
        <f aca="false">IFERROR(VLOOKUP(A235,'Site check'!A:Q,3,0),0)</f>
        <v>0</v>
      </c>
      <c r="D235" s="0" t="n">
        <f aca="false">SUM(B235-C235)</f>
        <v>12</v>
      </c>
    </row>
    <row r="236" customFormat="false" ht="13.15" hidden="false" customHeight="false" outlineLevel="0" collapsed="false">
      <c r="A236" s="0" t="str">
        <f aca="false">All!E252</f>
        <v>YRK</v>
      </c>
      <c r="B236" s="0" t="n">
        <f aca="false">All!Y252</f>
        <v>67</v>
      </c>
      <c r="C236" s="0" t="n">
        <f aca="false">IFERROR(VLOOKUP(A236,'Site check'!A:Q,3,0),0)</f>
        <v>0</v>
      </c>
      <c r="D236" s="0" t="n">
        <f aca="false">SUM(B236-C236)</f>
        <v>67</v>
      </c>
    </row>
    <row r="237" customFormat="false" ht="13.15" hidden="false" customHeight="false" outlineLevel="0" collapsed="false">
      <c r="A237" s="0" t="str">
        <f aca="false">All!E253</f>
        <v>YRKTH1</v>
      </c>
      <c r="B237" s="0" t="n">
        <f aca="false">All!Y253</f>
        <v>42</v>
      </c>
      <c r="C237" s="0" t="n">
        <f aca="false">IFERROR(VLOOKUP(A237,'Site check'!A:Q,3,0),0)</f>
        <v>0</v>
      </c>
      <c r="D237" s="0" t="n">
        <f aca="false">SUM(B237-C237)</f>
        <v>42</v>
      </c>
    </row>
    <row r="238" customFormat="false" ht="13.15" hidden="false" customHeight="false" outlineLevel="0" collapsed="false">
      <c r="A238" s="0" t="e">
        <f aca="false">all!#ref!</f>
        <v>#NAME?</v>
      </c>
      <c r="B238" s="0" t="e">
        <f aca="false">all!#ref!</f>
        <v>#NAME?</v>
      </c>
      <c r="C238" s="0" t="n">
        <f aca="false">IFERROR(VLOOKUP(A238,'Site check'!A:Q,3,0),0)</f>
        <v>0</v>
      </c>
      <c r="D238" s="0" t="e">
        <f aca="false">SUM(B238-C238)</f>
        <v>#NAME?</v>
      </c>
    </row>
    <row r="239" customFormat="false" ht="13.15" hidden="false" customHeight="false" outlineLevel="0" collapsed="false">
      <c r="A239" s="0" t="str">
        <f aca="false">All!E254</f>
        <v>CYNTN2</v>
      </c>
      <c r="B239" s="0" t="n">
        <f aca="false">All!Y254</f>
        <v>42</v>
      </c>
      <c r="C239" s="0" t="n">
        <f aca="false">IFERROR(VLOOKUP(A239,'Site check'!A:Q,3,0),0)</f>
        <v>0</v>
      </c>
      <c r="D239" s="0" t="n">
        <f aca="false">SUM(B239-C239)</f>
        <v>42</v>
      </c>
    </row>
    <row r="240" customFormat="false" ht="13.15" hidden="false" customHeight="false" outlineLevel="0" collapsed="false">
      <c r="A240" s="0" t="str">
        <f aca="false">All!E255</f>
        <v>VHXINT</v>
      </c>
      <c r="B240" s="0" t="n">
        <f aca="false">All!Y255</f>
        <v>5</v>
      </c>
      <c r="C240" s="0" t="n">
        <f aca="false">IFERROR(VLOOKUP(A240,'Site check'!A:Q,3,0),0)</f>
        <v>0</v>
      </c>
      <c r="D240" s="0" t="n">
        <f aca="false">SUM(B240-C240)</f>
        <v>5</v>
      </c>
    </row>
    <row r="241" customFormat="false" ht="13.15" hidden="false" customHeight="false" outlineLevel="0" collapsed="false">
      <c r="A241" s="0" t="str">
        <f aca="false">All!E256</f>
        <v>BSHN08</v>
      </c>
      <c r="B241" s="0" t="n">
        <f aca="false">All!Y256</f>
        <v>16</v>
      </c>
      <c r="C241" s="0" t="n">
        <f aca="false">IFERROR(VLOOKUP(A241,'Site check'!A:Q,3,0),0)</f>
        <v>0</v>
      </c>
      <c r="D241" s="0" t="n">
        <f aca="false">SUM(B241-C241)</f>
        <v>16</v>
      </c>
    </row>
    <row r="242" customFormat="false" ht="13.15" hidden="false" customHeight="false" outlineLevel="0" collapsed="false">
      <c r="A242" s="0" t="str">
        <f aca="false">All!E257</f>
        <v>LCT EXT (1st Floor)</v>
      </c>
      <c r="B242" s="0" t="n">
        <f aca="false">All!Y257</f>
        <v>1</v>
      </c>
      <c r="C242" s="0" t="n">
        <f aca="false">IFERROR(VLOOKUP(A242,'Site check'!A:Q,3,0),0)</f>
        <v>0</v>
      </c>
      <c r="D242" s="0" t="n">
        <f aca="false">SUM(B242-C242)</f>
        <v>1</v>
      </c>
    </row>
    <row r="243" customFormat="false" ht="13.15" hidden="false" customHeight="false" outlineLevel="0" collapsed="false">
      <c r="A243" s="0" t="str">
        <f aca="false">All!E258</f>
        <v>TGY</v>
      </c>
      <c r="B243" s="0" t="n">
        <f aca="false">All!Y258</f>
        <v>0</v>
      </c>
      <c r="C243" s="0" t="n">
        <f aca="false">IFERROR(VLOOKUP(A243,'Site check'!A:Q,3,0),0)</f>
        <v>0</v>
      </c>
      <c r="D243" s="0" t="n">
        <f aca="false">SUM(B243-C243)</f>
        <v>0</v>
      </c>
    </row>
    <row r="244" customFormat="false" ht="13.15" hidden="false" customHeight="false" outlineLevel="0" collapsed="false">
      <c r="A244" s="0" t="str">
        <f aca="false">All!E259</f>
        <v>TGY</v>
      </c>
      <c r="B244" s="0" t="n">
        <f aca="false">All!Y259</f>
        <v>0</v>
      </c>
      <c r="C244" s="0" t="n">
        <f aca="false">IFERROR(VLOOKUP(A244,'Site check'!A:Q,3,0),0)</f>
        <v>0</v>
      </c>
      <c r="D244" s="0" t="n">
        <f aca="false">SUM(B244-C244)</f>
        <v>0</v>
      </c>
    </row>
    <row r="245" customFormat="false" ht="13.15" hidden="false" customHeight="false" outlineLevel="0" collapsed="false">
      <c r="A245" s="0" t="str">
        <f aca="false">All!E260</f>
        <v>TGYN03</v>
      </c>
      <c r="B245" s="0" t="n">
        <f aca="false">All!Y260</f>
        <v>0</v>
      </c>
      <c r="C245" s="0" t="n">
        <f aca="false">IFERROR(VLOOKUP(A245,'Site check'!A:Q,3,0),0)</f>
        <v>0</v>
      </c>
      <c r="D245" s="0" t="n">
        <f aca="false">SUM(B245-C245)</f>
        <v>0</v>
      </c>
    </row>
    <row r="246" customFormat="false" ht="13.15" hidden="false" customHeight="false" outlineLevel="0" collapsed="false">
      <c r="A246" s="0" t="str">
        <f aca="false">All!E261</f>
        <v>LDSN15</v>
      </c>
      <c r="B246" s="0" t="n">
        <f aca="false">All!Y261</f>
        <v>3</v>
      </c>
      <c r="C246" s="0" t="n">
        <f aca="false">IFERROR(VLOOKUP(A246,'Site check'!A:Q,3,0),0)</f>
        <v>0</v>
      </c>
      <c r="D246" s="0" t="n">
        <f aca="false">SUM(B246-C246)</f>
        <v>3</v>
      </c>
    </row>
    <row r="247" customFormat="false" ht="13.15" hidden="false" customHeight="false" outlineLevel="0" collapsed="false">
      <c r="A247" s="0" t="str">
        <f aca="false">All!E262</f>
        <v>BYR[cabin]</v>
      </c>
      <c r="B247" s="0" t="n">
        <f aca="false">All!Y262</f>
        <v>0</v>
      </c>
      <c r="C247" s="0" t="n">
        <f aca="false">IFERROR(VLOOKUP(A247,'Site check'!A:Q,3,0),0)</f>
        <v>0</v>
      </c>
      <c r="D247" s="0" t="n">
        <f aca="false">SUM(B247-C247)</f>
        <v>0</v>
      </c>
    </row>
    <row r="248" customFormat="false" ht="13.15" hidden="false" customHeight="false" outlineLevel="0" collapsed="false">
      <c r="A248" s="0" t="str">
        <f aca="false">All!E263</f>
        <v>0</v>
      </c>
      <c r="B248" s="0" t="n">
        <f aca="false">All!Y263</f>
        <v>1</v>
      </c>
      <c r="C248" s="0" t="n">
        <f aca="false">IFERROR(VLOOKUP(A248,'Site check'!A:Q,3,0),0)</f>
        <v>0</v>
      </c>
      <c r="D248" s="0" t="n">
        <f aca="false">SUM(B248-C248)</f>
        <v>1</v>
      </c>
    </row>
    <row r="249" customFormat="false" ht="13.15" hidden="false" customHeight="false" outlineLevel="0" collapsed="false">
      <c r="A249" s="0" t="str">
        <f aca="false">All!E264</f>
        <v>FTATA1</v>
      </c>
      <c r="B249" s="0" t="n">
        <f aca="false">All!Y264</f>
        <v>0</v>
      </c>
      <c r="C249" s="0" t="n">
        <f aca="false">IFERROR(VLOOKUP(A249,'Site check'!A:Q,3,0),0)</f>
        <v>0</v>
      </c>
      <c r="D249" s="0" t="n">
        <f aca="false">SUM(B249-C249)</f>
        <v>0</v>
      </c>
    </row>
    <row r="250" customFormat="false" ht="13.15" hidden="false" customHeight="false" outlineLevel="0" collapsed="false">
      <c r="A250" s="0" t="str">
        <f aca="false">All!E265</f>
        <v>EDBCD1</v>
      </c>
      <c r="B250" s="0" t="n">
        <f aca="false">All!Y265</f>
        <v>210</v>
      </c>
      <c r="C250" s="0" t="n">
        <f aca="false">IFERROR(VLOOKUP(A250,'Site check'!A:Q,3,0),0)</f>
        <v>0</v>
      </c>
      <c r="D250" s="0" t="n">
        <f aca="false">SUM(B250-C250)</f>
        <v>210</v>
      </c>
    </row>
    <row r="251" customFormat="false" ht="13.15" hidden="false" customHeight="false" outlineLevel="0" collapsed="false">
      <c r="A251" s="0" t="str">
        <f aca="false">All!E266</f>
        <v>FKKB21 </v>
      </c>
      <c r="B251" s="0" t="n">
        <f aca="false">All!Y266</f>
        <v>2</v>
      </c>
      <c r="C251" s="0" t="n">
        <f aca="false">IFERROR(VLOOKUP(A251,'Site check'!A:Q,3,0),0)</f>
        <v>0</v>
      </c>
      <c r="D251" s="0" t="n">
        <f aca="false">SUM(B251-C251)</f>
        <v>2</v>
      </c>
    </row>
    <row r="252" customFormat="false" ht="13.15" hidden="false" customHeight="false" outlineLevel="0" collapsed="false">
      <c r="A252" s="0" t="str">
        <f aca="false">All!E267</f>
        <v>AZTCD2</v>
      </c>
      <c r="B252" s="0" t="n">
        <f aca="false">All!Y267</f>
        <v>9</v>
      </c>
      <c r="C252" s="0" t="n">
        <f aca="false">IFERROR(VLOOKUP(A252,'Site check'!A:Q,3,0),0)</f>
        <v>0</v>
      </c>
      <c r="D252" s="0" t="n">
        <f aca="false">SUM(B252-C252)</f>
        <v>9</v>
      </c>
    </row>
    <row r="253" customFormat="false" ht="13.15" hidden="false" customHeight="false" outlineLevel="0" collapsed="false">
      <c r="A253" s="0" t="e">
        <f aca="false">all!#ref!</f>
        <v>#NAME?</v>
      </c>
      <c r="B253" s="0" t="e">
        <f aca="false">all!#ref!</f>
        <v>#NAME?</v>
      </c>
      <c r="C253" s="0" t="n">
        <f aca="false">IFERROR(VLOOKUP(A253,'Site check'!A:Q,3,0),0)</f>
        <v>0</v>
      </c>
      <c r="D253" s="0" t="e">
        <f aca="false">SUM(B253-C253)</f>
        <v>#NAME?</v>
      </c>
    </row>
    <row r="254" customFormat="false" ht="13.15" hidden="false" customHeight="false" outlineLevel="0" collapsed="false">
      <c r="A254" s="0" t="e">
        <f aca="false">all!#ref!</f>
        <v>#NAME?</v>
      </c>
      <c r="B254" s="0" t="e">
        <f aca="false">all!#ref!</f>
        <v>#NAME?</v>
      </c>
      <c r="C254" s="0" t="n">
        <f aca="false">IFERROR(VLOOKUP(A254,'Site check'!A:Q,3,0),0)</f>
        <v>0</v>
      </c>
      <c r="D254" s="0" t="e">
        <f aca="false">SUM(B254-C254)</f>
        <v>#NAME?</v>
      </c>
    </row>
    <row r="255" customFormat="false" ht="13.15" hidden="false" customHeight="false" outlineLevel="0" collapsed="false">
      <c r="A255" s="0" t="e">
        <f aca="false">all!#ref!</f>
        <v>#NAME?</v>
      </c>
      <c r="B255" s="0" t="e">
        <f aca="false">all!#ref!</f>
        <v>#NAME?</v>
      </c>
      <c r="C255" s="0" t="n">
        <f aca="false">IFERROR(VLOOKUP(A255,'Site check'!A:Q,3,0),0)</f>
        <v>0</v>
      </c>
      <c r="D255" s="0" t="e">
        <f aca="false">SUM(B255-C255)</f>
        <v>#NAME?</v>
      </c>
    </row>
    <row r="256" customFormat="false" ht="13.15" hidden="false" customHeight="false" outlineLevel="0" collapsed="false">
      <c r="A256" s="0" t="str">
        <f aca="false">All!E268</f>
        <v>SDNN11</v>
      </c>
      <c r="B256" s="0" t="n">
        <f aca="false">All!Y268</f>
        <v>9</v>
      </c>
      <c r="C256" s="0" t="n">
        <f aca="false">IFERROR(VLOOKUP(A256,'Site check'!A:Q,3,0),0)</f>
        <v>0</v>
      </c>
      <c r="D256" s="0" t="n">
        <f aca="false">SUM(B256-C256)</f>
        <v>9</v>
      </c>
    </row>
    <row r="257" customFormat="false" ht="13.15" hidden="false" customHeight="false" outlineLevel="0" collapsed="false">
      <c r="A257" s="0" t="n">
        <f aca="false">All!E269</f>
        <v>0</v>
      </c>
      <c r="B257" s="0" t="n">
        <f aca="false">All!Y269</f>
        <v>0</v>
      </c>
      <c r="C257" s="0" t="n">
        <f aca="false">IFERROR(VLOOKUP(A257,'Site check'!A:Q,3,0),0)</f>
        <v>0</v>
      </c>
      <c r="D257" s="0" t="n">
        <f aca="false">SUM(B257-C257)</f>
        <v>0</v>
      </c>
    </row>
    <row r="258" customFormat="false" ht="13.15" hidden="false" customHeight="false" outlineLevel="0" collapsed="false">
      <c r="A258" s="0" t="n">
        <f aca="false">All!E270</f>
        <v>0</v>
      </c>
      <c r="B258" s="0" t="n">
        <f aca="false">All!Y270</f>
        <v>0</v>
      </c>
      <c r="C258" s="0" t="n">
        <f aca="false">IFERROR(VLOOKUP(A258,'Site check'!A:Q,3,0),0)</f>
        <v>0</v>
      </c>
      <c r="D258" s="0" t="n">
        <f aca="false">SUM(B258-C258)</f>
        <v>0</v>
      </c>
    </row>
    <row r="259" customFormat="false" ht="13.15" hidden="false" customHeight="false" outlineLevel="0" collapsed="false">
      <c r="A259" s="0" t="n">
        <f aca="false">All!E271</f>
        <v>0</v>
      </c>
      <c r="B259" s="0" t="n">
        <f aca="false">All!Y271</f>
        <v>0</v>
      </c>
      <c r="C259" s="0" t="n">
        <f aca="false">IFERROR(VLOOKUP(A259,'Site check'!A:Q,3,0),0)</f>
        <v>0</v>
      </c>
      <c r="D259" s="0" t="n">
        <f aca="false">SUM(B259-C259)</f>
        <v>0</v>
      </c>
    </row>
    <row r="260" customFormat="false" ht="13.15" hidden="false" customHeight="false" outlineLevel="0" collapsed="false">
      <c r="A260" s="0" t="n">
        <f aca="false">All!E272</f>
        <v>0</v>
      </c>
      <c r="B260" s="0" t="n">
        <f aca="false">All!Y272</f>
        <v>0</v>
      </c>
      <c r="C260" s="0" t="n">
        <f aca="false">IFERROR(VLOOKUP(A260,'Site check'!A:Q,3,0),0)</f>
        <v>0</v>
      </c>
      <c r="D260" s="0" t="n">
        <f aca="false">SUM(B260-C260)</f>
        <v>0</v>
      </c>
    </row>
    <row r="261" customFormat="false" ht="13.15" hidden="false" customHeight="false" outlineLevel="0" collapsed="false">
      <c r="A261" s="0" t="n">
        <f aca="false">All!E273</f>
        <v>0</v>
      </c>
      <c r="B261" s="0" t="n">
        <f aca="false">All!Y273</f>
        <v>0</v>
      </c>
      <c r="C261" s="0" t="n">
        <f aca="false">IFERROR(VLOOKUP(A261,'Site check'!A:Q,3,0),0)</f>
        <v>0</v>
      </c>
      <c r="D261" s="0" t="n">
        <f aca="false">SUM(B261-C261)</f>
        <v>0</v>
      </c>
    </row>
    <row r="262" customFormat="false" ht="13.15" hidden="false" customHeight="false" outlineLevel="0" collapsed="false">
      <c r="A262" s="0" t="n">
        <f aca="false">All!E274</f>
        <v>0</v>
      </c>
      <c r="B262" s="0" t="n">
        <f aca="false">All!Y274</f>
        <v>0</v>
      </c>
      <c r="C262" s="0" t="n">
        <f aca="false">IFERROR(VLOOKUP(A262,'Site check'!A:Q,3,0),0)</f>
        <v>0</v>
      </c>
      <c r="D262" s="0" t="n">
        <f aca="false">SUM(B262-C262)</f>
        <v>0</v>
      </c>
    </row>
    <row r="263" customFormat="false" ht="13.15" hidden="false" customHeight="false" outlineLevel="0" collapsed="false">
      <c r="A263" s="0" t="n">
        <f aca="false">All!E275</f>
        <v>0</v>
      </c>
      <c r="B263" s="0" t="n">
        <f aca="false">All!Y275</f>
        <v>0</v>
      </c>
      <c r="C263" s="0" t="n">
        <f aca="false">IFERROR(VLOOKUP(A263,'Site check'!A:Q,3,0),0)</f>
        <v>0</v>
      </c>
      <c r="D263" s="0" t="n">
        <f aca="false">SUM(B263-C263)</f>
        <v>0</v>
      </c>
    </row>
    <row r="264" customFormat="false" ht="13.15" hidden="false" customHeight="false" outlineLevel="0" collapsed="false">
      <c r="A264" s="0" t="n">
        <f aca="false">All!E276</f>
        <v>0</v>
      </c>
      <c r="B264" s="0" t="n">
        <f aca="false">All!Y276</f>
        <v>0</v>
      </c>
      <c r="C264" s="0" t="n">
        <f aca="false">IFERROR(VLOOKUP(A264,'Site check'!A:Q,3,0),0)</f>
        <v>0</v>
      </c>
      <c r="D264" s="0" t="n">
        <f aca="false">SUM(B264-C264)</f>
        <v>0</v>
      </c>
    </row>
    <row r="265" customFormat="false" ht="13.15" hidden="false" customHeight="false" outlineLevel="0" collapsed="false">
      <c r="A265" s="0" t="n">
        <f aca="false">All!E277</f>
        <v>0</v>
      </c>
      <c r="B265" s="0" t="n">
        <f aca="false">All!Y277</f>
        <v>0</v>
      </c>
      <c r="C265" s="0" t="n">
        <f aca="false">IFERROR(VLOOKUP(A265,'Site check'!A:Q,3,0),0)</f>
        <v>0</v>
      </c>
      <c r="D265" s="0" t="n">
        <f aca="false">SUM(B265-C265)</f>
        <v>0</v>
      </c>
    </row>
    <row r="266" customFormat="false" ht="13.15" hidden="false" customHeight="false" outlineLevel="0" collapsed="false">
      <c r="A266" s="0" t="n">
        <f aca="false">All!E278</f>
        <v>0</v>
      </c>
      <c r="B266" s="0" t="n">
        <f aca="false">All!Y278</f>
        <v>0</v>
      </c>
      <c r="C266" s="0" t="n">
        <f aca="false">IFERROR(VLOOKUP(A266,'Site check'!A:Q,3,0),0)</f>
        <v>0</v>
      </c>
      <c r="D266" s="0" t="n">
        <f aca="false">SUM(B266-C266)</f>
        <v>0</v>
      </c>
    </row>
    <row r="267" customFormat="false" ht="13.15" hidden="false" customHeight="false" outlineLevel="0" collapsed="false">
      <c r="A267" s="0" t="n">
        <f aca="false">All!E279</f>
        <v>0</v>
      </c>
      <c r="B267" s="0" t="n">
        <f aca="false">All!Y279</f>
        <v>0</v>
      </c>
      <c r="C267" s="0" t="n">
        <f aca="false">IFERROR(VLOOKUP(A267,'Site check'!A:Q,3,0),0)</f>
        <v>0</v>
      </c>
      <c r="D267" s="0" t="n">
        <f aca="false">SUM(B267-C267)</f>
        <v>0</v>
      </c>
    </row>
    <row r="268" customFormat="false" ht="13.15" hidden="false" customHeight="false" outlineLevel="0" collapsed="false">
      <c r="A268" s="0" t="n">
        <f aca="false">All!E280</f>
        <v>0</v>
      </c>
      <c r="B268" s="0" t="n">
        <f aca="false">All!Y280</f>
        <v>0</v>
      </c>
      <c r="C268" s="0" t="n">
        <f aca="false">IFERROR(VLOOKUP(A268,'Site check'!A:Q,3,0),0)</f>
        <v>0</v>
      </c>
      <c r="D268" s="0" t="n">
        <f aca="false">SUM(B268-C268)</f>
        <v>0</v>
      </c>
    </row>
    <row r="269" customFormat="false" ht="13.15" hidden="false" customHeight="false" outlineLevel="0" collapsed="false">
      <c r="A269" s="0" t="n">
        <f aca="false">All!E281</f>
        <v>0</v>
      </c>
      <c r="B269" s="0" t="n">
        <f aca="false">All!Y281</f>
        <v>0</v>
      </c>
      <c r="C269" s="0" t="n">
        <f aca="false">IFERROR(VLOOKUP(A269,'Site check'!A:Q,3,0),0)</f>
        <v>0</v>
      </c>
      <c r="D269" s="0" t="n">
        <f aca="false">SUM(B269-C269)</f>
        <v>0</v>
      </c>
    </row>
    <row r="270" customFormat="false" ht="13.15" hidden="false" customHeight="false" outlineLevel="0" collapsed="false">
      <c r="A270" s="0" t="n">
        <f aca="false">All!E282</f>
        <v>0</v>
      </c>
      <c r="B270" s="0" t="n">
        <f aca="false">All!Y282</f>
        <v>0</v>
      </c>
      <c r="C270" s="0" t="n">
        <f aca="false">IFERROR(VLOOKUP(A270,'Site check'!A:Q,3,0),0)</f>
        <v>0</v>
      </c>
      <c r="D270" s="0" t="n">
        <f aca="false">SUM(B270-C270)</f>
        <v>0</v>
      </c>
    </row>
    <row r="271" customFormat="false" ht="13.15" hidden="false" customHeight="false" outlineLevel="0" collapsed="false">
      <c r="A271" s="0" t="n">
        <f aca="false">All!E283</f>
        <v>0</v>
      </c>
      <c r="B271" s="0" t="n">
        <f aca="false">All!Y283</f>
        <v>0</v>
      </c>
      <c r="C271" s="0" t="n">
        <f aca="false">IFERROR(VLOOKUP(A271,'Site check'!A:Q,3,0),0)</f>
        <v>0</v>
      </c>
      <c r="D271" s="0" t="n">
        <f aca="false">SUM(B271-C271)</f>
        <v>0</v>
      </c>
    </row>
  </sheetData>
  <sheetProtection algorithmName="SHA-512" hashValue="USadhYJKMWBOdA/5fvhQSF8i0lNdhWZXL26BImfVtLL3J978zG9dlUjQCMGZiQ6tPLb2Q1z4gtjYdWOyysz7uw==" saltValue="aOBpHfUo+Vz2BaAbfZlUcA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7"/>
  <sheetViews>
    <sheetView showFormulas="false" showGridLines="fals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D8" activeCellId="0" sqref="D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258" width="4.43"/>
    <col collapsed="false" customWidth="true" hidden="false" outlineLevel="0" max="2" min="2" style="258" width="5.28"/>
    <col collapsed="false" customWidth="true" hidden="false" outlineLevel="0" max="3" min="3" style="258" width="49.42"/>
    <col collapsed="false" customWidth="true" hidden="false" outlineLevel="0" max="6" min="4" style="258" width="33.57"/>
    <col collapsed="false" customWidth="true" hidden="false" outlineLevel="0" max="7" min="7" style="258" width="36"/>
    <col collapsed="false" customWidth="true" hidden="false" outlineLevel="0" max="8" min="8" style="258" width="6.42"/>
    <col collapsed="false" customWidth="true" hidden="false" outlineLevel="0" max="9" min="9" style="258" width="3.42"/>
    <col collapsed="false" customWidth="false" hidden="false" outlineLevel="0" max="1024" min="10" style="258" width="14.43"/>
  </cols>
  <sheetData>
    <row r="2" customFormat="false" ht="15.75" hidden="false" customHeight="true" outlineLevel="0" collapsed="false">
      <c r="B2" s="259"/>
      <c r="C2" s="260"/>
      <c r="D2" s="260"/>
      <c r="E2" s="260"/>
      <c r="F2" s="260"/>
      <c r="G2" s="260"/>
      <c r="H2" s="261"/>
    </row>
    <row r="3" customFormat="false" ht="24.75" hidden="false" customHeight="true" outlineLevel="0" collapsed="false">
      <c r="B3" s="262"/>
      <c r="C3" s="263" t="s">
        <v>1565</v>
      </c>
      <c r="D3" s="263"/>
      <c r="E3" s="263"/>
      <c r="F3" s="263"/>
      <c r="G3" s="263"/>
      <c r="H3" s="264"/>
    </row>
    <row r="4" customFormat="false" ht="18.75" hidden="false" customHeight="true" outlineLevel="0" collapsed="false">
      <c r="B4" s="262"/>
      <c r="C4" s="265"/>
      <c r="D4" s="266"/>
      <c r="E4" s="267"/>
      <c r="F4" s="267"/>
      <c r="G4" s="267"/>
      <c r="H4" s="264"/>
    </row>
    <row r="5" customFormat="false" ht="18.75" hidden="false" customHeight="true" outlineLevel="0" collapsed="false">
      <c r="B5" s="262"/>
      <c r="C5" s="268" t="s">
        <v>1566</v>
      </c>
      <c r="D5" s="269" t="s">
        <v>264</v>
      </c>
      <c r="E5" s="270" t="s">
        <v>1567</v>
      </c>
      <c r="F5" s="270"/>
      <c r="G5" s="270"/>
      <c r="H5" s="264"/>
    </row>
    <row r="6" customFormat="false" ht="18.75" hidden="false" customHeight="true" outlineLevel="0" collapsed="false">
      <c r="B6" s="262"/>
      <c r="C6" s="268" t="s">
        <v>903</v>
      </c>
      <c r="D6" s="118" t="str">
        <f aca="false">VLOOKUP(D5,All!A8:H267,6,0)</f>
        <v>Eaton Powerware APR48</v>
      </c>
      <c r="E6" s="270" t="s">
        <v>1567</v>
      </c>
      <c r="F6" s="270"/>
      <c r="G6" s="270"/>
      <c r="H6" s="264"/>
    </row>
    <row r="7" customFormat="false" ht="18.75" hidden="false" customHeight="true" outlineLevel="0" collapsed="false">
      <c r="B7" s="262"/>
      <c r="C7" s="268" t="s">
        <v>904</v>
      </c>
      <c r="D7" s="118" t="n">
        <f aca="false">VLOOKUP(D5,All!A8:H267,8,0)</f>
        <v>6</v>
      </c>
      <c r="E7" s="270" t="s">
        <v>1568</v>
      </c>
      <c r="F7" s="270"/>
      <c r="G7" s="270"/>
      <c r="H7" s="264"/>
    </row>
    <row r="8" customFormat="false" ht="18.75" hidden="false" customHeight="true" outlineLevel="0" collapsed="false">
      <c r="B8" s="262"/>
      <c r="C8" s="268" t="s">
        <v>1569</v>
      </c>
      <c r="D8" s="117" t="n">
        <f aca="false">VLOOKUP(D5,All!A8:I267,9,0)</f>
        <v>46</v>
      </c>
      <c r="E8" s="270" t="s">
        <v>1570</v>
      </c>
      <c r="F8" s="270"/>
      <c r="G8" s="270"/>
      <c r="H8" s="271"/>
    </row>
    <row r="9" customFormat="false" ht="18.75" hidden="false" customHeight="true" outlineLevel="0" collapsed="false">
      <c r="B9" s="262"/>
      <c r="C9" s="268" t="s">
        <v>1571</v>
      </c>
      <c r="D9" s="117" t="n">
        <f aca="false">VLOOKUP(D5,'SYS Allocations'!A8:H268,8,0)</f>
        <v>16.5137614678899</v>
      </c>
      <c r="E9" s="270" t="s">
        <v>1572</v>
      </c>
      <c r="F9" s="270"/>
      <c r="G9" s="270"/>
      <c r="H9" s="264"/>
    </row>
    <row r="10" customFormat="false" ht="18.75" hidden="false" customHeight="true" outlineLevel="0" collapsed="false">
      <c r="B10" s="262"/>
      <c r="C10" s="268" t="s">
        <v>1573</v>
      </c>
      <c r="D10" s="272" t="n">
        <v>34</v>
      </c>
      <c r="E10" s="273" t="s">
        <v>1574</v>
      </c>
      <c r="F10" s="273"/>
      <c r="G10" s="273"/>
      <c r="H10" s="264"/>
    </row>
    <row r="11" s="91" customFormat="true" ht="18.75" hidden="false" customHeight="true" outlineLevel="0" collapsed="false">
      <c r="B11" s="95"/>
      <c r="C11" s="268" t="s">
        <v>1575</v>
      </c>
      <c r="D11" s="117" t="n">
        <f aca="false">SUM(D8:D10)</f>
        <v>96.5137614678899</v>
      </c>
      <c r="E11" s="270" t="s">
        <v>891</v>
      </c>
      <c r="F11" s="270"/>
      <c r="G11" s="270"/>
      <c r="H11" s="274"/>
    </row>
    <row r="12" s="91" customFormat="true" ht="18.75" hidden="false" customHeight="true" outlineLevel="0" collapsed="false">
      <c r="B12" s="95"/>
      <c r="C12" s="268" t="s">
        <v>1576</v>
      </c>
      <c r="D12" s="104" t="n">
        <f aca="false">(D11*54.5)/1000</f>
        <v>5.26</v>
      </c>
      <c r="E12" s="270" t="s">
        <v>891</v>
      </c>
      <c r="F12" s="270"/>
      <c r="G12" s="270"/>
      <c r="H12" s="274"/>
    </row>
    <row r="13" s="91" customFormat="true" ht="18.75" hidden="false" customHeight="true" outlineLevel="0" collapsed="false">
      <c r="B13" s="95"/>
      <c r="C13" s="268" t="s">
        <v>909</v>
      </c>
      <c r="D13" s="115" t="str">
        <f aca="false">VLOOKUP(D5,All!A8:R282,16,0)</f>
        <v>3</v>
      </c>
      <c r="E13" s="270" t="s">
        <v>910</v>
      </c>
      <c r="F13" s="270"/>
      <c r="G13" s="270"/>
      <c r="H13" s="274"/>
    </row>
    <row r="14" s="91" customFormat="true" ht="18.75" hidden="false" customHeight="true" outlineLevel="0" collapsed="false">
      <c r="B14" s="95"/>
      <c r="C14" s="268" t="s">
        <v>911</v>
      </c>
      <c r="D14" s="115" t="str">
        <f aca="false">VLOOKUP(D5,All!A8:AP282,42,0)</f>
        <v>SBS XL 150F-FT</v>
      </c>
      <c r="E14" s="270" t="s">
        <v>912</v>
      </c>
      <c r="F14" s="270"/>
      <c r="G14" s="270"/>
      <c r="H14" s="274"/>
    </row>
    <row r="15" customFormat="false" ht="18.75" hidden="false" customHeight="true" outlineLevel="0" collapsed="false">
      <c r="B15" s="262"/>
      <c r="C15" s="275" t="s">
        <v>913</v>
      </c>
      <c r="D15" s="276" t="n">
        <f aca="false">(VLOOKUP(D14,Table7[],15,0)*D13)</f>
        <v>45</v>
      </c>
      <c r="E15" s="270" t="s">
        <v>891</v>
      </c>
      <c r="F15" s="270"/>
      <c r="G15" s="270"/>
      <c r="H15" s="264"/>
    </row>
    <row r="16" s="91" customFormat="true" ht="18.75" hidden="false" customHeight="true" outlineLevel="0" collapsed="false">
      <c r="B16" s="95"/>
      <c r="C16" s="268" t="s">
        <v>1577</v>
      </c>
      <c r="D16" s="102" t="n">
        <f aca="false">D11+D15</f>
        <v>141.51376146789</v>
      </c>
      <c r="E16" s="270" t="s">
        <v>891</v>
      </c>
      <c r="F16" s="270"/>
      <c r="G16" s="270"/>
      <c r="H16" s="274"/>
      <c r="I16" s="277"/>
    </row>
    <row r="17" s="91" customFormat="true" ht="18.75" hidden="false" customHeight="true" outlineLevel="0" collapsed="false">
      <c r="B17" s="95"/>
      <c r="C17" s="122"/>
      <c r="D17" s="123"/>
      <c r="E17" s="122"/>
      <c r="F17" s="122"/>
      <c r="G17" s="122"/>
      <c r="H17" s="274"/>
    </row>
    <row r="18" s="91" customFormat="true" ht="28.5" hidden="false" customHeight="true" outlineLevel="0" collapsed="false">
      <c r="B18" s="95"/>
      <c r="C18" s="124"/>
      <c r="D18" s="278" t="s">
        <v>1578</v>
      </c>
      <c r="E18" s="125" t="s">
        <v>1579</v>
      </c>
      <c r="F18" s="140" t="s">
        <v>917</v>
      </c>
      <c r="G18" s="125" t="s">
        <v>1580</v>
      </c>
      <c r="H18" s="274"/>
    </row>
    <row r="19" s="91" customFormat="true" ht="18.75" hidden="false" customHeight="true" outlineLevel="0" collapsed="false">
      <c r="B19" s="95"/>
      <c r="C19" s="127" t="s">
        <v>918</v>
      </c>
      <c r="D19" s="128" t="n">
        <f aca="false">((VLOOKUP(D6,Table83[],2,0))*(D7-1))-(VLOOKUP(D14,Table7[],15,0)*D13)</f>
        <v>105</v>
      </c>
      <c r="E19" s="279" t="n">
        <f aca="false">((VLOOKUP(D6,Table83[],2,0))*(D7-1))*0.8</f>
        <v>120</v>
      </c>
      <c r="F19" s="280" t="n">
        <f aca="false">ROUNDUP((((VLOOKUP(D6,Rectifier_Lookup!A2:B37,2,0))*(D7-1))-D16)/(VLOOKUP(D6,Rectifier_Lookup!A2:C37,2,0)),0)</f>
        <v>1</v>
      </c>
      <c r="G19" s="280" t="e">
        <f aca="false">ROUNDUP((D11-E19)/(VLOOKUP(D6,'[3]Rectifier Lookup'!A2:C37,3,0)),0)</f>
        <v>#N/A</v>
      </c>
      <c r="H19" s="274"/>
    </row>
    <row r="20" customFormat="false" ht="15.75" hidden="false" customHeight="true" outlineLevel="0" collapsed="false">
      <c r="B20" s="262"/>
      <c r="C20" s="127" t="s">
        <v>919</v>
      </c>
      <c r="D20" s="131" t="n">
        <f aca="false">(D19*54.5)/1000</f>
        <v>5.7225</v>
      </c>
      <c r="E20" s="131" t="n">
        <f aca="false">(E19*54.5)/1000</f>
        <v>6.54</v>
      </c>
      <c r="F20" s="280"/>
      <c r="G20" s="280"/>
      <c r="H20" s="264"/>
    </row>
    <row r="21" customFormat="false" ht="15.75" hidden="false" customHeight="true" outlineLevel="0" collapsed="false">
      <c r="B21" s="262"/>
      <c r="C21" s="267"/>
      <c r="D21" s="267"/>
      <c r="E21" s="267"/>
      <c r="F21" s="267"/>
      <c r="G21" s="267"/>
      <c r="H21" s="264"/>
    </row>
    <row r="22" customFormat="false" ht="15.75" hidden="false" customHeight="true" outlineLevel="0" collapsed="false">
      <c r="B22" s="262"/>
      <c r="C22" s="133"/>
      <c r="D22" s="134" t="s">
        <v>1581</v>
      </c>
      <c r="E22" s="134" t="s">
        <v>1582</v>
      </c>
      <c r="F22" s="133"/>
      <c r="G22" s="133"/>
      <c r="H22" s="264"/>
    </row>
    <row r="23" customFormat="false" ht="15.75" hidden="false" customHeight="true" outlineLevel="0" collapsed="false">
      <c r="B23" s="262"/>
      <c r="C23" s="136" t="s">
        <v>923</v>
      </c>
      <c r="D23" s="137" t="n">
        <f aca="false">D24/D19</f>
        <v>0.0808213193534295</v>
      </c>
      <c r="E23" s="137"/>
      <c r="F23" s="138" t="s">
        <v>1583</v>
      </c>
      <c r="G23" s="138"/>
      <c r="H23" s="264"/>
    </row>
    <row r="24" customFormat="false" ht="15.75" hidden="false" customHeight="true" outlineLevel="0" collapsed="false">
      <c r="B24" s="262"/>
      <c r="C24" s="127" t="s">
        <v>918</v>
      </c>
      <c r="D24" s="128" t="n">
        <f aca="false">D19-D11</f>
        <v>8.48623853211009</v>
      </c>
      <c r="E24" s="279" t="n">
        <f aca="false">E19-D11</f>
        <v>23.4862385321101</v>
      </c>
      <c r="F24" s="133"/>
      <c r="G24" s="133"/>
      <c r="H24" s="264"/>
    </row>
    <row r="25" customFormat="false" ht="15.75" hidden="false" customHeight="true" outlineLevel="0" collapsed="false">
      <c r="B25" s="262"/>
      <c r="C25" s="127" t="s">
        <v>919</v>
      </c>
      <c r="D25" s="131" t="n">
        <f aca="false">(D24*54.5)/1000</f>
        <v>0.4625</v>
      </c>
      <c r="E25" s="131" t="n">
        <f aca="false">(E24*54.5)/1000</f>
        <v>1.28</v>
      </c>
      <c r="F25" s="133"/>
      <c r="G25" s="133"/>
      <c r="H25" s="264"/>
    </row>
    <row r="26" customFormat="false" ht="15.75" hidden="false" customHeight="true" outlineLevel="0" collapsed="false">
      <c r="B26" s="262"/>
      <c r="C26" s="267"/>
      <c r="D26" s="267"/>
      <c r="E26" s="267"/>
      <c r="F26" s="267"/>
      <c r="G26" s="267"/>
      <c r="H26" s="264"/>
    </row>
    <row r="27" customFormat="false" ht="15.75" hidden="false" customHeight="true" outlineLevel="0" collapsed="false">
      <c r="B27" s="262"/>
      <c r="C27" s="281" t="s">
        <v>1584</v>
      </c>
      <c r="D27" s="281"/>
      <c r="E27" s="281"/>
      <c r="F27" s="281"/>
      <c r="G27" s="281"/>
      <c r="H27" s="264"/>
    </row>
    <row r="28" customFormat="false" ht="15.75" hidden="false" customHeight="true" outlineLevel="0" collapsed="false">
      <c r="B28" s="262"/>
      <c r="C28" s="127" t="s">
        <v>926</v>
      </c>
      <c r="D28" s="140" t="s">
        <v>927</v>
      </c>
      <c r="E28" s="140" t="s">
        <v>928</v>
      </c>
      <c r="F28" s="140" t="s">
        <v>929</v>
      </c>
      <c r="G28" s="140" t="s">
        <v>930</v>
      </c>
      <c r="H28" s="264"/>
    </row>
    <row r="29" customFormat="false" ht="15.75" hidden="false" customHeight="true" outlineLevel="0" collapsed="false">
      <c r="B29" s="262"/>
      <c r="C29" s="127" t="s">
        <v>918</v>
      </c>
      <c r="D29" s="282" t="n">
        <f aca="false">VLOOKUP(D14,Table7[],6,0)*D13</f>
        <v>210.451376146789</v>
      </c>
      <c r="E29" s="282" t="n">
        <f aca="false">VLOOKUP(D14,Table7[],7,0)*D13</f>
        <v>127.222018348624</v>
      </c>
      <c r="F29" s="282" t="n">
        <f aca="false">VLOOKUP(D14,Table7[],8,0)*D13</f>
        <v>93.9302752293578</v>
      </c>
      <c r="G29" s="282" t="n">
        <f aca="false">VLOOKUP(D14,Table7[],9,0)*D13</f>
        <v>74.9064220183486</v>
      </c>
      <c r="H29" s="264"/>
    </row>
    <row r="30" customFormat="false" ht="15.75" hidden="false" customHeight="true" outlineLevel="0" collapsed="false">
      <c r="B30" s="262"/>
      <c r="C30" s="127" t="s">
        <v>919</v>
      </c>
      <c r="D30" s="282" t="n">
        <f aca="false">VLOOKUP(D14,Table7[],10,0)*D13</f>
        <v>11.4696</v>
      </c>
      <c r="E30" s="282" t="n">
        <f aca="false">VLOOKUP(D14,Table7[],11,0)*D13</f>
        <v>6.9336</v>
      </c>
      <c r="F30" s="282" t="n">
        <f aca="false">VLOOKUP(D14,Table7[],12,0)*D13</f>
        <v>5.1192</v>
      </c>
      <c r="G30" s="282" t="n">
        <f aca="false">VLOOKUP(D14,Table7[],13,0)*D13</f>
        <v>4.0824</v>
      </c>
      <c r="H30" s="264"/>
    </row>
    <row r="31" customFormat="false" ht="21" hidden="false" customHeight="true" outlineLevel="0" collapsed="false">
      <c r="B31" s="283"/>
      <c r="C31" s="284"/>
      <c r="D31" s="284"/>
      <c r="E31" s="284"/>
      <c r="F31" s="284"/>
      <c r="G31" s="284"/>
      <c r="H31" s="285"/>
    </row>
    <row r="32" customFormat="false" ht="13.15" hidden="false" customHeight="false" outlineLevel="0" collapsed="false">
      <c r="B32" s="286"/>
      <c r="C32" s="260"/>
      <c r="D32" s="260"/>
      <c r="E32" s="260"/>
      <c r="F32" s="260"/>
      <c r="G32" s="287"/>
      <c r="H32" s="288"/>
    </row>
    <row r="33" customFormat="false" ht="15.75" hidden="false" customHeight="true" outlineLevel="0" collapsed="false">
      <c r="B33" s="289"/>
      <c r="C33" s="290" t="s">
        <v>1585</v>
      </c>
      <c r="D33" s="290"/>
      <c r="E33" s="290"/>
      <c r="F33" s="290"/>
      <c r="G33" s="290"/>
      <c r="H33" s="291"/>
    </row>
    <row r="34" customFormat="false" ht="15.75" hidden="false" customHeight="true" outlineLevel="0" collapsed="false">
      <c r="B34" s="289"/>
      <c r="C34" s="145" t="s">
        <v>926</v>
      </c>
      <c r="D34" s="146" t="s">
        <v>927</v>
      </c>
      <c r="E34" s="146" t="s">
        <v>928</v>
      </c>
      <c r="F34" s="146" t="s">
        <v>929</v>
      </c>
      <c r="G34" s="146" t="s">
        <v>930</v>
      </c>
      <c r="H34" s="291"/>
    </row>
    <row r="35" customFormat="false" ht="15.75" hidden="false" customHeight="true" outlineLevel="0" collapsed="false">
      <c r="B35" s="289"/>
      <c r="C35" s="145" t="s">
        <v>918</v>
      </c>
      <c r="D35" s="282" t="n">
        <f aca="false">VLOOKUP(D14,Table72[],6,0)*D13</f>
        <v>187.067889908257</v>
      </c>
      <c r="E35" s="282" t="n">
        <f aca="false">VLOOKUP(D14,Table72[],7,0)*D13</f>
        <v>113.08623853211</v>
      </c>
      <c r="F35" s="282" t="n">
        <f aca="false">VLOOKUP(D14,Table72[],8,0)*D13</f>
        <v>83.4935779816514</v>
      </c>
      <c r="G35" s="282" t="n">
        <f aca="false">VLOOKUP(D14,Table72[],9,0)*D13</f>
        <v>66.5834862385321</v>
      </c>
      <c r="H35" s="291"/>
    </row>
    <row r="36" customFormat="false" ht="15.75" hidden="false" customHeight="true" outlineLevel="0" collapsed="false">
      <c r="B36" s="289"/>
      <c r="C36" s="145" t="s">
        <v>919</v>
      </c>
      <c r="D36" s="282" t="n">
        <f aca="false">VLOOKUP(D14,Table72[],10,0)*D13</f>
        <v>10.1952</v>
      </c>
      <c r="E36" s="282" t="n">
        <f aca="false">VLOOKUP(D14,Table72[],11,0)*D13</f>
        <v>6.1632</v>
      </c>
      <c r="F36" s="282" t="n">
        <f aca="false">VLOOKUP(D14,Table72[],12,0)*D13</f>
        <v>4.5504</v>
      </c>
      <c r="G36" s="282" t="n">
        <f aca="false">VLOOKUP(D14,Table72[],13,0)*D13</f>
        <v>3.6288</v>
      </c>
      <c r="H36" s="291"/>
    </row>
    <row r="37" customFormat="false" ht="15.75" hidden="false" customHeight="true" outlineLevel="0" collapsed="false">
      <c r="B37" s="292"/>
      <c r="C37" s="293"/>
      <c r="D37" s="293"/>
      <c r="E37" s="293"/>
      <c r="F37" s="293"/>
      <c r="G37" s="293"/>
      <c r="H37" s="294"/>
    </row>
  </sheetData>
  <sheetProtection algorithmName="SHA-512" hashValue="WBiOsCO97NNMntDX3jm/bV2nn4etj2CB8QSgFwJe/MzKou3ec79xFqjMbqNsbWesQJwHtj5RnbPrpPCWL0D3qQ==" saltValue="rIDLoMANI5O5fBwe8fbWZA==" spinCount="100000" sheet="true" objects="true" scenarios="true"/>
  <mergeCells count="19"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F19:F20"/>
    <mergeCell ref="G19:G20"/>
    <mergeCell ref="D23:E23"/>
    <mergeCell ref="F23:G23"/>
    <mergeCell ref="C27:G27"/>
    <mergeCell ref="C33:G33"/>
  </mergeCells>
  <conditionalFormatting sqref="D23">
    <cfRule type="cellIs" priority="2" operator="lessThanOrEqual" aboveAverage="0" equalAverage="0" bottom="0" percent="0" rank="0" text="" dxfId="114">
      <formula>0.1</formula>
    </cfRule>
  </conditionalFormatting>
  <conditionalFormatting sqref="D19:E19">
    <cfRule type="cellIs" priority="3" operator="lessThan" aboveAverage="0" equalAverage="0" bottom="0" percent="0" rank="0" text="" dxfId="115">
      <formula>$D$11</formula>
    </cfRule>
    <cfRule type="cellIs" priority="4" operator="greaterThanOrEqual" aboveAverage="0" equalAverage="0" bottom="0" percent="0" rank="0" text="" dxfId="116">
      <formula>$D$11</formula>
    </cfRule>
  </conditionalFormatting>
  <conditionalFormatting sqref="D20:E20 D30:G30">
    <cfRule type="cellIs" priority="5" operator="lessThan" aboveAverage="0" equalAverage="0" bottom="0" percent="0" rank="0" text="" dxfId="117">
      <formula>$D$12</formula>
    </cfRule>
    <cfRule type="cellIs" priority="6" operator="greaterThanOrEqual" aboveAverage="0" equalAverage="0" bottom="0" percent="0" rank="0" text="" dxfId="118">
      <formula>$D$12</formula>
    </cfRule>
  </conditionalFormatting>
  <conditionalFormatting sqref="D23:E23">
    <cfRule type="cellIs" priority="7" operator="greaterThan" aboveAverage="0" equalAverage="0" bottom="0" percent="0" rank="0" text="" dxfId="119">
      <formula>0.25</formula>
    </cfRule>
    <cfRule type="cellIs" priority="8" operator="between" aboveAverage="0" equalAverage="0" bottom="0" percent="0" rank="0" text="" dxfId="120">
      <formula>0.249999999999999</formula>
      <formula>0.109999999999999</formula>
    </cfRule>
  </conditionalFormatting>
  <conditionalFormatting sqref="D24:E25">
    <cfRule type="cellIs" priority="9" operator="lessThanOrEqual" aboveAverage="0" equalAverage="0" bottom="0" percent="0" rank="0" text="" dxfId="121">
      <formula>0</formula>
    </cfRule>
    <cfRule type="cellIs" priority="10" operator="greaterThan" aboveAverage="0" equalAverage="0" bottom="0" percent="0" rank="0" text="" dxfId="122">
      <formula>0</formula>
    </cfRule>
  </conditionalFormatting>
  <conditionalFormatting sqref="D29:G29">
    <cfRule type="cellIs" priority="11" operator="lessThanOrEqual" aboveAverage="0" equalAverage="0" bottom="0" percent="0" rank="0" text="" dxfId="123">
      <formula>$D$11</formula>
    </cfRule>
    <cfRule type="cellIs" priority="12" operator="greaterThan" aboveAverage="0" equalAverage="0" bottom="0" percent="0" rank="0" text="" dxfId="124">
      <formula>$D$11</formula>
    </cfRule>
  </conditionalFormatting>
  <conditionalFormatting sqref="D35:G35">
    <cfRule type="cellIs" priority="13" operator="lessThanOrEqual" aboveAverage="0" equalAverage="0" bottom="0" percent="0" rank="0" text="" dxfId="125">
      <formula>$D$11</formula>
    </cfRule>
    <cfRule type="cellIs" priority="14" operator="greaterThan" aboveAverage="0" equalAverage="0" bottom="0" percent="0" rank="0" text="" dxfId="126">
      <formula>$D$11</formula>
    </cfRule>
  </conditionalFormatting>
  <conditionalFormatting sqref="D36:G36">
    <cfRule type="cellIs" priority="15" operator="lessThan" aboveAverage="0" equalAverage="0" bottom="0" percent="0" rank="0" text="" dxfId="127">
      <formula>$D$12</formula>
    </cfRule>
    <cfRule type="cellIs" priority="16" operator="greaterThanOrEqual" aboveAverage="0" equalAverage="0" bottom="0" percent="0" rank="0" text="" dxfId="128">
      <formula>$D$12</formula>
    </cfRule>
  </conditionalFormatting>
  <conditionalFormatting sqref="F19:F20">
    <cfRule type="cellIs" priority="17" operator="greaterThanOrEqual" aboveAverage="0" equalAverage="0" bottom="0" percent="0" rank="0" text="" dxfId="129">
      <formula>0</formula>
    </cfRule>
    <cfRule type="cellIs" priority="18" operator="lessThan" aboveAverage="0" equalAverage="0" bottom="0" percent="0" rank="0" text="" dxfId="130">
      <formula>0</formula>
    </cfRule>
  </conditionalFormatting>
  <conditionalFormatting sqref="G19:G20">
    <cfRule type="cellIs" priority="19" operator="greaterThan" aboveAverage="0" equalAverage="0" bottom="0" percent="0" rank="0" text="" dxfId="131">
      <formula>0</formula>
    </cfRule>
    <cfRule type="cellIs" priority="20" operator="lessThanOrEqual" aboveAverage="0" equalAverage="0" bottom="0" percent="0" rank="0" text="" dxfId="132">
      <formula>0</formula>
    </cfRule>
  </conditionalFormatting>
  <dataValidations count="1">
    <dataValidation allowBlank="true" operator="between" showDropDown="false" showErrorMessage="true" showInputMessage="true" sqref="D5" type="list">
      <formula1>Data!$I$2:$I$176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875" defaultRowHeight="13.15" zeroHeight="false" outlineLevelRow="0" outlineLevelCol="0"/>
  <cols>
    <col collapsed="false" customWidth="true" hidden="false" outlineLevel="0" max="3" min="3" style="0" width="12.71"/>
    <col collapsed="false" customWidth="true" hidden="false" outlineLevel="0" max="4" min="4" style="0" width="20.29"/>
  </cols>
  <sheetData>
    <row r="1" customFormat="false" ht="13.15" hidden="false" customHeight="false" outlineLevel="0" collapsed="false">
      <c r="A1" s="295" t="s">
        <v>859</v>
      </c>
      <c r="B1" s="296" t="s">
        <v>1586</v>
      </c>
      <c r="C1" s="296" t="s">
        <v>1587</v>
      </c>
      <c r="D1" s="297" t="s">
        <v>1588</v>
      </c>
    </row>
    <row r="2" customFormat="false" ht="13.15" hidden="false" customHeight="false" outlineLevel="0" collapsed="false">
      <c r="A2" s="298"/>
      <c r="B2" s="70"/>
      <c r="C2" s="70"/>
      <c r="D2" s="299"/>
    </row>
    <row r="3" customFormat="false" ht="13.15" hidden="false" customHeight="false" outlineLevel="0" collapsed="false">
      <c r="A3" s="298"/>
      <c r="B3" s="70"/>
      <c r="C3" s="70"/>
      <c r="D3" s="299"/>
    </row>
    <row r="4" customFormat="false" ht="13.15" hidden="false" customHeight="false" outlineLevel="0" collapsed="false">
      <c r="A4" s="298"/>
      <c r="B4" s="70"/>
      <c r="C4" s="70"/>
      <c r="D4" s="299"/>
    </row>
    <row r="5" customFormat="false" ht="13.15" hidden="false" customHeight="false" outlineLevel="0" collapsed="false">
      <c r="A5" s="298"/>
      <c r="B5" s="70"/>
      <c r="C5" s="70"/>
      <c r="D5" s="299"/>
    </row>
    <row r="6" customFormat="false" ht="13.15" hidden="false" customHeight="false" outlineLevel="0" collapsed="false">
      <c r="A6" s="298"/>
      <c r="B6" s="70"/>
      <c r="C6" s="70"/>
      <c r="D6" s="299"/>
    </row>
    <row r="7" customFormat="false" ht="13.15" hidden="false" customHeight="false" outlineLevel="0" collapsed="false">
      <c r="A7" s="298"/>
      <c r="B7" s="70"/>
      <c r="C7" s="70"/>
      <c r="D7" s="299"/>
    </row>
    <row r="8" customFormat="false" ht="13.15" hidden="false" customHeight="false" outlineLevel="0" collapsed="false">
      <c r="A8" s="298"/>
      <c r="B8" s="70"/>
      <c r="C8" s="70"/>
      <c r="D8" s="299"/>
    </row>
    <row r="9" customFormat="false" ht="13.15" hidden="false" customHeight="false" outlineLevel="0" collapsed="false">
      <c r="A9" s="298"/>
      <c r="B9" s="70"/>
      <c r="C9" s="70"/>
      <c r="D9" s="299"/>
    </row>
    <row r="10" customFormat="false" ht="13.15" hidden="false" customHeight="false" outlineLevel="0" collapsed="false">
      <c r="A10" s="298"/>
      <c r="B10" s="70"/>
      <c r="C10" s="70"/>
      <c r="D10" s="299"/>
    </row>
    <row r="11" customFormat="false" ht="13.15" hidden="false" customHeight="false" outlineLevel="0" collapsed="false">
      <c r="A11" s="298"/>
      <c r="B11" s="70"/>
      <c r="C11" s="70"/>
      <c r="D11" s="299"/>
    </row>
    <row r="12" customFormat="false" ht="13.15" hidden="false" customHeight="false" outlineLevel="0" collapsed="false">
      <c r="A12" s="298"/>
      <c r="B12" s="70"/>
      <c r="C12" s="70"/>
      <c r="D12" s="299"/>
    </row>
    <row r="13" customFormat="false" ht="13.15" hidden="false" customHeight="false" outlineLevel="0" collapsed="false">
      <c r="A13" s="298"/>
      <c r="B13" s="70"/>
      <c r="C13" s="70"/>
      <c r="D13" s="299"/>
    </row>
    <row r="14" customFormat="false" ht="13.15" hidden="false" customHeight="false" outlineLevel="0" collapsed="false">
      <c r="A14" s="300"/>
      <c r="B14" s="301"/>
      <c r="C14" s="301"/>
      <c r="D14" s="30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3.15" zeroHeight="false" outlineLevelRow="0" outlineLevelCol="0"/>
  <cols>
    <col collapsed="false" customWidth="true" hidden="false" outlineLevel="0" max="4" min="4" style="0" width="27.29"/>
    <col collapsed="false" customWidth="true" hidden="false" outlineLevel="0" max="5" min="5" style="0" width="24.42"/>
    <col collapsed="false" customWidth="true" hidden="false" outlineLevel="0" max="9" min="9" style="0" width="41"/>
  </cols>
  <sheetData>
    <row r="1" customFormat="false" ht="13.15" hidden="false" customHeight="false" outlineLevel="0" collapsed="false">
      <c r="A1" s="52" t="s">
        <v>859</v>
      </c>
      <c r="C1" s="44" t="s">
        <v>1589</v>
      </c>
      <c r="D1" s="44" t="s">
        <v>1590</v>
      </c>
      <c r="E1" s="44" t="s">
        <v>1591</v>
      </c>
      <c r="I1" s="44" t="s">
        <v>1592</v>
      </c>
    </row>
    <row r="2" customFormat="false" ht="13.15" hidden="false" customHeight="false" outlineLevel="0" collapsed="false">
      <c r="A2" s="0" t="e">
        <f aca="false" t="array" ref="A2:A207">_xlfn.unique(All!E8:E266)</f>
        <v>#NAME?</v>
      </c>
      <c r="C2" s="44" t="s">
        <v>343</v>
      </c>
      <c r="D2" s="44" t="s">
        <v>28</v>
      </c>
      <c r="E2" s="44" t="s">
        <v>29</v>
      </c>
      <c r="I2" s="0" t="s">
        <v>24</v>
      </c>
    </row>
    <row r="3" customFormat="false" ht="13.15" hidden="false" customHeight="false" outlineLevel="0" collapsed="false">
      <c r="A3" s="0" t="e">
        <v>#NAME?</v>
      </c>
      <c r="C3" s="44" t="s">
        <v>391</v>
      </c>
      <c r="D3" s="44" t="s">
        <v>38</v>
      </c>
      <c r="E3" s="44" t="s">
        <v>39</v>
      </c>
      <c r="I3" s="0" t="s">
        <v>25</v>
      </c>
    </row>
    <row r="4" customFormat="false" ht="13.15" hidden="false" customHeight="false" outlineLevel="0" collapsed="false">
      <c r="A4" s="0" t="e">
        <v>#NAME?</v>
      </c>
      <c r="C4" s="44" t="s">
        <v>411</v>
      </c>
      <c r="D4" s="44" t="s">
        <v>44</v>
      </c>
      <c r="E4" s="44" t="s">
        <v>45</v>
      </c>
      <c r="I4" s="0" t="s">
        <v>26</v>
      </c>
    </row>
    <row r="5" customFormat="false" ht="13.15" hidden="false" customHeight="false" outlineLevel="0" collapsed="false">
      <c r="A5" s="0" t="e">
        <v>#NAME?</v>
      </c>
      <c r="C5" s="44" t="s">
        <v>414</v>
      </c>
      <c r="D5" s="44" t="s">
        <v>46</v>
      </c>
      <c r="E5" s="44" t="s">
        <v>47</v>
      </c>
      <c r="I5" s="0" t="s">
        <v>27</v>
      </c>
    </row>
    <row r="6" customFormat="false" ht="13.15" hidden="false" customHeight="false" outlineLevel="0" collapsed="false">
      <c r="A6" s="0" t="e">
        <v>#NAME?</v>
      </c>
      <c r="C6" s="44" t="s">
        <v>415</v>
      </c>
      <c r="D6" s="44" t="s">
        <v>48</v>
      </c>
      <c r="E6" s="44" t="s">
        <v>49</v>
      </c>
      <c r="I6" s="0" t="s">
        <v>30</v>
      </c>
    </row>
    <row r="7" customFormat="false" ht="13.15" hidden="false" customHeight="false" outlineLevel="0" collapsed="false">
      <c r="A7" s="0" t="e">
        <v>#NAME?</v>
      </c>
      <c r="C7" s="44" t="s">
        <v>427</v>
      </c>
      <c r="D7" s="44" t="s">
        <v>55</v>
      </c>
      <c r="E7" s="44" t="s">
        <v>56</v>
      </c>
      <c r="I7" s="0" t="s">
        <v>31</v>
      </c>
    </row>
    <row r="8" customFormat="false" ht="13.15" hidden="false" customHeight="false" outlineLevel="0" collapsed="false">
      <c r="A8" s="0" t="e">
        <v>#NAME?</v>
      </c>
      <c r="C8" s="44" t="s">
        <v>434</v>
      </c>
      <c r="D8" s="44" t="s">
        <v>57</v>
      </c>
      <c r="E8" s="44" t="s">
        <v>58</v>
      </c>
      <c r="I8" s="0" t="s">
        <v>32</v>
      </c>
    </row>
    <row r="9" customFormat="false" ht="13.15" hidden="false" customHeight="false" outlineLevel="0" collapsed="false">
      <c r="A9" s="0" t="e">
        <v>#NAME?</v>
      </c>
      <c r="C9" s="44" t="s">
        <v>458</v>
      </c>
      <c r="D9" s="0" t="s">
        <v>66</v>
      </c>
      <c r="E9" s="0" t="s">
        <v>67</v>
      </c>
      <c r="I9" s="0" t="s">
        <v>33</v>
      </c>
    </row>
    <row r="10" customFormat="false" ht="13.15" hidden="false" customHeight="false" outlineLevel="0" collapsed="false">
      <c r="A10" s="0" t="e">
        <v>#NAME?</v>
      </c>
      <c r="C10" s="0" t="s">
        <v>456</v>
      </c>
      <c r="D10" s="20" t="s">
        <v>64</v>
      </c>
      <c r="E10" s="20" t="s">
        <v>65</v>
      </c>
      <c r="I10" s="0" t="s">
        <v>34</v>
      </c>
    </row>
    <row r="11" customFormat="false" ht="13.15" hidden="false" customHeight="false" outlineLevel="0" collapsed="false">
      <c r="A11" s="0" t="e">
        <v>#NAME?</v>
      </c>
      <c r="C11" s="44" t="s">
        <v>502</v>
      </c>
      <c r="D11" s="44" t="s">
        <v>87</v>
      </c>
      <c r="E11" s="44" t="s">
        <v>88</v>
      </c>
      <c r="I11" s="0" t="s">
        <v>35</v>
      </c>
    </row>
    <row r="12" customFormat="false" ht="13.15" hidden="false" customHeight="false" outlineLevel="0" collapsed="false">
      <c r="A12" s="0" t="e">
        <v>#NAME?</v>
      </c>
      <c r="C12" s="44" t="s">
        <v>505</v>
      </c>
      <c r="D12" s="44" t="s">
        <v>89</v>
      </c>
      <c r="E12" s="44" t="s">
        <v>90</v>
      </c>
      <c r="I12" s="0" t="s">
        <v>36</v>
      </c>
    </row>
    <row r="13" customFormat="false" ht="13.15" hidden="false" customHeight="false" outlineLevel="0" collapsed="false">
      <c r="A13" s="0" t="e">
        <v>#NAME?</v>
      </c>
      <c r="C13" s="44" t="s">
        <v>507</v>
      </c>
      <c r="D13" s="44" t="s">
        <v>91</v>
      </c>
      <c r="E13" s="44" t="s">
        <v>92</v>
      </c>
      <c r="I13" s="0" t="s">
        <v>37</v>
      </c>
    </row>
    <row r="14" customFormat="false" ht="13.15" hidden="false" customHeight="false" outlineLevel="0" collapsed="false">
      <c r="A14" s="0" t="e">
        <v>#NAME?</v>
      </c>
      <c r="C14" s="44" t="s">
        <v>1593</v>
      </c>
      <c r="D14" s="44" t="s">
        <v>95</v>
      </c>
      <c r="E14" s="44" t="s">
        <v>96</v>
      </c>
      <c r="I14" s="0" t="s">
        <v>40</v>
      </c>
    </row>
    <row r="15" customFormat="false" ht="13.15" hidden="false" customHeight="false" outlineLevel="0" collapsed="false">
      <c r="A15" s="0" t="e">
        <v>#NAME?</v>
      </c>
      <c r="C15" s="44" t="s">
        <v>569</v>
      </c>
      <c r="D15" s="0" t="s">
        <v>117</v>
      </c>
      <c r="E15" s="44" t="s">
        <v>118</v>
      </c>
      <c r="I15" s="0" t="s">
        <v>41</v>
      </c>
    </row>
    <row r="16" customFormat="false" ht="13.15" hidden="false" customHeight="false" outlineLevel="0" collapsed="false">
      <c r="A16" s="0" t="e">
        <v>#NAME?</v>
      </c>
      <c r="C16" s="44" t="s">
        <v>571</v>
      </c>
      <c r="D16" s="44" t="s">
        <v>119</v>
      </c>
      <c r="E16" s="44" t="s">
        <v>120</v>
      </c>
      <c r="I16" s="0" t="s">
        <v>42</v>
      </c>
    </row>
    <row r="17" customFormat="false" ht="13.15" hidden="false" customHeight="false" outlineLevel="0" collapsed="false">
      <c r="A17" s="0" t="e">
        <v>#NAME?</v>
      </c>
      <c r="C17" s="44" t="s">
        <v>1535</v>
      </c>
      <c r="D17" s="44" t="s">
        <v>124</v>
      </c>
      <c r="E17" s="44" t="s">
        <v>125</v>
      </c>
      <c r="I17" s="0" t="s">
        <v>43</v>
      </c>
    </row>
    <row r="18" customFormat="false" ht="13.15" hidden="false" customHeight="false" outlineLevel="0" collapsed="false">
      <c r="A18" s="0" t="e">
        <v>#NAME?</v>
      </c>
      <c r="C18" s="44" t="s">
        <v>588</v>
      </c>
      <c r="D18" s="44" t="s">
        <v>129</v>
      </c>
      <c r="E18" s="44" t="s">
        <v>130</v>
      </c>
      <c r="I18" s="0" t="s">
        <v>50</v>
      </c>
    </row>
    <row r="19" customFormat="false" ht="13.15" hidden="false" customHeight="false" outlineLevel="0" collapsed="false">
      <c r="A19" s="0" t="e">
        <v>#NAME?</v>
      </c>
      <c r="C19" s="44" t="s">
        <v>592</v>
      </c>
      <c r="D19" s="44" t="s">
        <v>132</v>
      </c>
      <c r="E19" s="44" t="s">
        <v>133</v>
      </c>
      <c r="I19" s="0" t="s">
        <v>51</v>
      </c>
    </row>
    <row r="20" customFormat="false" ht="13.15" hidden="false" customHeight="false" outlineLevel="0" collapsed="false">
      <c r="A20" s="0" t="e">
        <v>#NAME?</v>
      </c>
      <c r="C20" s="44" t="s">
        <v>593</v>
      </c>
      <c r="D20" s="44" t="s">
        <v>134</v>
      </c>
      <c r="E20" s="44" t="s">
        <v>135</v>
      </c>
      <c r="I20" s="0" t="s">
        <v>52</v>
      </c>
    </row>
    <row r="21" customFormat="false" ht="13.15" hidden="false" customHeight="false" outlineLevel="0" collapsed="false">
      <c r="A21" s="0" t="e">
        <v>#NAME?</v>
      </c>
      <c r="C21" s="44" t="s">
        <v>641</v>
      </c>
      <c r="D21" s="44" t="s">
        <v>156</v>
      </c>
      <c r="E21" s="44" t="s">
        <v>157</v>
      </c>
      <c r="I21" s="0" t="s">
        <v>53</v>
      </c>
    </row>
    <row r="22" customFormat="false" ht="13.15" hidden="false" customHeight="false" outlineLevel="0" collapsed="false">
      <c r="A22" s="0" t="e">
        <v>#NAME?</v>
      </c>
      <c r="C22" s="44" t="s">
        <v>643</v>
      </c>
      <c r="D22" s="44" t="s">
        <v>158</v>
      </c>
      <c r="E22" s="44" t="s">
        <v>159</v>
      </c>
      <c r="I22" s="0" t="s">
        <v>54</v>
      </c>
    </row>
    <row r="23" customFormat="false" ht="13.15" hidden="false" customHeight="false" outlineLevel="0" collapsed="false">
      <c r="A23" s="0" t="e">
        <v>#NAME?</v>
      </c>
      <c r="C23" s="44" t="s">
        <v>669</v>
      </c>
      <c r="D23" s="44" t="s">
        <v>172</v>
      </c>
      <c r="E23" s="44" t="s">
        <v>173</v>
      </c>
      <c r="I23" s="0" t="s">
        <v>59</v>
      </c>
    </row>
    <row r="24" customFormat="false" ht="13.15" hidden="false" customHeight="false" outlineLevel="0" collapsed="false">
      <c r="A24" s="0" t="e">
        <v>#NAME?</v>
      </c>
      <c r="C24" s="44" t="s">
        <v>671</v>
      </c>
      <c r="D24" s="44" t="s">
        <v>174</v>
      </c>
      <c r="E24" s="44" t="s">
        <v>175</v>
      </c>
      <c r="I24" s="0" t="s">
        <v>60</v>
      </c>
    </row>
    <row r="25" customFormat="false" ht="13.15" hidden="false" customHeight="false" outlineLevel="0" collapsed="false">
      <c r="A25" s="0" t="e">
        <v>#NAME?</v>
      </c>
      <c r="C25" s="44" t="s">
        <v>698</v>
      </c>
      <c r="D25" s="0" t="s">
        <v>187</v>
      </c>
      <c r="E25" s="0" t="s">
        <v>188</v>
      </c>
      <c r="I25" s="0" t="s">
        <v>61</v>
      </c>
    </row>
    <row r="26" customFormat="false" ht="13.15" hidden="false" customHeight="false" outlineLevel="0" collapsed="false">
      <c r="A26" s="0" t="e">
        <v>#NAME?</v>
      </c>
      <c r="C26" s="44" t="s">
        <v>708</v>
      </c>
      <c r="D26" s="44" t="s">
        <v>193</v>
      </c>
      <c r="E26" s="44" t="s">
        <v>194</v>
      </c>
      <c r="I26" s="0" t="s">
        <v>1594</v>
      </c>
    </row>
    <row r="27" customFormat="false" ht="13.15" hidden="false" customHeight="false" outlineLevel="0" collapsed="false">
      <c r="A27" s="0" t="e">
        <v>#NAME?</v>
      </c>
      <c r="C27" s="44" t="s">
        <v>1595</v>
      </c>
      <c r="D27" s="44" t="s">
        <v>195</v>
      </c>
      <c r="E27" s="44" t="s">
        <v>197</v>
      </c>
      <c r="I27" s="0" t="s">
        <v>62</v>
      </c>
    </row>
    <row r="28" customFormat="false" ht="13.15" hidden="false" customHeight="false" outlineLevel="0" collapsed="false">
      <c r="A28" s="0" t="e">
        <v>#NAME?</v>
      </c>
      <c r="C28" s="44" t="s">
        <v>1596</v>
      </c>
      <c r="D28" s="44" t="s">
        <v>196</v>
      </c>
      <c r="E28" s="44" t="s">
        <v>198</v>
      </c>
      <c r="I28" s="0" t="s">
        <v>63</v>
      </c>
    </row>
    <row r="29" customFormat="false" ht="13.15" hidden="false" customHeight="false" outlineLevel="0" collapsed="false">
      <c r="A29" s="0" t="e">
        <v>#NAME?</v>
      </c>
      <c r="C29" s="44" t="s">
        <v>713</v>
      </c>
      <c r="D29" s="44" t="s">
        <v>199</v>
      </c>
      <c r="E29" s="44" t="s">
        <v>200</v>
      </c>
      <c r="I29" s="0" t="s">
        <v>68</v>
      </c>
    </row>
    <row r="30" customFormat="false" ht="13.15" hidden="false" customHeight="false" outlineLevel="0" collapsed="false">
      <c r="A30" s="0" t="e">
        <v>#NAME?</v>
      </c>
      <c r="C30" s="44" t="s">
        <v>720</v>
      </c>
      <c r="D30" s="44" t="s">
        <v>202</v>
      </c>
      <c r="E30" s="44" t="s">
        <v>203</v>
      </c>
      <c r="I30" s="0" t="s">
        <v>69</v>
      </c>
    </row>
    <row r="31" customFormat="false" ht="13.15" hidden="false" customHeight="false" outlineLevel="0" collapsed="false">
      <c r="A31" s="0" t="e">
        <v>#NAME?</v>
      </c>
      <c r="C31" s="44" t="s">
        <v>735</v>
      </c>
      <c r="D31" s="44" t="s">
        <v>210</v>
      </c>
      <c r="E31" s="44" t="s">
        <v>211</v>
      </c>
      <c r="I31" s="0" t="s">
        <v>70</v>
      </c>
    </row>
    <row r="32" customFormat="false" ht="13.15" hidden="false" customHeight="false" outlineLevel="0" collapsed="false">
      <c r="A32" s="0" t="e">
        <v>#NAME?</v>
      </c>
      <c r="C32" s="44" t="s">
        <v>1597</v>
      </c>
      <c r="D32" s="44" t="s">
        <v>1598</v>
      </c>
      <c r="E32" s="44" t="s">
        <v>1599</v>
      </c>
      <c r="I32" s="0" t="s">
        <v>71</v>
      </c>
    </row>
    <row r="33" customFormat="false" ht="13.15" hidden="false" customHeight="false" outlineLevel="0" collapsed="false">
      <c r="A33" s="0" t="e">
        <v>#NAME?</v>
      </c>
      <c r="C33" s="44" t="s">
        <v>1600</v>
      </c>
      <c r="D33" s="0" t="s">
        <v>236</v>
      </c>
      <c r="E33" s="0" t="s">
        <v>237</v>
      </c>
      <c r="I33" s="0" t="s">
        <v>72</v>
      </c>
    </row>
    <row r="34" customFormat="false" ht="13.15" hidden="false" customHeight="false" outlineLevel="0" collapsed="false">
      <c r="A34" s="0" t="e">
        <v>#NAME?</v>
      </c>
      <c r="C34" s="44" t="s">
        <v>844</v>
      </c>
      <c r="D34" s="0" t="s">
        <v>247</v>
      </c>
      <c r="E34" s="44" t="s">
        <v>248</v>
      </c>
      <c r="I34" s="0" t="s">
        <v>73</v>
      </c>
    </row>
    <row r="35" customFormat="false" ht="13.15" hidden="false" customHeight="false" outlineLevel="0" collapsed="false">
      <c r="A35" s="0" t="e">
        <v>#NAME?</v>
      </c>
      <c r="C35" s="44" t="s">
        <v>800</v>
      </c>
      <c r="D35" s="44" t="s">
        <v>250</v>
      </c>
      <c r="E35" s="44" t="s">
        <v>251</v>
      </c>
      <c r="I35" s="0" t="s">
        <v>74</v>
      </c>
    </row>
    <row r="36" customFormat="false" ht="13.15" hidden="false" customHeight="false" outlineLevel="0" collapsed="false">
      <c r="A36" s="0" t="e">
        <v>#NAME?</v>
      </c>
      <c r="C36" s="44" t="s">
        <v>807</v>
      </c>
      <c r="D36" s="44" t="s">
        <v>255</v>
      </c>
      <c r="E36" s="44" t="s">
        <v>256</v>
      </c>
      <c r="I36" s="0" t="s">
        <v>75</v>
      </c>
    </row>
    <row r="37" customFormat="false" ht="13.15" hidden="false" customHeight="false" outlineLevel="0" collapsed="false">
      <c r="A37" s="0" t="e">
        <v>#NAME?</v>
      </c>
      <c r="C37" s="44" t="s">
        <v>809</v>
      </c>
      <c r="D37" s="44" t="s">
        <v>257</v>
      </c>
      <c r="E37" s="44" t="s">
        <v>258</v>
      </c>
      <c r="I37" s="0" t="s">
        <v>76</v>
      </c>
    </row>
    <row r="38" customFormat="false" ht="13.15" hidden="false" customHeight="false" outlineLevel="0" collapsed="false">
      <c r="A38" s="0" t="e">
        <v>#NAME?</v>
      </c>
      <c r="C38" s="44"/>
      <c r="I38" s="0" t="s">
        <v>77</v>
      </c>
    </row>
    <row r="39" customFormat="false" ht="13.15" hidden="false" customHeight="false" outlineLevel="0" collapsed="false">
      <c r="A39" s="0" t="e">
        <v>#NAME?</v>
      </c>
      <c r="C39" s="44"/>
      <c r="I39" s="0" t="s">
        <v>78</v>
      </c>
    </row>
    <row r="40" customFormat="false" ht="13.15" hidden="false" customHeight="false" outlineLevel="0" collapsed="false">
      <c r="A40" s="0" t="e">
        <v>#NAME?</v>
      </c>
      <c r="I40" s="0" t="s">
        <v>79</v>
      </c>
    </row>
    <row r="41" customFormat="false" ht="13.15" hidden="false" customHeight="false" outlineLevel="0" collapsed="false">
      <c r="A41" s="0" t="e">
        <v>#NAME?</v>
      </c>
      <c r="I41" s="0" t="s">
        <v>80</v>
      </c>
    </row>
    <row r="42" customFormat="false" ht="13.15" hidden="false" customHeight="false" outlineLevel="0" collapsed="false">
      <c r="A42" s="0" t="e">
        <v>#NAME?</v>
      </c>
      <c r="I42" s="0" t="s">
        <v>81</v>
      </c>
    </row>
    <row r="43" customFormat="false" ht="13.15" hidden="false" customHeight="false" outlineLevel="0" collapsed="false">
      <c r="A43" s="0" t="e">
        <v>#NAME?</v>
      </c>
      <c r="I43" s="0" t="s">
        <v>82</v>
      </c>
    </row>
    <row r="44" customFormat="false" ht="13.15" hidden="false" customHeight="false" outlineLevel="0" collapsed="false">
      <c r="A44" s="0" t="e">
        <v>#NAME?</v>
      </c>
      <c r="I44" s="0" t="s">
        <v>83</v>
      </c>
    </row>
    <row r="45" customFormat="false" ht="13.15" hidden="false" customHeight="false" outlineLevel="0" collapsed="false">
      <c r="A45" s="0" t="e">
        <v>#NAME?</v>
      </c>
      <c r="I45" s="0" t="s">
        <v>84</v>
      </c>
    </row>
    <row r="46" customFormat="false" ht="13.15" hidden="false" customHeight="false" outlineLevel="0" collapsed="false">
      <c r="A46" s="0" t="e">
        <v>#NAME?</v>
      </c>
      <c r="I46" s="0" t="s">
        <v>85</v>
      </c>
    </row>
    <row r="47" customFormat="false" ht="13.15" hidden="false" customHeight="false" outlineLevel="0" collapsed="false">
      <c r="A47" s="0" t="e">
        <v>#NAME?</v>
      </c>
      <c r="I47" s="0" t="s">
        <v>86</v>
      </c>
    </row>
    <row r="48" customFormat="false" ht="13.15" hidden="false" customHeight="false" outlineLevel="0" collapsed="false">
      <c r="A48" s="0" t="e">
        <v>#NAME?</v>
      </c>
      <c r="I48" s="0" t="s">
        <v>93</v>
      </c>
    </row>
    <row r="49" customFormat="false" ht="13.15" hidden="false" customHeight="false" outlineLevel="0" collapsed="false">
      <c r="A49" s="0" t="e">
        <v>#NAME?</v>
      </c>
      <c r="I49" s="0" t="s">
        <v>94</v>
      </c>
    </row>
    <row r="50" customFormat="false" ht="13.15" hidden="false" customHeight="false" outlineLevel="0" collapsed="false">
      <c r="A50" s="0" t="e">
        <v>#NAME?</v>
      </c>
      <c r="I50" s="0" t="s">
        <v>97</v>
      </c>
    </row>
    <row r="51" customFormat="false" ht="13.15" hidden="false" customHeight="false" outlineLevel="0" collapsed="false">
      <c r="A51" s="0" t="e">
        <v>#NAME?</v>
      </c>
      <c r="I51" s="0" t="s">
        <v>98</v>
      </c>
    </row>
    <row r="52" customFormat="false" ht="13.15" hidden="false" customHeight="false" outlineLevel="0" collapsed="false">
      <c r="A52" s="0" t="e">
        <v>#NAME?</v>
      </c>
      <c r="I52" s="0" t="s">
        <v>99</v>
      </c>
    </row>
    <row r="53" customFormat="false" ht="13.15" hidden="false" customHeight="false" outlineLevel="0" collapsed="false">
      <c r="A53" s="0" t="e">
        <v>#NAME?</v>
      </c>
      <c r="I53" s="0" t="s">
        <v>100</v>
      </c>
    </row>
    <row r="54" customFormat="false" ht="13.15" hidden="false" customHeight="false" outlineLevel="0" collapsed="false">
      <c r="A54" s="0" t="e">
        <v>#NAME?</v>
      </c>
      <c r="I54" s="0" t="s">
        <v>101</v>
      </c>
    </row>
    <row r="55" customFormat="false" ht="13.15" hidden="false" customHeight="false" outlineLevel="0" collapsed="false">
      <c r="A55" s="0" t="e">
        <v>#NAME?</v>
      </c>
      <c r="I55" s="0" t="s">
        <v>102</v>
      </c>
    </row>
    <row r="56" customFormat="false" ht="13.15" hidden="false" customHeight="false" outlineLevel="0" collapsed="false">
      <c r="A56" s="0" t="e">
        <v>#NAME?</v>
      </c>
      <c r="I56" s="0" t="s">
        <v>103</v>
      </c>
    </row>
    <row r="57" customFormat="false" ht="13.15" hidden="false" customHeight="false" outlineLevel="0" collapsed="false">
      <c r="A57" s="0" t="e">
        <v>#NAME?</v>
      </c>
      <c r="I57" s="0" t="s">
        <v>104</v>
      </c>
    </row>
    <row r="58" customFormat="false" ht="13.15" hidden="false" customHeight="false" outlineLevel="0" collapsed="false">
      <c r="A58" s="0" t="e">
        <v>#NAME?</v>
      </c>
      <c r="I58" s="0" t="s">
        <v>105</v>
      </c>
    </row>
    <row r="59" customFormat="false" ht="13.15" hidden="false" customHeight="false" outlineLevel="0" collapsed="false">
      <c r="A59" s="0" t="e">
        <v>#NAME?</v>
      </c>
      <c r="I59" s="0" t="s">
        <v>106</v>
      </c>
    </row>
    <row r="60" customFormat="false" ht="13.15" hidden="false" customHeight="false" outlineLevel="0" collapsed="false">
      <c r="A60" s="0" t="e">
        <v>#NAME?</v>
      </c>
      <c r="I60" s="0" t="s">
        <v>107</v>
      </c>
    </row>
    <row r="61" customFormat="false" ht="13.15" hidden="false" customHeight="false" outlineLevel="0" collapsed="false">
      <c r="A61" s="0" t="e">
        <v>#NAME?</v>
      </c>
      <c r="I61" s="0" t="s">
        <v>108</v>
      </c>
    </row>
    <row r="62" customFormat="false" ht="13.15" hidden="false" customHeight="false" outlineLevel="0" collapsed="false">
      <c r="A62" s="0" t="e">
        <v>#NAME?</v>
      </c>
      <c r="I62" s="0" t="s">
        <v>109</v>
      </c>
    </row>
    <row r="63" customFormat="false" ht="13.15" hidden="false" customHeight="false" outlineLevel="0" collapsed="false">
      <c r="A63" s="0" t="e">
        <v>#NAME?</v>
      </c>
      <c r="I63" s="0" t="s">
        <v>110</v>
      </c>
    </row>
    <row r="64" customFormat="false" ht="13.15" hidden="false" customHeight="false" outlineLevel="0" collapsed="false">
      <c r="A64" s="0" t="e">
        <v>#NAME?</v>
      </c>
      <c r="I64" s="0" t="s">
        <v>111</v>
      </c>
    </row>
    <row r="65" customFormat="false" ht="13.15" hidden="false" customHeight="false" outlineLevel="0" collapsed="false">
      <c r="A65" s="0" t="e">
        <v>#NAME?</v>
      </c>
      <c r="I65" s="0" t="s">
        <v>112</v>
      </c>
    </row>
    <row r="66" customFormat="false" ht="13.15" hidden="false" customHeight="false" outlineLevel="0" collapsed="false">
      <c r="A66" s="0" t="e">
        <v>#NAME?</v>
      </c>
      <c r="I66" s="0" t="s">
        <v>113</v>
      </c>
    </row>
    <row r="67" customFormat="false" ht="13.15" hidden="false" customHeight="false" outlineLevel="0" collapsed="false">
      <c r="A67" s="0" t="e">
        <v>#NAME?</v>
      </c>
      <c r="I67" s="0" t="s">
        <v>114</v>
      </c>
    </row>
    <row r="68" customFormat="false" ht="13.15" hidden="false" customHeight="false" outlineLevel="0" collapsed="false">
      <c r="A68" s="0" t="e">
        <v>#NAME?</v>
      </c>
      <c r="I68" s="0" t="s">
        <v>115</v>
      </c>
    </row>
    <row r="69" customFormat="false" ht="13.15" hidden="false" customHeight="false" outlineLevel="0" collapsed="false">
      <c r="A69" s="0" t="e">
        <v>#NAME?</v>
      </c>
      <c r="I69" s="0" t="s">
        <v>116</v>
      </c>
    </row>
    <row r="70" customFormat="false" ht="13.15" hidden="false" customHeight="false" outlineLevel="0" collapsed="false">
      <c r="A70" s="0" t="e">
        <v>#NAME?</v>
      </c>
      <c r="I70" s="0" t="s">
        <v>121</v>
      </c>
    </row>
    <row r="71" customFormat="false" ht="13.15" hidden="false" customHeight="false" outlineLevel="0" collapsed="false">
      <c r="A71" s="0" t="e">
        <v>#NAME?</v>
      </c>
      <c r="I71" s="0" t="s">
        <v>122</v>
      </c>
    </row>
    <row r="72" customFormat="false" ht="13.15" hidden="false" customHeight="false" outlineLevel="0" collapsed="false">
      <c r="A72" s="0" t="e">
        <v>#NAME?</v>
      </c>
      <c r="I72" s="0" t="s">
        <v>123</v>
      </c>
    </row>
    <row r="73" customFormat="false" ht="13.15" hidden="false" customHeight="false" outlineLevel="0" collapsed="false">
      <c r="A73" s="0" t="e">
        <v>#NAME?</v>
      </c>
      <c r="I73" s="0" t="s">
        <v>126</v>
      </c>
    </row>
    <row r="74" customFormat="false" ht="13.15" hidden="false" customHeight="false" outlineLevel="0" collapsed="false">
      <c r="A74" s="0" t="e">
        <v>#NAME?</v>
      </c>
      <c r="I74" s="0" t="s">
        <v>127</v>
      </c>
    </row>
    <row r="75" customFormat="false" ht="13.15" hidden="false" customHeight="false" outlineLevel="0" collapsed="false">
      <c r="A75" s="0" t="e">
        <v>#NAME?</v>
      </c>
      <c r="I75" s="0" t="s">
        <v>128</v>
      </c>
    </row>
    <row r="76" customFormat="false" ht="13.15" hidden="false" customHeight="false" outlineLevel="0" collapsed="false">
      <c r="A76" s="0" t="e">
        <v>#NAME?</v>
      </c>
      <c r="I76" s="0" t="s">
        <v>131</v>
      </c>
    </row>
    <row r="77" customFormat="false" ht="13.15" hidden="false" customHeight="false" outlineLevel="0" collapsed="false">
      <c r="A77" s="0" t="e">
        <v>#NAME?</v>
      </c>
      <c r="I77" s="0" t="s">
        <v>136</v>
      </c>
    </row>
    <row r="78" customFormat="false" ht="13.15" hidden="false" customHeight="false" outlineLevel="0" collapsed="false">
      <c r="A78" s="0" t="e">
        <v>#NAME?</v>
      </c>
      <c r="I78" s="0" t="s">
        <v>137</v>
      </c>
    </row>
    <row r="79" customFormat="false" ht="13.15" hidden="false" customHeight="false" outlineLevel="0" collapsed="false">
      <c r="A79" s="0" t="e">
        <v>#NAME?</v>
      </c>
      <c r="I79" s="0" t="s">
        <v>138</v>
      </c>
    </row>
    <row r="80" customFormat="false" ht="13.15" hidden="false" customHeight="false" outlineLevel="0" collapsed="false">
      <c r="A80" s="0" t="e">
        <v>#NAME?</v>
      </c>
      <c r="I80" s="0" t="s">
        <v>139</v>
      </c>
    </row>
    <row r="81" customFormat="false" ht="13.15" hidden="false" customHeight="false" outlineLevel="0" collapsed="false">
      <c r="A81" s="0" t="e">
        <v>#NAME?</v>
      </c>
      <c r="I81" s="0" t="s">
        <v>140</v>
      </c>
    </row>
    <row r="82" customFormat="false" ht="13.15" hidden="false" customHeight="false" outlineLevel="0" collapsed="false">
      <c r="A82" s="0" t="e">
        <v>#NAME?</v>
      </c>
      <c r="I82" s="0" t="s">
        <v>141</v>
      </c>
    </row>
    <row r="83" customFormat="false" ht="13.15" hidden="false" customHeight="false" outlineLevel="0" collapsed="false">
      <c r="A83" s="0" t="e">
        <v>#NAME?</v>
      </c>
      <c r="I83" s="0" t="s">
        <v>142</v>
      </c>
    </row>
    <row r="84" customFormat="false" ht="13.15" hidden="false" customHeight="false" outlineLevel="0" collapsed="false">
      <c r="A84" s="0" t="e">
        <v>#NAME?</v>
      </c>
      <c r="I84" s="0" t="s">
        <v>143</v>
      </c>
    </row>
    <row r="85" customFormat="false" ht="13.15" hidden="false" customHeight="false" outlineLevel="0" collapsed="false">
      <c r="A85" s="0" t="e">
        <v>#NAME?</v>
      </c>
      <c r="I85" s="0" t="s">
        <v>144</v>
      </c>
    </row>
    <row r="86" customFormat="false" ht="13.15" hidden="false" customHeight="false" outlineLevel="0" collapsed="false">
      <c r="A86" s="0" t="e">
        <v>#NAME?</v>
      </c>
      <c r="I86" s="0" t="s">
        <v>145</v>
      </c>
    </row>
    <row r="87" customFormat="false" ht="13.15" hidden="false" customHeight="false" outlineLevel="0" collapsed="false">
      <c r="A87" s="0" t="e">
        <v>#NAME?</v>
      </c>
      <c r="I87" s="0" t="s">
        <v>146</v>
      </c>
    </row>
    <row r="88" customFormat="false" ht="13.15" hidden="false" customHeight="false" outlineLevel="0" collapsed="false">
      <c r="A88" s="0" t="e">
        <v>#NAME?</v>
      </c>
      <c r="I88" s="0" t="s">
        <v>147</v>
      </c>
    </row>
    <row r="89" customFormat="false" ht="13.15" hidden="false" customHeight="false" outlineLevel="0" collapsed="false">
      <c r="A89" s="0" t="e">
        <v>#NAME?</v>
      </c>
      <c r="I89" s="0" t="s">
        <v>148</v>
      </c>
    </row>
    <row r="90" customFormat="false" ht="13.15" hidden="false" customHeight="false" outlineLevel="0" collapsed="false">
      <c r="A90" s="0" t="e">
        <v>#NAME?</v>
      </c>
      <c r="I90" s="0" t="s">
        <v>149</v>
      </c>
    </row>
    <row r="91" customFormat="false" ht="13.15" hidden="false" customHeight="false" outlineLevel="0" collapsed="false">
      <c r="A91" s="0" t="e">
        <v>#NAME?</v>
      </c>
      <c r="I91" s="52" t="s">
        <v>150</v>
      </c>
    </row>
    <row r="92" customFormat="false" ht="13.15" hidden="false" customHeight="false" outlineLevel="0" collapsed="false">
      <c r="A92" s="0" t="e">
        <v>#NAME?</v>
      </c>
      <c r="I92" s="0" t="s">
        <v>151</v>
      </c>
    </row>
    <row r="93" customFormat="false" ht="13.15" hidden="false" customHeight="false" outlineLevel="0" collapsed="false">
      <c r="A93" s="0" t="e">
        <v>#NAME?</v>
      </c>
      <c r="I93" s="0" t="s">
        <v>152</v>
      </c>
    </row>
    <row r="94" customFormat="false" ht="13.15" hidden="false" customHeight="false" outlineLevel="0" collapsed="false">
      <c r="A94" s="0" t="e">
        <v>#NAME?</v>
      </c>
      <c r="I94" s="0" t="s">
        <v>153</v>
      </c>
    </row>
    <row r="95" customFormat="false" ht="13.15" hidden="false" customHeight="false" outlineLevel="0" collapsed="false">
      <c r="A95" s="0" t="e">
        <v>#NAME?</v>
      </c>
      <c r="I95" s="0" t="s">
        <v>154</v>
      </c>
    </row>
    <row r="96" customFormat="false" ht="13.15" hidden="false" customHeight="false" outlineLevel="0" collapsed="false">
      <c r="A96" s="0" t="e">
        <v>#NAME?</v>
      </c>
      <c r="I96" s="0" t="s">
        <v>155</v>
      </c>
    </row>
    <row r="97" customFormat="false" ht="13.15" hidden="false" customHeight="false" outlineLevel="0" collapsed="false">
      <c r="A97" s="0" t="e">
        <v>#NAME?</v>
      </c>
      <c r="I97" s="0" t="s">
        <v>160</v>
      </c>
    </row>
    <row r="98" customFormat="false" ht="13.15" hidden="false" customHeight="false" outlineLevel="0" collapsed="false">
      <c r="A98" s="0" t="e">
        <v>#NAME?</v>
      </c>
      <c r="I98" s="0" t="s">
        <v>161</v>
      </c>
    </row>
    <row r="99" customFormat="false" ht="13.15" hidden="false" customHeight="false" outlineLevel="0" collapsed="false">
      <c r="A99" s="0" t="e">
        <v>#NAME?</v>
      </c>
      <c r="I99" s="0" t="s">
        <v>162</v>
      </c>
    </row>
    <row r="100" customFormat="false" ht="13.15" hidden="false" customHeight="false" outlineLevel="0" collapsed="false">
      <c r="A100" s="0" t="e">
        <v>#NAME?</v>
      </c>
      <c r="I100" s="0" t="s">
        <v>163</v>
      </c>
    </row>
    <row r="101" customFormat="false" ht="13.15" hidden="false" customHeight="false" outlineLevel="0" collapsed="false">
      <c r="A101" s="0" t="e">
        <v>#NAME?</v>
      </c>
      <c r="I101" s="0" t="s">
        <v>164</v>
      </c>
    </row>
    <row r="102" customFormat="false" ht="13.15" hidden="false" customHeight="false" outlineLevel="0" collapsed="false">
      <c r="A102" s="0" t="e">
        <v>#NAME?</v>
      </c>
      <c r="I102" s="0" t="s">
        <v>165</v>
      </c>
    </row>
    <row r="103" customFormat="false" ht="13.15" hidden="false" customHeight="false" outlineLevel="0" collapsed="false">
      <c r="A103" s="0" t="e">
        <v>#NAME?</v>
      </c>
      <c r="I103" s="0" t="s">
        <v>166</v>
      </c>
    </row>
    <row r="104" customFormat="false" ht="13.15" hidden="false" customHeight="false" outlineLevel="0" collapsed="false">
      <c r="A104" s="0" t="e">
        <v>#NAME?</v>
      </c>
      <c r="I104" s="0" t="s">
        <v>167</v>
      </c>
    </row>
    <row r="105" customFormat="false" ht="13.15" hidden="false" customHeight="false" outlineLevel="0" collapsed="false">
      <c r="A105" s="0" t="e">
        <v>#NAME?</v>
      </c>
      <c r="I105" s="0" t="s">
        <v>168</v>
      </c>
    </row>
    <row r="106" customFormat="false" ht="13.15" hidden="false" customHeight="false" outlineLevel="0" collapsed="false">
      <c r="A106" s="0" t="e">
        <v>#NAME?</v>
      </c>
      <c r="I106" s="0" t="s">
        <v>169</v>
      </c>
    </row>
    <row r="107" customFormat="false" ht="13.15" hidden="false" customHeight="false" outlineLevel="0" collapsed="false">
      <c r="A107" s="0" t="e">
        <v>#NAME?</v>
      </c>
      <c r="I107" s="0" t="s">
        <v>170</v>
      </c>
    </row>
    <row r="108" customFormat="false" ht="13.15" hidden="false" customHeight="false" outlineLevel="0" collapsed="false">
      <c r="A108" s="0" t="e">
        <v>#NAME?</v>
      </c>
      <c r="I108" s="0" t="s">
        <v>1601</v>
      </c>
    </row>
    <row r="109" customFormat="false" ht="13.15" hidden="false" customHeight="false" outlineLevel="0" collapsed="false">
      <c r="A109" s="0" t="e">
        <v>#NAME?</v>
      </c>
      <c r="I109" s="0" t="s">
        <v>176</v>
      </c>
    </row>
    <row r="110" customFormat="false" ht="13.15" hidden="false" customHeight="false" outlineLevel="0" collapsed="false">
      <c r="A110" s="0" t="e">
        <v>#NAME?</v>
      </c>
      <c r="I110" s="0" t="s">
        <v>177</v>
      </c>
    </row>
    <row r="111" customFormat="false" ht="13.15" hidden="false" customHeight="false" outlineLevel="0" collapsed="false">
      <c r="A111" s="0" t="e">
        <v>#NAME?</v>
      </c>
      <c r="I111" s="0" t="s">
        <v>178</v>
      </c>
    </row>
    <row r="112" customFormat="false" ht="13.15" hidden="false" customHeight="false" outlineLevel="0" collapsed="false">
      <c r="A112" s="0" t="e">
        <v>#NAME?</v>
      </c>
      <c r="I112" s="0" t="s">
        <v>179</v>
      </c>
    </row>
    <row r="113" customFormat="false" ht="13.15" hidden="false" customHeight="false" outlineLevel="0" collapsed="false">
      <c r="A113" s="0" t="e">
        <v>#NAME?</v>
      </c>
      <c r="I113" s="0" t="s">
        <v>180</v>
      </c>
    </row>
    <row r="114" customFormat="false" ht="13.15" hidden="false" customHeight="false" outlineLevel="0" collapsed="false">
      <c r="A114" s="0" t="e">
        <v>#NAME?</v>
      </c>
      <c r="I114" s="0" t="s">
        <v>181</v>
      </c>
    </row>
    <row r="115" customFormat="false" ht="13.15" hidden="false" customHeight="false" outlineLevel="0" collapsed="false">
      <c r="A115" s="0" t="e">
        <v>#NAME?</v>
      </c>
      <c r="I115" s="0" t="s">
        <v>182</v>
      </c>
    </row>
    <row r="116" customFormat="false" ht="13.15" hidden="false" customHeight="false" outlineLevel="0" collapsed="false">
      <c r="A116" s="0" t="e">
        <v>#NAME?</v>
      </c>
      <c r="I116" s="0" t="s">
        <v>183</v>
      </c>
    </row>
    <row r="117" customFormat="false" ht="13.15" hidden="false" customHeight="false" outlineLevel="0" collapsed="false">
      <c r="A117" s="0" t="e">
        <v>#NAME?</v>
      </c>
      <c r="I117" s="0" t="s">
        <v>184</v>
      </c>
    </row>
    <row r="118" customFormat="false" ht="13.15" hidden="false" customHeight="false" outlineLevel="0" collapsed="false">
      <c r="A118" s="0" t="e">
        <v>#NAME?</v>
      </c>
      <c r="I118" s="0" t="s">
        <v>185</v>
      </c>
    </row>
    <row r="119" customFormat="false" ht="13.15" hidden="false" customHeight="false" outlineLevel="0" collapsed="false">
      <c r="A119" s="0" t="e">
        <v>#NAME?</v>
      </c>
      <c r="I119" s="0" t="s">
        <v>186</v>
      </c>
    </row>
    <row r="120" customFormat="false" ht="13.15" hidden="false" customHeight="false" outlineLevel="0" collapsed="false">
      <c r="A120" s="0" t="e">
        <v>#NAME?</v>
      </c>
      <c r="I120" s="0" t="s">
        <v>189</v>
      </c>
    </row>
    <row r="121" customFormat="false" ht="13.15" hidden="false" customHeight="false" outlineLevel="0" collapsed="false">
      <c r="A121" s="0" t="e">
        <v>#NAME?</v>
      </c>
      <c r="I121" s="0" t="s">
        <v>190</v>
      </c>
    </row>
    <row r="122" customFormat="false" ht="13.15" hidden="false" customHeight="false" outlineLevel="0" collapsed="false">
      <c r="A122" s="0" t="e">
        <v>#NAME?</v>
      </c>
      <c r="I122" s="0" t="s">
        <v>191</v>
      </c>
    </row>
    <row r="123" customFormat="false" ht="13.15" hidden="false" customHeight="false" outlineLevel="0" collapsed="false">
      <c r="A123" s="0" t="e">
        <v>#NAME?</v>
      </c>
      <c r="I123" s="0" t="s">
        <v>192</v>
      </c>
    </row>
    <row r="124" customFormat="false" ht="13.15" hidden="false" customHeight="false" outlineLevel="0" collapsed="false">
      <c r="A124" s="0" t="e">
        <v>#NAME?</v>
      </c>
      <c r="I124" s="0" t="s">
        <v>201</v>
      </c>
    </row>
    <row r="125" customFormat="false" ht="13.15" hidden="false" customHeight="false" outlineLevel="0" collapsed="false">
      <c r="A125" s="0" t="e">
        <v>#NAME?</v>
      </c>
      <c r="I125" s="0" t="s">
        <v>204</v>
      </c>
    </row>
    <row r="126" customFormat="false" ht="13.15" hidden="false" customHeight="false" outlineLevel="0" collapsed="false">
      <c r="A126" s="0" t="e">
        <v>#NAME?</v>
      </c>
      <c r="I126" s="0" t="s">
        <v>205</v>
      </c>
    </row>
    <row r="127" customFormat="false" ht="13.15" hidden="false" customHeight="false" outlineLevel="0" collapsed="false">
      <c r="A127" s="0" t="e">
        <v>#NAME?</v>
      </c>
      <c r="I127" s="0" t="s">
        <v>206</v>
      </c>
    </row>
    <row r="128" customFormat="false" ht="13.15" hidden="false" customHeight="false" outlineLevel="0" collapsed="false">
      <c r="A128" s="0" t="e">
        <v>#NAME?</v>
      </c>
      <c r="I128" s="0" t="s">
        <v>207</v>
      </c>
    </row>
    <row r="129" customFormat="false" ht="13.15" hidden="false" customHeight="false" outlineLevel="0" collapsed="false">
      <c r="A129" s="0" t="e">
        <v>#NAME?</v>
      </c>
      <c r="I129" s="0" t="s">
        <v>208</v>
      </c>
    </row>
    <row r="130" customFormat="false" ht="13.15" hidden="false" customHeight="false" outlineLevel="0" collapsed="false">
      <c r="A130" s="0" t="e">
        <v>#NAME?</v>
      </c>
      <c r="I130" s="0" t="s">
        <v>209</v>
      </c>
    </row>
    <row r="131" customFormat="false" ht="13.15" hidden="false" customHeight="false" outlineLevel="0" collapsed="false">
      <c r="A131" s="0" t="e">
        <v>#NAME?</v>
      </c>
      <c r="I131" s="0" t="s">
        <v>212</v>
      </c>
    </row>
    <row r="132" customFormat="false" ht="13.15" hidden="false" customHeight="false" outlineLevel="0" collapsed="false">
      <c r="A132" s="0" t="e">
        <v>#NAME?</v>
      </c>
      <c r="I132" s="52" t="s">
        <v>213</v>
      </c>
    </row>
    <row r="133" customFormat="false" ht="13.15" hidden="false" customHeight="false" outlineLevel="0" collapsed="false">
      <c r="A133" s="0" t="e">
        <v>#NAME?</v>
      </c>
      <c r="I133" s="0" t="s">
        <v>214</v>
      </c>
    </row>
    <row r="134" customFormat="false" ht="13.15" hidden="false" customHeight="false" outlineLevel="0" collapsed="false">
      <c r="A134" s="0" t="e">
        <v>#NAME?</v>
      </c>
      <c r="I134" s="0" t="s">
        <v>215</v>
      </c>
    </row>
    <row r="135" customFormat="false" ht="13.15" hidden="false" customHeight="false" outlineLevel="0" collapsed="false">
      <c r="A135" s="0" t="e">
        <v>#NAME?</v>
      </c>
      <c r="I135" s="0" t="s">
        <v>216</v>
      </c>
    </row>
    <row r="136" customFormat="false" ht="13.15" hidden="false" customHeight="false" outlineLevel="0" collapsed="false">
      <c r="A136" s="0" t="e">
        <v>#NAME?</v>
      </c>
      <c r="I136" s="0" t="s">
        <v>217</v>
      </c>
    </row>
    <row r="137" customFormat="false" ht="13.15" hidden="false" customHeight="false" outlineLevel="0" collapsed="false">
      <c r="A137" s="0" t="e">
        <v>#NAME?</v>
      </c>
      <c r="I137" s="0" t="s">
        <v>218</v>
      </c>
    </row>
    <row r="138" customFormat="false" ht="13.15" hidden="false" customHeight="false" outlineLevel="0" collapsed="false">
      <c r="A138" s="0" t="e">
        <v>#NAME?</v>
      </c>
      <c r="I138" s="0" t="s">
        <v>219</v>
      </c>
    </row>
    <row r="139" customFormat="false" ht="13.15" hidden="false" customHeight="false" outlineLevel="0" collapsed="false">
      <c r="A139" s="0" t="e">
        <v>#NAME?</v>
      </c>
      <c r="I139" s="0" t="s">
        <v>220</v>
      </c>
    </row>
    <row r="140" customFormat="false" ht="13.15" hidden="false" customHeight="false" outlineLevel="0" collapsed="false">
      <c r="A140" s="0" t="e">
        <v>#NAME?</v>
      </c>
      <c r="I140" s="0" t="s">
        <v>221</v>
      </c>
    </row>
    <row r="141" customFormat="false" ht="13.15" hidden="false" customHeight="false" outlineLevel="0" collapsed="false">
      <c r="A141" s="0" t="e">
        <v>#NAME?</v>
      </c>
      <c r="I141" s="0" t="s">
        <v>222</v>
      </c>
    </row>
    <row r="142" customFormat="false" ht="13.15" hidden="false" customHeight="false" outlineLevel="0" collapsed="false">
      <c r="A142" s="0" t="e">
        <v>#NAME?</v>
      </c>
      <c r="I142" s="0" t="s">
        <v>223</v>
      </c>
    </row>
    <row r="143" customFormat="false" ht="13.15" hidden="false" customHeight="false" outlineLevel="0" collapsed="false">
      <c r="A143" s="0" t="e">
        <v>#NAME?</v>
      </c>
      <c r="I143" s="0" t="s">
        <v>1602</v>
      </c>
    </row>
    <row r="144" customFormat="false" ht="13.15" hidden="false" customHeight="false" outlineLevel="0" collapsed="false">
      <c r="A144" s="0" t="e">
        <v>#NAME?</v>
      </c>
      <c r="I144" s="0" t="s">
        <v>225</v>
      </c>
    </row>
    <row r="145" customFormat="false" ht="13.15" hidden="false" customHeight="false" outlineLevel="0" collapsed="false">
      <c r="A145" s="0" t="e">
        <v>#NAME?</v>
      </c>
      <c r="I145" s="0" t="s">
        <v>226</v>
      </c>
    </row>
    <row r="146" customFormat="false" ht="13.15" hidden="false" customHeight="false" outlineLevel="0" collapsed="false">
      <c r="A146" s="0" t="e">
        <v>#NAME?</v>
      </c>
      <c r="I146" s="0" t="s">
        <v>227</v>
      </c>
    </row>
    <row r="147" customFormat="false" ht="13.15" hidden="false" customHeight="false" outlineLevel="0" collapsed="false">
      <c r="A147" s="0" t="e">
        <v>#NAME?</v>
      </c>
      <c r="I147" s="0" t="s">
        <v>228</v>
      </c>
    </row>
    <row r="148" customFormat="false" ht="13.15" hidden="false" customHeight="false" outlineLevel="0" collapsed="false">
      <c r="A148" s="0" t="e">
        <v>#NAME?</v>
      </c>
      <c r="I148" s="0" t="s">
        <v>229</v>
      </c>
    </row>
    <row r="149" customFormat="false" ht="13.15" hidden="false" customHeight="false" outlineLevel="0" collapsed="false">
      <c r="A149" s="0" t="e">
        <v>#NAME?</v>
      </c>
      <c r="I149" s="0" t="s">
        <v>230</v>
      </c>
    </row>
    <row r="150" customFormat="false" ht="13.15" hidden="false" customHeight="false" outlineLevel="0" collapsed="false">
      <c r="A150" s="0" t="e">
        <v>#NAME?</v>
      </c>
      <c r="I150" s="0" t="s">
        <v>231</v>
      </c>
    </row>
    <row r="151" customFormat="false" ht="13.15" hidden="false" customHeight="false" outlineLevel="0" collapsed="false">
      <c r="A151" s="0" t="e">
        <v>#NAME?</v>
      </c>
      <c r="I151" s="0" t="s">
        <v>232</v>
      </c>
    </row>
    <row r="152" customFormat="false" ht="13.15" hidden="false" customHeight="false" outlineLevel="0" collapsed="false">
      <c r="A152" s="0" t="e">
        <v>#NAME?</v>
      </c>
      <c r="I152" s="0" t="s">
        <v>233</v>
      </c>
    </row>
    <row r="153" customFormat="false" ht="13.15" hidden="false" customHeight="false" outlineLevel="0" collapsed="false">
      <c r="A153" s="0" t="e">
        <v>#NAME?</v>
      </c>
      <c r="I153" s="0" t="s">
        <v>238</v>
      </c>
    </row>
    <row r="154" customFormat="false" ht="13.15" hidden="false" customHeight="false" outlineLevel="0" collapsed="false">
      <c r="A154" s="0" t="e">
        <v>#NAME?</v>
      </c>
      <c r="I154" s="0" t="s">
        <v>239</v>
      </c>
    </row>
    <row r="155" customFormat="false" ht="13.15" hidden="false" customHeight="false" outlineLevel="0" collapsed="false">
      <c r="A155" s="0" t="e">
        <v>#NAME?</v>
      </c>
      <c r="I155" s="0" t="s">
        <v>240</v>
      </c>
    </row>
    <row r="156" customFormat="false" ht="13.15" hidden="false" customHeight="false" outlineLevel="0" collapsed="false">
      <c r="A156" s="0" t="e">
        <v>#NAME?</v>
      </c>
      <c r="I156" s="0" t="s">
        <v>241</v>
      </c>
    </row>
    <row r="157" customFormat="false" ht="13.15" hidden="false" customHeight="false" outlineLevel="0" collapsed="false">
      <c r="A157" s="0" t="e">
        <v>#NAME?</v>
      </c>
      <c r="I157" s="0" t="s">
        <v>242</v>
      </c>
    </row>
    <row r="158" customFormat="false" ht="13.15" hidden="false" customHeight="false" outlineLevel="0" collapsed="false">
      <c r="A158" s="0" t="e">
        <v>#NAME?</v>
      </c>
      <c r="I158" s="0" t="s">
        <v>243</v>
      </c>
    </row>
    <row r="159" customFormat="false" ht="13.15" hidden="false" customHeight="false" outlineLevel="0" collapsed="false">
      <c r="A159" s="0" t="e">
        <v>#NAME?</v>
      </c>
      <c r="I159" s="0" t="s">
        <v>244</v>
      </c>
    </row>
    <row r="160" customFormat="false" ht="13.15" hidden="false" customHeight="false" outlineLevel="0" collapsed="false">
      <c r="A160" s="0" t="e">
        <v>#NAME?</v>
      </c>
      <c r="I160" s="0" t="s">
        <v>245</v>
      </c>
    </row>
    <row r="161" customFormat="false" ht="13.15" hidden="false" customHeight="false" outlineLevel="0" collapsed="false">
      <c r="A161" s="0" t="e">
        <v>#NAME?</v>
      </c>
      <c r="I161" s="0" t="s">
        <v>246</v>
      </c>
    </row>
    <row r="162" customFormat="false" ht="13.15" hidden="false" customHeight="false" outlineLevel="0" collapsed="false">
      <c r="A162" s="0" t="e">
        <v>#NAME?</v>
      </c>
      <c r="I162" s="0" t="s">
        <v>249</v>
      </c>
    </row>
    <row r="163" customFormat="false" ht="13.15" hidden="false" customHeight="false" outlineLevel="0" collapsed="false">
      <c r="A163" s="0" t="e">
        <v>#NAME?</v>
      </c>
      <c r="I163" s="0" t="s">
        <v>252</v>
      </c>
    </row>
    <row r="164" customFormat="false" ht="13.15" hidden="false" customHeight="false" outlineLevel="0" collapsed="false">
      <c r="A164" s="0" t="e">
        <v>#NAME?</v>
      </c>
      <c r="I164" s="0" t="s">
        <v>253</v>
      </c>
    </row>
    <row r="165" customFormat="false" ht="13.15" hidden="false" customHeight="false" outlineLevel="0" collapsed="false">
      <c r="A165" s="0" t="e">
        <v>#NAME?</v>
      </c>
      <c r="I165" s="0" t="s">
        <v>254</v>
      </c>
    </row>
    <row r="166" customFormat="false" ht="13.15" hidden="false" customHeight="false" outlineLevel="0" collapsed="false">
      <c r="A166" s="0" t="e">
        <v>#NAME?</v>
      </c>
      <c r="I166" s="0" t="s">
        <v>259</v>
      </c>
    </row>
    <row r="167" customFormat="false" ht="13.15" hidden="false" customHeight="false" outlineLevel="0" collapsed="false">
      <c r="A167" s="0" t="e">
        <v>#NAME?</v>
      </c>
      <c r="I167" s="0" t="s">
        <v>260</v>
      </c>
    </row>
    <row r="168" customFormat="false" ht="13.15" hidden="false" customHeight="false" outlineLevel="0" collapsed="false">
      <c r="A168" s="0" t="e">
        <v>#NAME?</v>
      </c>
      <c r="I168" s="0" t="s">
        <v>261</v>
      </c>
    </row>
    <row r="169" customFormat="false" ht="13.15" hidden="false" customHeight="false" outlineLevel="0" collapsed="false">
      <c r="A169" s="0" t="e">
        <v>#NAME?</v>
      </c>
      <c r="I169" s="0" t="s">
        <v>262</v>
      </c>
    </row>
    <row r="170" customFormat="false" ht="13.15" hidden="false" customHeight="false" outlineLevel="0" collapsed="false">
      <c r="A170" s="0" t="e">
        <v>#NAME?</v>
      </c>
      <c r="I170" s="0" t="s">
        <v>263</v>
      </c>
    </row>
    <row r="171" customFormat="false" ht="13.15" hidden="false" customHeight="false" outlineLevel="0" collapsed="false">
      <c r="A171" s="0" t="e">
        <v>#NAME?</v>
      </c>
      <c r="I171" s="0" t="s">
        <v>264</v>
      </c>
    </row>
    <row r="172" customFormat="false" ht="13.15" hidden="false" customHeight="false" outlineLevel="0" collapsed="false">
      <c r="A172" s="0" t="e">
        <v>#NAME?</v>
      </c>
      <c r="I172" s="0" t="s">
        <v>265</v>
      </c>
    </row>
    <row r="173" customFormat="false" ht="13.15" hidden="false" customHeight="false" outlineLevel="0" collapsed="false">
      <c r="A173" s="0" t="e">
        <v>#NAME?</v>
      </c>
      <c r="I173" s="0" t="s">
        <v>266</v>
      </c>
    </row>
    <row r="174" customFormat="false" ht="13.15" hidden="false" customHeight="false" outlineLevel="0" collapsed="false">
      <c r="A174" s="0" t="e">
        <v>#NAME?</v>
      </c>
      <c r="I174" s="0" t="s">
        <v>267</v>
      </c>
    </row>
    <row r="175" customFormat="false" ht="13.15" hidden="false" customHeight="false" outlineLevel="0" collapsed="false">
      <c r="A175" s="0" t="e">
        <v>#NAME?</v>
      </c>
      <c r="I175" s="0" t="s">
        <v>268</v>
      </c>
    </row>
    <row r="176" customFormat="false" ht="13.15" hidden="false" customHeight="false" outlineLevel="0" collapsed="false">
      <c r="A176" s="0" t="e">
        <v>#NAME?</v>
      </c>
      <c r="I176" s="0" t="s">
        <v>269</v>
      </c>
    </row>
    <row r="177" customFormat="false" ht="13.15" hidden="false" customHeight="false" outlineLevel="0" collapsed="false">
      <c r="A177" s="0" t="e">
        <v>#NAME?</v>
      </c>
    </row>
    <row r="178" customFormat="false" ht="13.15" hidden="false" customHeight="false" outlineLevel="0" collapsed="false">
      <c r="A178" s="0" t="e">
        <v>#NAME?</v>
      </c>
    </row>
    <row r="179" customFormat="false" ht="13.15" hidden="false" customHeight="false" outlineLevel="0" collapsed="false">
      <c r="A179" s="0" t="e">
        <v>#NAME?</v>
      </c>
    </row>
    <row r="180" customFormat="false" ht="13.15" hidden="false" customHeight="false" outlineLevel="0" collapsed="false">
      <c r="A180" s="0" t="e">
        <v>#NAME?</v>
      </c>
    </row>
    <row r="181" customFormat="false" ht="13.15" hidden="false" customHeight="false" outlineLevel="0" collapsed="false">
      <c r="A181" s="0" t="e">
        <v>#NAME?</v>
      </c>
    </row>
    <row r="182" customFormat="false" ht="13.15" hidden="false" customHeight="false" outlineLevel="0" collapsed="false">
      <c r="A182" s="0" t="e">
        <v>#NAME?</v>
      </c>
    </row>
    <row r="183" customFormat="false" ht="13.15" hidden="false" customHeight="false" outlineLevel="0" collapsed="false">
      <c r="A183" s="0" t="e">
        <v>#NAME?</v>
      </c>
    </row>
    <row r="184" customFormat="false" ht="13.15" hidden="false" customHeight="false" outlineLevel="0" collapsed="false">
      <c r="A184" s="0" t="e">
        <v>#NAME?</v>
      </c>
    </row>
    <row r="185" customFormat="false" ht="13.15" hidden="false" customHeight="false" outlineLevel="0" collapsed="false">
      <c r="A185" s="0" t="e">
        <v>#NAME?</v>
      </c>
    </row>
    <row r="186" customFormat="false" ht="13.15" hidden="false" customHeight="false" outlineLevel="0" collapsed="false">
      <c r="A186" s="0" t="e">
        <v>#NAME?</v>
      </c>
    </row>
    <row r="187" customFormat="false" ht="13.15" hidden="false" customHeight="false" outlineLevel="0" collapsed="false">
      <c r="A187" s="0" t="e">
        <v>#NAME?</v>
      </c>
    </row>
    <row r="188" customFormat="false" ht="13.15" hidden="false" customHeight="false" outlineLevel="0" collapsed="false">
      <c r="A188" s="0" t="e">
        <v>#NAME?</v>
      </c>
    </row>
    <row r="189" customFormat="false" ht="13.15" hidden="false" customHeight="false" outlineLevel="0" collapsed="false">
      <c r="A189" s="0" t="e">
        <v>#NAME?</v>
      </c>
    </row>
    <row r="190" customFormat="false" ht="13.15" hidden="false" customHeight="false" outlineLevel="0" collapsed="false">
      <c r="A190" s="0" t="e">
        <v>#NAME?</v>
      </c>
    </row>
    <row r="191" customFormat="false" ht="13.15" hidden="false" customHeight="false" outlineLevel="0" collapsed="false">
      <c r="A191" s="0" t="e">
        <v>#NAME?</v>
      </c>
    </row>
    <row r="192" customFormat="false" ht="13.15" hidden="false" customHeight="false" outlineLevel="0" collapsed="false">
      <c r="A192" s="0" t="e">
        <v>#NAME?</v>
      </c>
    </row>
    <row r="193" customFormat="false" ht="13.15" hidden="false" customHeight="false" outlineLevel="0" collapsed="false">
      <c r="A193" s="0" t="e">
        <v>#NAME?</v>
      </c>
    </row>
    <row r="194" customFormat="false" ht="13.15" hidden="false" customHeight="false" outlineLevel="0" collapsed="false">
      <c r="A194" s="0" t="e">
        <v>#NAME?</v>
      </c>
    </row>
    <row r="195" customFormat="false" ht="13.15" hidden="false" customHeight="false" outlineLevel="0" collapsed="false">
      <c r="A195" s="0" t="e">
        <v>#NAME?</v>
      </c>
    </row>
    <row r="196" customFormat="false" ht="13.15" hidden="false" customHeight="false" outlineLevel="0" collapsed="false">
      <c r="A196" s="0" t="e">
        <v>#NAME?</v>
      </c>
    </row>
    <row r="197" customFormat="false" ht="13.15" hidden="false" customHeight="false" outlineLevel="0" collapsed="false">
      <c r="A197" s="0" t="e">
        <v>#NAME?</v>
      </c>
    </row>
    <row r="198" customFormat="false" ht="13.15" hidden="false" customHeight="false" outlineLevel="0" collapsed="false">
      <c r="A198" s="0" t="e">
        <v>#NAME?</v>
      </c>
    </row>
    <row r="199" customFormat="false" ht="13.15" hidden="false" customHeight="false" outlineLevel="0" collapsed="false">
      <c r="A199" s="0" t="e">
        <v>#NAME?</v>
      </c>
    </row>
    <row r="200" customFormat="false" ht="13.15" hidden="false" customHeight="false" outlineLevel="0" collapsed="false">
      <c r="A200" s="0" t="e">
        <v>#NAME?</v>
      </c>
    </row>
    <row r="201" customFormat="false" ht="13.15" hidden="false" customHeight="false" outlineLevel="0" collapsed="false">
      <c r="A201" s="0" t="e">
        <v>#NAME?</v>
      </c>
    </row>
    <row r="202" customFormat="false" ht="13.15" hidden="false" customHeight="false" outlineLevel="0" collapsed="false">
      <c r="A202" s="0" t="e">
        <v>#NAME?</v>
      </c>
    </row>
    <row r="203" customFormat="false" ht="13.15" hidden="false" customHeight="false" outlineLevel="0" collapsed="false">
      <c r="A203" s="0" t="e">
        <v>#NAME?</v>
      </c>
    </row>
    <row r="204" customFormat="false" ht="13.15" hidden="false" customHeight="false" outlineLevel="0" collapsed="false">
      <c r="A204" s="0" t="e">
        <v>#NAME?</v>
      </c>
    </row>
    <row r="205" customFormat="false" ht="13.15" hidden="false" customHeight="false" outlineLevel="0" collapsed="false">
      <c r="A205" s="0" t="e">
        <v>#NAME?</v>
      </c>
    </row>
    <row r="206" customFormat="false" ht="13.15" hidden="false" customHeight="false" outlineLevel="0" collapsed="false">
      <c r="A206" s="0" t="e">
        <v>#NAME?</v>
      </c>
    </row>
    <row r="207" customFormat="false" ht="13.15" hidden="false" customHeight="false" outlineLevel="0" collapsed="false">
      <c r="A207" s="0" t="e">
        <v>#NAME?</v>
      </c>
    </row>
  </sheetData>
  <sheetProtection algorithmName="SHA-512" hashValue="RExc1GJQmPbWTcWmSzS06P9pJeOCrLmQUDciOkNf0WFdw/jWfedG3qQjHgYfFrmx1XmQbGehRalb8rs2ZH+8QA==" saltValue="wGUzOsf4b8zS5GpOOUoMsA==" spinCount="100000" sheet="true" objects="true" scenarios="true"/>
  <autoFilter ref="A1:A208"/>
  <conditionalFormatting sqref="I91">
    <cfRule type="duplicateValues" priority="2" aboveAverage="0" equalAverage="0" bottom="0" percent="0" rank="0" text="" dxfId="133"/>
  </conditionalFormatting>
  <conditionalFormatting sqref="I132">
    <cfRule type="duplicateValues" priority="3" aboveAverage="0" equalAverage="0" bottom="0" percent="0" rank="0" text="" dxfId="134"/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8.72265625" defaultRowHeight="13.15" zeroHeight="false" outlineLevelRow="0" outlineLevelCol="0"/>
  <cols>
    <col collapsed="false" customWidth="true" hidden="false" outlineLevel="0" max="1" min="1" style="303" width="28.57"/>
    <col collapsed="false" customWidth="true" hidden="false" outlineLevel="0" max="2" min="2" style="303" width="17.58"/>
    <col collapsed="false" customWidth="true" hidden="false" outlineLevel="0" max="3" min="3" style="303" width="14.01"/>
    <col collapsed="false" customWidth="false" hidden="false" outlineLevel="0" max="1024" min="4" style="303" width="8.71"/>
  </cols>
  <sheetData>
    <row r="1" customFormat="false" ht="14.45" hidden="false" customHeight="false" outlineLevel="0" collapsed="false">
      <c r="A1" s="304" t="s">
        <v>1603</v>
      </c>
      <c r="B1" s="305" t="s">
        <v>1604</v>
      </c>
      <c r="C1" s="306" t="s">
        <v>1605</v>
      </c>
    </row>
    <row r="2" customFormat="false" ht="13.15" hidden="false" customHeight="false" outlineLevel="0" collapsed="false">
      <c r="A2" s="307" t="s">
        <v>736</v>
      </c>
      <c r="B2" s="308" t="n">
        <v>50</v>
      </c>
      <c r="C2" s="308" t="n">
        <f aca="false">Table83[[#This Row],[Output (Amps)]]*0.8</f>
        <v>40</v>
      </c>
    </row>
    <row r="3" customFormat="false" ht="13.15" hidden="false" customHeight="false" outlineLevel="0" collapsed="false">
      <c r="A3" s="307" t="s">
        <v>1606</v>
      </c>
      <c r="B3" s="308" t="n">
        <v>31.3</v>
      </c>
      <c r="C3" s="308" t="n">
        <f aca="false">Table83[[#This Row],[Output (Amps)]]*0.8</f>
        <v>25.04</v>
      </c>
    </row>
    <row r="4" customFormat="false" ht="13.15" hidden="false" customHeight="false" outlineLevel="0" collapsed="false">
      <c r="A4" s="307" t="s">
        <v>1607</v>
      </c>
      <c r="B4" s="308" t="n">
        <v>43.8</v>
      </c>
      <c r="C4" s="308" t="n">
        <f aca="false">Table83[[#This Row],[Output (Amps)]]*0.8</f>
        <v>35.04</v>
      </c>
    </row>
    <row r="5" customFormat="false" ht="13.15" hidden="false" customHeight="false" outlineLevel="0" collapsed="false">
      <c r="A5" s="307" t="s">
        <v>789</v>
      </c>
      <c r="B5" s="308" t="n">
        <v>50</v>
      </c>
      <c r="C5" s="308" t="n">
        <f aca="false">Table83[[#This Row],[Output (Amps)]]*0.8</f>
        <v>40</v>
      </c>
    </row>
    <row r="6" customFormat="false" ht="13.15" hidden="false" customHeight="false" outlineLevel="0" collapsed="false">
      <c r="A6" s="307" t="s">
        <v>364</v>
      </c>
      <c r="B6" s="308" t="n">
        <v>75</v>
      </c>
      <c r="C6" s="308" t="n">
        <f aca="false">Table83[[#This Row],[Output (Amps)]]*0.8</f>
        <v>60</v>
      </c>
    </row>
    <row r="7" customFormat="false" ht="13.15" hidden="false" customHeight="false" outlineLevel="0" collapsed="false">
      <c r="A7" s="307" t="s">
        <v>335</v>
      </c>
      <c r="B7" s="308" t="n">
        <v>30</v>
      </c>
      <c r="C7" s="308" t="n">
        <f aca="false">Table83[[#This Row],[Output (Amps)]]*0.8</f>
        <v>24</v>
      </c>
    </row>
    <row r="8" customFormat="false" ht="13.15" hidden="false" customHeight="false" outlineLevel="0" collapsed="false">
      <c r="A8" s="307" t="s">
        <v>1608</v>
      </c>
      <c r="B8" s="308" t="n">
        <v>37.5</v>
      </c>
      <c r="C8" s="308" t="n">
        <f aca="false">Table83[[#This Row],[Output (Amps)]]*0.8</f>
        <v>30</v>
      </c>
    </row>
    <row r="9" customFormat="false" ht="13.15" hidden="false" customHeight="false" outlineLevel="0" collapsed="false">
      <c r="A9" s="307" t="s">
        <v>321</v>
      </c>
      <c r="B9" s="308" t="n">
        <v>36.6</v>
      </c>
      <c r="C9" s="308" t="n">
        <f aca="false">Table83[[#This Row],[Output (Amps)]]*0.8</f>
        <v>29.28</v>
      </c>
    </row>
    <row r="10" customFormat="false" ht="13.15" hidden="false" customHeight="false" outlineLevel="0" collapsed="false">
      <c r="A10" s="307" t="s">
        <v>383</v>
      </c>
      <c r="B10" s="308" t="n">
        <v>55</v>
      </c>
      <c r="C10" s="308" t="n">
        <f aca="false">Table83[[#This Row],[Output (Amps)]]*0.8</f>
        <v>44</v>
      </c>
    </row>
    <row r="11" customFormat="false" ht="13.15" hidden="false" customHeight="false" outlineLevel="0" collapsed="false">
      <c r="A11" s="307" t="s">
        <v>1609</v>
      </c>
      <c r="B11" s="308" t="n">
        <v>60</v>
      </c>
      <c r="C11" s="308" t="n">
        <f aca="false">Table83[[#This Row],[Output (Amps)]]*0.8</f>
        <v>48</v>
      </c>
    </row>
    <row r="12" customFormat="false" ht="13.15" hidden="false" customHeight="false" outlineLevel="0" collapsed="false">
      <c r="A12" s="307" t="s">
        <v>1610</v>
      </c>
      <c r="B12" s="308" t="n">
        <v>29.1</v>
      </c>
      <c r="C12" s="308" t="n">
        <f aca="false">Table83[[#This Row],[Output (Amps)]]*0.8</f>
        <v>23.28</v>
      </c>
    </row>
    <row r="13" customFormat="false" ht="13.15" hidden="false" customHeight="false" outlineLevel="0" collapsed="false">
      <c r="A13" s="307" t="s">
        <v>1611</v>
      </c>
      <c r="B13" s="308" t="n">
        <v>37.5</v>
      </c>
      <c r="C13" s="308" t="n">
        <f aca="false">Table83[[#This Row],[Output (Amps)]]*0.8</f>
        <v>30</v>
      </c>
    </row>
    <row r="14" customFormat="false" ht="13.15" hidden="false" customHeight="false" outlineLevel="0" collapsed="false">
      <c r="A14" s="307" t="s">
        <v>351</v>
      </c>
      <c r="B14" s="308" t="n">
        <v>22</v>
      </c>
      <c r="C14" s="308" t="n">
        <f aca="false">Table83[[#This Row],[Output (Amps)]]*0.8</f>
        <v>17.6</v>
      </c>
    </row>
    <row r="15" customFormat="false" ht="13.15" hidden="false" customHeight="false" outlineLevel="0" collapsed="false">
      <c r="A15" s="307" t="s">
        <v>369</v>
      </c>
      <c r="B15" s="308" t="n">
        <v>23</v>
      </c>
      <c r="C15" s="308" t="n">
        <f aca="false">Table83[[#This Row],[Output (Amps)]]*0.8</f>
        <v>18.4</v>
      </c>
    </row>
    <row r="16" customFormat="false" ht="13.15" hidden="false" customHeight="false" outlineLevel="0" collapsed="false">
      <c r="A16" s="307" t="s">
        <v>1612</v>
      </c>
      <c r="B16" s="308" t="n">
        <v>28</v>
      </c>
      <c r="C16" s="308" t="n">
        <f aca="false">Table83[[#This Row],[Output (Amps)]]*0.8</f>
        <v>22.4</v>
      </c>
    </row>
    <row r="17" customFormat="false" ht="13.15" hidden="false" customHeight="false" outlineLevel="0" collapsed="false">
      <c r="A17" s="307" t="s">
        <v>1613</v>
      </c>
      <c r="B17" s="308" t="n">
        <v>32</v>
      </c>
      <c r="C17" s="308" t="n">
        <f aca="false">Table83[[#This Row],[Output (Amps)]]*0.8</f>
        <v>25.6</v>
      </c>
    </row>
    <row r="18" customFormat="false" ht="13.15" hidden="false" customHeight="false" outlineLevel="0" collapsed="false">
      <c r="A18" s="307" t="s">
        <v>675</v>
      </c>
      <c r="B18" s="308" t="n">
        <v>45</v>
      </c>
      <c r="C18" s="308" t="n">
        <f aca="false">Table83[[#This Row],[Output (Amps)]]*0.8</f>
        <v>36</v>
      </c>
    </row>
    <row r="19" customFormat="false" ht="13.15" hidden="false" customHeight="false" outlineLevel="0" collapsed="false">
      <c r="A19" s="307" t="s">
        <v>397</v>
      </c>
      <c r="B19" s="308" t="n">
        <v>50</v>
      </c>
      <c r="C19" s="308" t="n">
        <f aca="false">Table83[[#This Row],[Output (Amps)]]*0.8</f>
        <v>40</v>
      </c>
    </row>
    <row r="20" customFormat="false" ht="13.15" hidden="false" customHeight="false" outlineLevel="0" collapsed="false">
      <c r="A20" s="307" t="s">
        <v>1614</v>
      </c>
      <c r="B20" s="308" t="n">
        <v>25</v>
      </c>
      <c r="C20" s="308" t="n">
        <f aca="false">Table83[[#This Row],[Output (Amps)]]*0.8</f>
        <v>20</v>
      </c>
    </row>
    <row r="21" customFormat="false" ht="13.15" hidden="false" customHeight="false" outlineLevel="0" collapsed="false">
      <c r="A21" s="307" t="s">
        <v>1615</v>
      </c>
      <c r="B21" s="308" t="n">
        <v>50</v>
      </c>
      <c r="C21" s="308" t="n">
        <f aca="false">Table83[[#This Row],[Output (Amps)]]*0.8</f>
        <v>40</v>
      </c>
    </row>
    <row r="22" customFormat="false" ht="13.15" hidden="false" customHeight="false" outlineLevel="0" collapsed="false">
      <c r="A22" s="309" t="s">
        <v>1616</v>
      </c>
      <c r="B22" s="308" t="n">
        <v>225</v>
      </c>
      <c r="C22" s="308" t="n">
        <f aca="false">Table83[[#This Row],[Output (Amps)]]*0.8</f>
        <v>180</v>
      </c>
    </row>
    <row r="23" customFormat="false" ht="13.15" hidden="false" customHeight="false" outlineLevel="0" collapsed="false">
      <c r="A23" s="309" t="s">
        <v>1617</v>
      </c>
      <c r="B23" s="308" t="n">
        <v>100</v>
      </c>
      <c r="C23" s="308" t="n">
        <f aca="false">Table83[[#This Row],[Output (Amps)]]*0.8</f>
        <v>80</v>
      </c>
    </row>
    <row r="24" customFormat="false" ht="13.15" hidden="false" customHeight="false" outlineLevel="0" collapsed="false">
      <c r="A24" s="309" t="s">
        <v>432</v>
      </c>
      <c r="B24" s="310" t="n">
        <v>55</v>
      </c>
      <c r="C24" s="310" t="n">
        <f aca="false">Table83[[#This Row],[Output (Amps)]]*0.8</f>
        <v>44</v>
      </c>
    </row>
  </sheetData>
  <sheetProtection algorithmName="SHA-512" hashValue="naHxVqGN30lgdlq2NyOCRDzHtsLA9fC1Sl5ZVAYdW4H1STJgz6htEgg/fQIPbkfnMp5qHN7dYALxRavPflDo2g==" saltValue="lslBLv/btkC9/Uv7WLDH7Q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I19" activeCellId="0" sqref="I19"/>
    </sheetView>
  </sheetViews>
  <sheetFormatPr defaultColWidth="9.30078125" defaultRowHeight="15" zeroHeight="false" outlineLevelRow="0" outlineLevelCol="0"/>
  <cols>
    <col collapsed="false" customWidth="true" hidden="false" outlineLevel="0" max="1" min="1" style="311" width="43.58"/>
    <col collapsed="false" customWidth="false" hidden="false" outlineLevel="0" max="5" min="2" style="312" width="9.29"/>
    <col collapsed="false" customWidth="true" hidden="false" outlineLevel="0" max="6" min="6" style="312" width="9.58"/>
    <col collapsed="false" customWidth="true" hidden="false" outlineLevel="0" max="9" min="7" style="312" width="9.71"/>
    <col collapsed="false" customWidth="false" hidden="false" outlineLevel="0" max="10" min="10" style="312" width="9.29"/>
    <col collapsed="false" customWidth="true" hidden="false" outlineLevel="0" max="13" min="11" style="312" width="9.71"/>
    <col collapsed="false" customWidth="true" hidden="false" outlineLevel="0" max="15" min="14" style="312" width="13.7"/>
    <col collapsed="false" customWidth="false" hidden="false" outlineLevel="0" max="1024" min="16" style="312" width="9.29"/>
  </cols>
  <sheetData>
    <row r="1" customFormat="false" ht="15" hidden="false" customHeight="false" outlineLevel="0" collapsed="false">
      <c r="A1" s="313" t="n">
        <v>1</v>
      </c>
      <c r="B1" s="313" t="n">
        <v>2</v>
      </c>
      <c r="C1" s="313" t="n">
        <v>3</v>
      </c>
      <c r="D1" s="313" t="n">
        <v>4</v>
      </c>
      <c r="E1" s="313" t="n">
        <v>5</v>
      </c>
      <c r="F1" s="313" t="n">
        <v>6</v>
      </c>
      <c r="G1" s="313" t="n">
        <v>7</v>
      </c>
      <c r="H1" s="313" t="n">
        <v>8</v>
      </c>
      <c r="I1" s="313" t="n">
        <v>9</v>
      </c>
      <c r="J1" s="313" t="n">
        <v>10</v>
      </c>
      <c r="K1" s="313" t="n">
        <v>11</v>
      </c>
      <c r="L1" s="313" t="n">
        <v>12</v>
      </c>
      <c r="M1" s="313" t="n">
        <v>13</v>
      </c>
      <c r="N1" s="313" t="n">
        <v>14</v>
      </c>
      <c r="O1" s="313" t="n">
        <v>15</v>
      </c>
      <c r="P1" s="313" t="n">
        <v>16</v>
      </c>
    </row>
    <row r="2" customFormat="false" ht="15.6" hidden="false" customHeight="false" outlineLevel="0" collapsed="false">
      <c r="A2" s="314" t="s">
        <v>1618</v>
      </c>
      <c r="B2" s="315" t="s">
        <v>1619</v>
      </c>
      <c r="C2" s="315"/>
      <c r="D2" s="315"/>
      <c r="E2" s="315"/>
      <c r="F2" s="316" t="s">
        <v>1620</v>
      </c>
      <c r="G2" s="316"/>
      <c r="H2" s="316"/>
      <c r="I2" s="316"/>
      <c r="J2" s="317" t="s">
        <v>1621</v>
      </c>
      <c r="K2" s="317"/>
      <c r="L2" s="317"/>
      <c r="M2" s="317"/>
      <c r="N2" s="318"/>
      <c r="O2" s="318"/>
    </row>
    <row r="3" s="325" customFormat="true" ht="15.6" hidden="false" customHeight="false" outlineLevel="0" collapsed="false">
      <c r="A3" s="319" t="s">
        <v>1622</v>
      </c>
      <c r="B3" s="320" t="s">
        <v>927</v>
      </c>
      <c r="C3" s="320" t="s">
        <v>928</v>
      </c>
      <c r="D3" s="320" t="s">
        <v>929</v>
      </c>
      <c r="E3" s="320" t="s">
        <v>930</v>
      </c>
      <c r="F3" s="321" t="s">
        <v>1623</v>
      </c>
      <c r="G3" s="321" t="s">
        <v>1624</v>
      </c>
      <c r="H3" s="321" t="s">
        <v>1625</v>
      </c>
      <c r="I3" s="321" t="s">
        <v>1626</v>
      </c>
      <c r="J3" s="322" t="s">
        <v>1627</v>
      </c>
      <c r="K3" s="322" t="s">
        <v>1628</v>
      </c>
      <c r="L3" s="322" t="s">
        <v>1629</v>
      </c>
      <c r="M3" s="322" t="s">
        <v>1630</v>
      </c>
      <c r="N3" s="323" t="s">
        <v>1631</v>
      </c>
      <c r="O3" s="323" t="s">
        <v>1632</v>
      </c>
      <c r="P3" s="324" t="s">
        <v>1633</v>
      </c>
    </row>
    <row r="4" customFormat="false" ht="15" hidden="false" customHeight="false" outlineLevel="0" collapsed="false">
      <c r="A4" s="326" t="s">
        <v>1634</v>
      </c>
      <c r="B4" s="327" t="n">
        <v>208</v>
      </c>
      <c r="C4" s="327" t="n">
        <v>134</v>
      </c>
      <c r="D4" s="327" t="n">
        <v>100</v>
      </c>
      <c r="E4" s="327" t="n">
        <v>82</v>
      </c>
      <c r="F4" s="328" t="n">
        <f aca="false">((B4*24)/54.5)*0.8</f>
        <v>73.2770642201835</v>
      </c>
      <c r="G4" s="328" t="n">
        <f aca="false">((C4*24)/54.5)*0.8</f>
        <v>47.2073394495413</v>
      </c>
      <c r="H4" s="328" t="n">
        <f aca="false">((D4*24)/54.5)*0.8</f>
        <v>35.2293577981651</v>
      </c>
      <c r="I4" s="328" t="n">
        <f aca="false">((E4*24)/54.5)*0.8</f>
        <v>28.8880733944954</v>
      </c>
      <c r="J4" s="328" t="n">
        <f aca="false">(F4*54.5)/1000</f>
        <v>3.9936</v>
      </c>
      <c r="K4" s="328" t="n">
        <f aca="false">(G4*54.5)/1000</f>
        <v>2.5728</v>
      </c>
      <c r="L4" s="328" t="n">
        <f aca="false">(H4*54.5)/1000</f>
        <v>1.92</v>
      </c>
      <c r="M4" s="328" t="n">
        <f aca="false">(I4*54.5)/1000</f>
        <v>1.5744</v>
      </c>
      <c r="N4" s="329" t="n">
        <v>200</v>
      </c>
      <c r="O4" s="329" t="e">
        <f aca="false">[4]!Table7[[#this row],[ah rating]]/10</f>
        <v>#N/A</v>
      </c>
      <c r="P4" s="330" t="e">
        <f aca="false">[4]!Table7[[#this row],[temp]]</f>
        <v>#N/A</v>
      </c>
    </row>
    <row r="5" customFormat="false" ht="15" hidden="false" customHeight="false" outlineLevel="0" collapsed="false">
      <c r="A5" s="326" t="s">
        <v>398</v>
      </c>
      <c r="B5" s="327" t="n">
        <v>312</v>
      </c>
      <c r="C5" s="327" t="n">
        <v>201</v>
      </c>
      <c r="D5" s="327" t="n">
        <v>151</v>
      </c>
      <c r="E5" s="327" t="n">
        <v>123</v>
      </c>
      <c r="F5" s="328" t="n">
        <f aca="false">((B5*24)/54.5)*0.8</f>
        <v>109.915596330275</v>
      </c>
      <c r="G5" s="328" t="n">
        <f aca="false">((C5*24)/54.5)*0.8</f>
        <v>70.8110091743119</v>
      </c>
      <c r="H5" s="328" t="n">
        <f aca="false">((D5*24)/54.5)*0.8</f>
        <v>53.1963302752294</v>
      </c>
      <c r="I5" s="328" t="n">
        <f aca="false">((E5*24)/54.5)*0.8</f>
        <v>43.3321100917431</v>
      </c>
      <c r="J5" s="328" t="n">
        <f aca="false">(F5*54.5)/1000</f>
        <v>5.9904</v>
      </c>
      <c r="K5" s="328" t="n">
        <f aca="false">(G5*54.5)/1000</f>
        <v>3.8592</v>
      </c>
      <c r="L5" s="328" t="n">
        <f aca="false">(H5*54.5)/1000</f>
        <v>2.8992</v>
      </c>
      <c r="M5" s="328" t="n">
        <f aca="false">(I5*54.5)/1000</f>
        <v>2.3616</v>
      </c>
      <c r="N5" s="329" t="n">
        <v>300</v>
      </c>
      <c r="O5" s="329" t="e">
        <f aca="false">[4]!Table7[[#this row],[ah rating]]/10</f>
        <v>#N/A</v>
      </c>
      <c r="P5" s="330" t="e">
        <f aca="false">[4]!Table7[[#this row],[temp]]</f>
        <v>#N/A</v>
      </c>
    </row>
    <row r="6" customFormat="false" ht="15" hidden="false" customHeight="false" outlineLevel="0" collapsed="false">
      <c r="A6" s="326" t="s">
        <v>1635</v>
      </c>
      <c r="B6" s="327" t="n">
        <v>417</v>
      </c>
      <c r="C6" s="327" t="n">
        <v>268</v>
      </c>
      <c r="D6" s="327" t="n">
        <v>201</v>
      </c>
      <c r="E6" s="327" t="n">
        <v>164</v>
      </c>
      <c r="F6" s="328" t="n">
        <f aca="false">((B6*24)/54.5)*0.8</f>
        <v>146.906422018349</v>
      </c>
      <c r="G6" s="328" t="n">
        <f aca="false">((C6*24)/54.5)*0.8</f>
        <v>94.4146788990826</v>
      </c>
      <c r="H6" s="328" t="n">
        <f aca="false">((D6*24)/54.5)*0.8</f>
        <v>70.8110091743119</v>
      </c>
      <c r="I6" s="328" t="n">
        <f aca="false">((E6*24)/54.5)*0.8</f>
        <v>57.7761467889908</v>
      </c>
      <c r="J6" s="328" t="n">
        <f aca="false">(F6*54.5)/1000</f>
        <v>8.0064</v>
      </c>
      <c r="K6" s="328" t="n">
        <f aca="false">(G6*54.5)/1000</f>
        <v>5.1456</v>
      </c>
      <c r="L6" s="328" t="n">
        <f aca="false">(H6*54.5)/1000</f>
        <v>3.8592</v>
      </c>
      <c r="M6" s="328" t="n">
        <f aca="false">(I6*54.5)/1000</f>
        <v>3.1488</v>
      </c>
      <c r="N6" s="329" t="n">
        <v>400</v>
      </c>
      <c r="O6" s="329" t="e">
        <f aca="false">[4]!Table7[[#this row],[ah rating]]/10</f>
        <v>#N/A</v>
      </c>
      <c r="P6" s="330" t="e">
        <f aca="false">[4]!Table7[[#this row],[temp]]</f>
        <v>#N/A</v>
      </c>
    </row>
    <row r="7" customFormat="false" ht="15" hidden="false" customHeight="false" outlineLevel="0" collapsed="false">
      <c r="A7" s="326" t="s">
        <v>486</v>
      </c>
      <c r="B7" s="327" t="n">
        <v>487</v>
      </c>
      <c r="C7" s="327" t="n">
        <v>327</v>
      </c>
      <c r="D7" s="327" t="n">
        <v>248</v>
      </c>
      <c r="E7" s="327" t="n">
        <v>204</v>
      </c>
      <c r="F7" s="328" t="n">
        <f aca="false">((B7*24)/54.5)*0.8</f>
        <v>171.566972477064</v>
      </c>
      <c r="G7" s="328" t="n">
        <f aca="false">((C7*24)/54.5)*0.8</f>
        <v>115.2</v>
      </c>
      <c r="H7" s="328" t="n">
        <f aca="false">((D7*24)/54.5)*0.8</f>
        <v>87.3688073394495</v>
      </c>
      <c r="I7" s="328" t="n">
        <f aca="false">((E7*24)/54.5)*0.8</f>
        <v>71.8678899082569</v>
      </c>
      <c r="J7" s="328" t="n">
        <f aca="false">(F7*54.5)/1000</f>
        <v>9.3504</v>
      </c>
      <c r="K7" s="328" t="n">
        <f aca="false">(G7*54.5)/1000</f>
        <v>6.2784</v>
      </c>
      <c r="L7" s="328" t="n">
        <f aca="false">(H7*54.5)/1000</f>
        <v>4.7616</v>
      </c>
      <c r="M7" s="328" t="n">
        <f aca="false">(I7*54.5)/1000</f>
        <v>3.9168</v>
      </c>
      <c r="N7" s="329" t="n">
        <v>510</v>
      </c>
      <c r="O7" s="329" t="e">
        <f aca="false">[4]!Table7[[#this row],[ah rating]]/10</f>
        <v>#N/A</v>
      </c>
      <c r="P7" s="330" t="e">
        <f aca="false">[4]!Table7[[#this row],[temp]]</f>
        <v>#N/A</v>
      </c>
    </row>
    <row r="8" customFormat="false" ht="15" hidden="false" customHeight="false" outlineLevel="0" collapsed="false">
      <c r="A8" s="326" t="s">
        <v>365</v>
      </c>
      <c r="B8" s="327" t="n">
        <v>568</v>
      </c>
      <c r="C8" s="327" t="n">
        <v>381</v>
      </c>
      <c r="D8" s="327" t="n">
        <v>290</v>
      </c>
      <c r="E8" s="327" t="n">
        <v>238</v>
      </c>
      <c r="F8" s="328" t="n">
        <f aca="false">((B8*24)/54.5)*0.8</f>
        <v>200.102752293578</v>
      </c>
      <c r="G8" s="328" t="n">
        <f aca="false">((C8*24)/54.5)*0.8</f>
        <v>134.223853211009</v>
      </c>
      <c r="H8" s="328" t="n">
        <f aca="false">((D8*24)/54.5)*0.8</f>
        <v>102.165137614679</v>
      </c>
      <c r="I8" s="328" t="n">
        <f aca="false">((E8*24)/54.5)*0.8</f>
        <v>83.845871559633</v>
      </c>
      <c r="J8" s="328" t="n">
        <f aca="false">(F8*54.5)/1000</f>
        <v>10.9056</v>
      </c>
      <c r="K8" s="328" t="n">
        <f aca="false">(G8*54.5)/1000</f>
        <v>7.3152</v>
      </c>
      <c r="L8" s="328" t="n">
        <f aca="false">(H8*54.5)/1000</f>
        <v>5.568</v>
      </c>
      <c r="M8" s="328" t="n">
        <f aca="false">(I8*54.5)/1000</f>
        <v>4.5696</v>
      </c>
      <c r="N8" s="329" t="n">
        <v>595</v>
      </c>
      <c r="O8" s="329" t="e">
        <f aca="false">[4]!Table7[[#this row],[ah rating]]/10</f>
        <v>#N/A</v>
      </c>
      <c r="P8" s="330" t="e">
        <f aca="false">[4]!Table7[[#this row],[temp]]</f>
        <v>#N/A</v>
      </c>
    </row>
    <row r="9" customFormat="false" ht="15" hidden="false" customHeight="false" outlineLevel="0" collapsed="false">
      <c r="A9" s="326" t="s">
        <v>568</v>
      </c>
      <c r="B9" s="327" t="n">
        <v>812</v>
      </c>
      <c r="C9" s="327" t="n">
        <v>545</v>
      </c>
      <c r="D9" s="327" t="n">
        <v>414</v>
      </c>
      <c r="E9" s="327" t="n">
        <v>340</v>
      </c>
      <c r="F9" s="328" t="n">
        <f aca="false">((B9*24)/54.5)*0.8</f>
        <v>286.062385321101</v>
      </c>
      <c r="G9" s="328" t="n">
        <f aca="false">((C9*24)/54.5)*0.8</f>
        <v>192</v>
      </c>
      <c r="H9" s="328" t="n">
        <f aca="false">((D9*24)/54.5)*0.8</f>
        <v>145.849541284404</v>
      </c>
      <c r="I9" s="328" t="n">
        <f aca="false">((E9*24)/54.5)*0.8</f>
        <v>119.779816513761</v>
      </c>
      <c r="J9" s="328" t="n">
        <f aca="false">(F9*54.5)/1000</f>
        <v>15.5904</v>
      </c>
      <c r="K9" s="328" t="n">
        <f aca="false">(G9*54.5)/1000</f>
        <v>10.464</v>
      </c>
      <c r="L9" s="328" t="n">
        <f aca="false">(H9*54.5)/1000</f>
        <v>7.9488</v>
      </c>
      <c r="M9" s="328" t="n">
        <f aca="false">(I9*54.5)/1000</f>
        <v>6.528</v>
      </c>
      <c r="N9" s="329" t="n">
        <v>850</v>
      </c>
      <c r="O9" s="329" t="e">
        <f aca="false">[4]!Table7[[#this row],[ah rating]]/10</f>
        <v>#N/A</v>
      </c>
      <c r="P9" s="330" t="e">
        <f aca="false">[4]!Table7[[#this row],[temp]]</f>
        <v>#N/A</v>
      </c>
    </row>
    <row r="10" customFormat="false" ht="15" hidden="false" customHeight="false" outlineLevel="0" collapsed="false">
      <c r="A10" s="326" t="s">
        <v>332</v>
      </c>
      <c r="B10" s="327" t="n">
        <v>974</v>
      </c>
      <c r="C10" s="327" t="n">
        <v>654</v>
      </c>
      <c r="D10" s="327" t="n">
        <v>496</v>
      </c>
      <c r="E10" s="327" t="n">
        <v>408</v>
      </c>
      <c r="F10" s="328" t="n">
        <f aca="false">((B10*24)/54.5)*0.8</f>
        <v>343.133944954128</v>
      </c>
      <c r="G10" s="328" t="n">
        <f aca="false">((C10*24)/54.5)*0.8</f>
        <v>230.4</v>
      </c>
      <c r="H10" s="328" t="n">
        <f aca="false">((D10*24)/54.5)*0.8</f>
        <v>174.737614678899</v>
      </c>
      <c r="I10" s="328" t="n">
        <f aca="false">((E10*24)/54.5)*0.8</f>
        <v>143.735779816514</v>
      </c>
      <c r="J10" s="328" t="n">
        <f aca="false">(F10*54.5)/1000</f>
        <v>18.7008</v>
      </c>
      <c r="K10" s="328" t="n">
        <f aca="false">(G10*54.5)/1000</f>
        <v>12.5568</v>
      </c>
      <c r="L10" s="328" t="n">
        <f aca="false">(H10*54.5)/1000</f>
        <v>9.5232</v>
      </c>
      <c r="M10" s="328" t="n">
        <f aca="false">(I10*54.5)/1000</f>
        <v>7.8336</v>
      </c>
      <c r="N10" s="329" t="n">
        <v>1020</v>
      </c>
      <c r="O10" s="329" t="e">
        <f aca="false">[4]!Table7[[#this row],[ah rating]]/10</f>
        <v>#N/A</v>
      </c>
      <c r="P10" s="330" t="e">
        <f aca="false">[4]!Table7[[#this row],[temp]]</f>
        <v>#N/A</v>
      </c>
    </row>
    <row r="11" customFormat="false" ht="15" hidden="false" customHeight="false" outlineLevel="0" collapsed="false">
      <c r="A11" s="326" t="s">
        <v>605</v>
      </c>
      <c r="B11" s="327" t="n">
        <v>1055</v>
      </c>
      <c r="C11" s="327" t="n">
        <v>708</v>
      </c>
      <c r="D11" s="327" t="n">
        <v>538</v>
      </c>
      <c r="E11" s="327" t="n">
        <v>442</v>
      </c>
      <c r="F11" s="328" t="n">
        <f aca="false">((B11*24)/54.5)*0.8</f>
        <v>371.669724770642</v>
      </c>
      <c r="G11" s="328" t="n">
        <f aca="false">((C11*24)/54.5)*0.8</f>
        <v>249.423853211009</v>
      </c>
      <c r="H11" s="328" t="n">
        <f aca="false">((D11*24)/54.5)*0.8</f>
        <v>189.533944954128</v>
      </c>
      <c r="I11" s="328" t="n">
        <f aca="false">((E11*24)/54.5)*0.8</f>
        <v>155.71376146789</v>
      </c>
      <c r="J11" s="328" t="n">
        <f aca="false">(F11*54.5)/1000</f>
        <v>20.256</v>
      </c>
      <c r="K11" s="328" t="n">
        <f aca="false">(G11*54.5)/1000</f>
        <v>13.5936</v>
      </c>
      <c r="L11" s="328" t="n">
        <f aca="false">(H11*54.5)/1000</f>
        <v>10.3296</v>
      </c>
      <c r="M11" s="328" t="n">
        <f aca="false">(I11*54.5)/1000</f>
        <v>8.4864</v>
      </c>
      <c r="N11" s="329" t="n">
        <v>1105</v>
      </c>
      <c r="O11" s="329" t="e">
        <f aca="false">[4]!Table7[[#this row],[ah rating]]/10</f>
        <v>#N/A</v>
      </c>
      <c r="P11" s="330" t="e">
        <f aca="false">[4]!Table7[[#this row],[temp]]</f>
        <v>#N/A</v>
      </c>
    </row>
    <row r="12" customFormat="false" ht="15" hidden="false" customHeight="false" outlineLevel="0" collapsed="false">
      <c r="A12" s="326" t="s">
        <v>472</v>
      </c>
      <c r="B12" s="327" t="n">
        <v>1299</v>
      </c>
      <c r="C12" s="327" t="n">
        <v>871</v>
      </c>
      <c r="D12" s="327" t="n">
        <v>662</v>
      </c>
      <c r="E12" s="327" t="n">
        <v>544</v>
      </c>
      <c r="F12" s="328" t="n">
        <f aca="false">((B12*24)/54.5)*0.8</f>
        <v>457.629357798165</v>
      </c>
      <c r="G12" s="328" t="n">
        <f aca="false">((C12*24)/54.5)*0.8</f>
        <v>306.847706422018</v>
      </c>
      <c r="H12" s="328" t="n">
        <f aca="false">((D12*24)/54.5)*0.8</f>
        <v>233.218348623853</v>
      </c>
      <c r="I12" s="328" t="n">
        <f aca="false">((E12*24)/54.5)*0.8</f>
        <v>191.647706422018</v>
      </c>
      <c r="J12" s="328" t="n">
        <f aca="false">(F12*54.5)/1000</f>
        <v>24.9408</v>
      </c>
      <c r="K12" s="328" t="n">
        <f aca="false">(G12*54.5)/1000</f>
        <v>16.7232</v>
      </c>
      <c r="L12" s="328" t="n">
        <f aca="false">(H12*54.5)/1000</f>
        <v>12.7104</v>
      </c>
      <c r="M12" s="328" t="n">
        <f aca="false">(I12*54.5)/1000</f>
        <v>10.4448</v>
      </c>
      <c r="N12" s="329" t="n">
        <v>1360</v>
      </c>
      <c r="O12" s="329" t="e">
        <f aca="false">[4]!Table7[[#this row],[ah rating]]/10</f>
        <v>#N/A</v>
      </c>
      <c r="P12" s="330" t="e">
        <f aca="false">[4]!Table7[[#this row],[temp]]</f>
        <v>#N/A</v>
      </c>
    </row>
    <row r="13" customFormat="false" ht="15" hidden="false" customHeight="false" outlineLevel="0" collapsed="false">
      <c r="A13" s="326" t="s">
        <v>1636</v>
      </c>
      <c r="B13" s="327" t="n">
        <v>947</v>
      </c>
      <c r="C13" s="327" t="n">
        <v>640</v>
      </c>
      <c r="D13" s="327" t="n">
        <v>485</v>
      </c>
      <c r="E13" s="327" t="n">
        <v>397</v>
      </c>
      <c r="F13" s="328" t="n">
        <f aca="false">((B13*24)/54.5)*0.8</f>
        <v>333.622018348624</v>
      </c>
      <c r="G13" s="328" t="n">
        <f aca="false">((C13*24)/54.5)*0.8</f>
        <v>225.467889908257</v>
      </c>
      <c r="H13" s="328" t="n">
        <f aca="false">((D13*24)/54.5)*0.8</f>
        <v>170.862385321101</v>
      </c>
      <c r="I13" s="328" t="n">
        <f aca="false">((E13*24)/54.5)*0.8</f>
        <v>139.860550458716</v>
      </c>
      <c r="J13" s="328" t="n">
        <f aca="false">(F13*54.5)/1000</f>
        <v>18.1824</v>
      </c>
      <c r="K13" s="328" t="n">
        <f aca="false">(G13*54.5)/1000</f>
        <v>12.288</v>
      </c>
      <c r="L13" s="328" t="n">
        <f aca="false">(H13*54.5)/1000</f>
        <v>9.312</v>
      </c>
      <c r="M13" s="328" t="n">
        <f aca="false">(I13*54.5)/1000</f>
        <v>7.6224</v>
      </c>
      <c r="N13" s="329" t="n">
        <v>1000</v>
      </c>
      <c r="O13" s="329" t="e">
        <f aca="false">[4]!Table7[[#this row],[ah rating]]/10</f>
        <v>#N/A</v>
      </c>
      <c r="P13" s="330" t="e">
        <f aca="false">[4]!Table7[[#this row],[temp]]</f>
        <v>#N/A</v>
      </c>
    </row>
    <row r="14" customFormat="false" ht="15" hidden="false" customHeight="false" outlineLevel="0" collapsed="false">
      <c r="A14" s="326" t="s">
        <v>336</v>
      </c>
      <c r="B14" s="327" t="n">
        <v>1136</v>
      </c>
      <c r="C14" s="327" t="n">
        <v>768</v>
      </c>
      <c r="D14" s="327" t="n">
        <v>582</v>
      </c>
      <c r="E14" s="327" t="n">
        <v>476</v>
      </c>
      <c r="F14" s="328" t="n">
        <f aca="false">((B14*24)/54.5)*0.8</f>
        <v>400.205504587156</v>
      </c>
      <c r="G14" s="328" t="n">
        <f aca="false">((C14*24)/54.5)*0.8</f>
        <v>270.561467889908</v>
      </c>
      <c r="H14" s="328" t="n">
        <f aca="false">((D14*24)/54.5)*0.8</f>
        <v>205.034862385321</v>
      </c>
      <c r="I14" s="328" t="n">
        <f aca="false">((E14*24)/54.5)*0.8</f>
        <v>167.691743119266</v>
      </c>
      <c r="J14" s="328" t="n">
        <f aca="false">(F14*54.5)/1000</f>
        <v>21.8112</v>
      </c>
      <c r="K14" s="328" t="n">
        <f aca="false">(G14*54.5)/1000</f>
        <v>14.7456</v>
      </c>
      <c r="L14" s="328" t="n">
        <f aca="false">(H14*54.5)/1000</f>
        <v>11.1744</v>
      </c>
      <c r="M14" s="328" t="n">
        <f aca="false">(I14*54.5)/1000</f>
        <v>9.1392</v>
      </c>
      <c r="N14" s="329" t="n">
        <v>1200</v>
      </c>
      <c r="O14" s="329" t="e">
        <f aca="false">[4]!Table7[[#this row],[ah rating]]/10</f>
        <v>#N/A</v>
      </c>
      <c r="P14" s="330" t="e">
        <f aca="false">[4]!Table7[[#this row],[temp]]</f>
        <v>#N/A</v>
      </c>
    </row>
    <row r="15" customFormat="false" ht="15" hidden="false" customHeight="false" outlineLevel="0" collapsed="false">
      <c r="A15" s="326" t="s">
        <v>340</v>
      </c>
      <c r="B15" s="327" t="n">
        <v>1231</v>
      </c>
      <c r="C15" s="327" t="n">
        <v>832</v>
      </c>
      <c r="D15" s="327" t="n">
        <v>631</v>
      </c>
      <c r="E15" s="327" t="n">
        <v>516</v>
      </c>
      <c r="F15" s="328" t="n">
        <f aca="false">((B15*24)/54.5)*0.8</f>
        <v>433.673394495413</v>
      </c>
      <c r="G15" s="328" t="n">
        <f aca="false">((C15*24)/54.5)*0.8</f>
        <v>293.108256880734</v>
      </c>
      <c r="H15" s="328" t="n">
        <f aca="false">((D15*24)/54.5)*0.8</f>
        <v>222.297247706422</v>
      </c>
      <c r="I15" s="328" t="n">
        <f aca="false">((E15*24)/54.5)*0.8</f>
        <v>181.783486238532</v>
      </c>
      <c r="J15" s="328" t="n">
        <f aca="false">(F15*54.5)/1000</f>
        <v>23.6352</v>
      </c>
      <c r="K15" s="328" t="n">
        <f aca="false">(G15*54.5)/1000</f>
        <v>15.9744</v>
      </c>
      <c r="L15" s="328" t="n">
        <f aca="false">(H15*54.5)/1000</f>
        <v>12.1152</v>
      </c>
      <c r="M15" s="328" t="n">
        <f aca="false">(I15*54.5)/1000</f>
        <v>9.9072</v>
      </c>
      <c r="N15" s="329" t="n">
        <v>1300</v>
      </c>
      <c r="O15" s="329" t="e">
        <f aca="false">[4]!Table7[[#this row],[ah rating]]/10</f>
        <v>#N/A</v>
      </c>
      <c r="P15" s="330" t="e">
        <f aca="false">[4]!Table7[[#this row],[temp]]</f>
        <v>#N/A</v>
      </c>
    </row>
    <row r="16" customFormat="false" ht="15" hidden="false" customHeight="false" outlineLevel="0" collapsed="false">
      <c r="A16" s="326" t="s">
        <v>403</v>
      </c>
      <c r="B16" s="327" t="n">
        <v>1514</v>
      </c>
      <c r="C16" s="327" t="n">
        <v>1024</v>
      </c>
      <c r="D16" s="327" t="n">
        <v>777</v>
      </c>
      <c r="E16" s="327" t="n">
        <v>635</v>
      </c>
      <c r="F16" s="328" t="n">
        <f aca="false">((B16*24)/54.5)*0.8</f>
        <v>533.37247706422</v>
      </c>
      <c r="G16" s="328" t="n">
        <f aca="false">((C16*24)/54.5)*0.8</f>
        <v>360.748623853211</v>
      </c>
      <c r="H16" s="328" t="n">
        <f aca="false">((D16*24)/54.5)*0.8</f>
        <v>273.732110091743</v>
      </c>
      <c r="I16" s="328" t="n">
        <f aca="false">((E16*24)/54.5)*0.8</f>
        <v>223.706422018349</v>
      </c>
      <c r="J16" s="328" t="n">
        <f aca="false">(F16*54.5)/1000</f>
        <v>29.0688</v>
      </c>
      <c r="K16" s="328" t="n">
        <f aca="false">(G16*54.5)/1000</f>
        <v>19.6608</v>
      </c>
      <c r="L16" s="328" t="n">
        <f aca="false">(H16*54.5)/1000</f>
        <v>14.9184</v>
      </c>
      <c r="M16" s="328" t="n">
        <f aca="false">(I16*54.5)/1000</f>
        <v>12.192</v>
      </c>
      <c r="N16" s="329" t="n">
        <v>1600</v>
      </c>
      <c r="O16" s="329" t="e">
        <f aca="false">[4]!Table7[[#this row],[ah rating]]/10</f>
        <v>#N/A</v>
      </c>
      <c r="P16" s="330" t="e">
        <f aca="false">[4]!Table7[[#this row],[temp]]</f>
        <v>#N/A</v>
      </c>
    </row>
    <row r="17" customFormat="false" ht="15" hidden="false" customHeight="false" outlineLevel="0" collapsed="false">
      <c r="A17" s="326" t="s">
        <v>582</v>
      </c>
      <c r="B17" s="327" t="n">
        <v>1448</v>
      </c>
      <c r="C17" s="327" t="n">
        <v>969</v>
      </c>
      <c r="D17" s="327" t="n">
        <v>738</v>
      </c>
      <c r="E17" s="327" t="n">
        <v>607</v>
      </c>
      <c r="F17" s="328" t="n">
        <f aca="false">((B17*24)/54.5)*0.8</f>
        <v>510.121100917431</v>
      </c>
      <c r="G17" s="328" t="n">
        <f aca="false">((C17*24)/54.5)*0.8</f>
        <v>341.37247706422</v>
      </c>
      <c r="H17" s="328" t="n">
        <f aca="false">((D17*24)/54.5)*0.8</f>
        <v>259.992660550459</v>
      </c>
      <c r="I17" s="328" t="n">
        <f aca="false">((E17*24)/54.5)*0.8</f>
        <v>213.842201834862</v>
      </c>
      <c r="J17" s="328" t="n">
        <f aca="false">(F17*54.5)/1000</f>
        <v>27.8016</v>
      </c>
      <c r="K17" s="328" t="n">
        <f aca="false">(G17*54.5)/1000</f>
        <v>18.6048</v>
      </c>
      <c r="L17" s="328" t="n">
        <f aca="false">(H17*54.5)/1000</f>
        <v>14.1696</v>
      </c>
      <c r="M17" s="328" t="n">
        <f aca="false">(I17*54.5)/1000</f>
        <v>11.6544</v>
      </c>
      <c r="N17" s="329" t="n">
        <v>1500</v>
      </c>
      <c r="O17" s="329" t="e">
        <f aca="false">[4]!Table7[[#this row],[ah rating]]/10</f>
        <v>#N/A</v>
      </c>
      <c r="P17" s="330" t="e">
        <f aca="false">[4]!Table7[[#this row],[temp]]</f>
        <v>#N/A</v>
      </c>
    </row>
    <row r="18" customFormat="false" ht="15" hidden="false" customHeight="false" outlineLevel="0" collapsed="false">
      <c r="A18" s="326" t="s">
        <v>572</v>
      </c>
      <c r="B18" s="327" t="n">
        <v>1568</v>
      </c>
      <c r="C18" s="327" t="n">
        <v>1050</v>
      </c>
      <c r="D18" s="327" t="n">
        <v>799</v>
      </c>
      <c r="E18" s="327" t="n">
        <v>658</v>
      </c>
      <c r="F18" s="328" t="n">
        <f aca="false">((B18*24)/54.5)*0.8</f>
        <v>552.396330275229</v>
      </c>
      <c r="G18" s="328" t="n">
        <f aca="false">((C18*24)/54.5)*0.8</f>
        <v>369.908256880734</v>
      </c>
      <c r="H18" s="328" t="n">
        <f aca="false">((D18*24)/54.5)*0.8</f>
        <v>281.482568807339</v>
      </c>
      <c r="I18" s="328" t="n">
        <f aca="false">((E18*24)/54.5)*0.8</f>
        <v>231.809174311927</v>
      </c>
      <c r="J18" s="328" t="n">
        <f aca="false">(F18*54.5)/1000</f>
        <v>30.1056</v>
      </c>
      <c r="K18" s="328" t="n">
        <f aca="false">(G18*54.5)/1000</f>
        <v>20.16</v>
      </c>
      <c r="L18" s="328" t="n">
        <f aca="false">(H18*54.5)/1000</f>
        <v>15.3408</v>
      </c>
      <c r="M18" s="328" t="n">
        <f aca="false">(I18*54.5)/1000</f>
        <v>12.6336</v>
      </c>
      <c r="N18" s="329" t="n">
        <v>1625</v>
      </c>
      <c r="O18" s="329" t="e">
        <f aca="false">[4]!Table7[[#this row],[ah rating]]/10</f>
        <v>#N/A</v>
      </c>
      <c r="P18" s="330" t="e">
        <f aca="false">[4]!Table7[[#this row],[temp]]</f>
        <v>#N/A</v>
      </c>
    </row>
    <row r="19" customFormat="false" ht="15" hidden="false" customHeight="false" outlineLevel="0" collapsed="false">
      <c r="A19" s="326" t="s">
        <v>345</v>
      </c>
      <c r="B19" s="327" t="n">
        <v>1930</v>
      </c>
      <c r="C19" s="327" t="n">
        <v>1292</v>
      </c>
      <c r="D19" s="327" t="n">
        <v>984</v>
      </c>
      <c r="E19" s="327" t="n">
        <v>810</v>
      </c>
      <c r="F19" s="328" t="n">
        <f aca="false">((B19*24)/54.5)*0.8</f>
        <v>679.926605504587</v>
      </c>
      <c r="G19" s="328" t="n">
        <f aca="false">((C19*24)/54.5)*0.8</f>
        <v>455.163302752294</v>
      </c>
      <c r="H19" s="328" t="n">
        <f aca="false">((D19*24)/54.5)*0.8</f>
        <v>346.656880733945</v>
      </c>
      <c r="I19" s="328" t="n">
        <f aca="false">((E19*24)/54.5)*0.8</f>
        <v>285.357798165138</v>
      </c>
      <c r="J19" s="328" t="n">
        <f aca="false">(F19*54.5)/1000</f>
        <v>37.056</v>
      </c>
      <c r="K19" s="328" t="n">
        <f aca="false">(G19*54.5)/1000</f>
        <v>24.8064</v>
      </c>
      <c r="L19" s="328" t="n">
        <f aca="false">(H19*54.5)/1000</f>
        <v>18.8928</v>
      </c>
      <c r="M19" s="328" t="n">
        <f aca="false">(I19*54.5)/1000</f>
        <v>15.552</v>
      </c>
      <c r="N19" s="329" t="n">
        <v>2000</v>
      </c>
      <c r="O19" s="329" t="e">
        <f aca="false">[4]!Table7[[#this row],[ah rating]]/10</f>
        <v>#N/A</v>
      </c>
      <c r="P19" s="330" t="e">
        <f aca="false">[4]!Table7[[#this row],[temp]]</f>
        <v>#N/A</v>
      </c>
    </row>
    <row r="20" customFormat="false" ht="15" hidden="false" customHeight="false" outlineLevel="0" collapsed="false">
      <c r="A20" s="331" t="s">
        <v>359</v>
      </c>
      <c r="B20" s="327" t="n">
        <v>195.7</v>
      </c>
      <c r="C20" s="327" t="n">
        <v>115</v>
      </c>
      <c r="D20" s="327" t="n">
        <v>82.5</v>
      </c>
      <c r="E20" s="327" t="n">
        <v>65</v>
      </c>
      <c r="F20" s="328" t="n">
        <f aca="false">((B20*24)/54.5)*0.8</f>
        <v>68.9438532110092</v>
      </c>
      <c r="G20" s="328" t="n">
        <f aca="false">((C20*24)/54.5)*0.8</f>
        <v>40.5137614678899</v>
      </c>
      <c r="H20" s="328" t="n">
        <f aca="false">((D20*24)/54.5)*0.8</f>
        <v>29.0642201834862</v>
      </c>
      <c r="I20" s="328" t="n">
        <f aca="false">((E20*24)/54.5)*0.8</f>
        <v>22.8990825688073</v>
      </c>
      <c r="J20" s="328" t="n">
        <f aca="false">(F20*54.5)/1000</f>
        <v>3.75744</v>
      </c>
      <c r="K20" s="328" t="n">
        <f aca="false">(G20*54.5)/1000</f>
        <v>2.208</v>
      </c>
      <c r="L20" s="328" t="n">
        <f aca="false">(H20*54.5)/1000</f>
        <v>1.584</v>
      </c>
      <c r="M20" s="328" t="n">
        <f aca="false">(I20*54.5)/1000</f>
        <v>1.248</v>
      </c>
      <c r="N20" s="329" t="n">
        <v>150</v>
      </c>
      <c r="O20" s="329" t="e">
        <f aca="false">[4]!Table7[[#this row],[ah rating]]/10</f>
        <v>#N/A</v>
      </c>
      <c r="P20" s="330" t="e">
        <f aca="false">[4]!Table7[[#this row],[temp]]</f>
        <v>#N/A</v>
      </c>
    </row>
    <row r="21" customFormat="false" ht="15" hidden="false" customHeight="false" outlineLevel="0" collapsed="false">
      <c r="A21" s="331" t="s">
        <v>1637</v>
      </c>
      <c r="B21" s="327" t="n">
        <v>126.8</v>
      </c>
      <c r="C21" s="327" t="n">
        <v>71.1</v>
      </c>
      <c r="D21" s="327" t="n">
        <v>51.9</v>
      </c>
      <c r="E21" s="327" t="n">
        <v>41.5</v>
      </c>
      <c r="F21" s="328" t="n">
        <f aca="false">((B21*24)/54.5)*0.8</f>
        <v>44.6708256880734</v>
      </c>
      <c r="G21" s="328" t="n">
        <f aca="false">((C21*24)/54.5)*0.8</f>
        <v>25.0480733944954</v>
      </c>
      <c r="H21" s="328" t="n">
        <f aca="false">((D21*24)/54.5)*0.8</f>
        <v>18.2840366972477</v>
      </c>
      <c r="I21" s="328" t="n">
        <f aca="false">((E21*24)/54.5)*0.8</f>
        <v>14.6201834862385</v>
      </c>
      <c r="J21" s="328" t="n">
        <f aca="false">(F21*54.5)/1000</f>
        <v>2.43456</v>
      </c>
      <c r="K21" s="328" t="n">
        <f aca="false">(G21*54.5)/1000</f>
        <v>1.36512</v>
      </c>
      <c r="L21" s="328" t="n">
        <f aca="false">(H21*54.5)/1000</f>
        <v>0.99648</v>
      </c>
      <c r="M21" s="328" t="n">
        <f aca="false">(I21*54.5)/1000</f>
        <v>0.7968</v>
      </c>
      <c r="N21" s="329" t="n">
        <v>100</v>
      </c>
      <c r="O21" s="329" t="e">
        <f aca="false">[4]!Table7[[#this row],[ah rating]]/10</f>
        <v>#N/A</v>
      </c>
      <c r="P21" s="330" t="e">
        <f aca="false">[4]!Table7[[#this row],[temp]]</f>
        <v>#N/A</v>
      </c>
    </row>
    <row r="22" customFormat="false" ht="15" hidden="false" customHeight="false" outlineLevel="0" collapsed="false">
      <c r="A22" s="331" t="s">
        <v>557</v>
      </c>
      <c r="B22" s="327" t="n">
        <v>263.6</v>
      </c>
      <c r="C22" s="327" t="n">
        <v>154.6</v>
      </c>
      <c r="D22" s="327" t="n">
        <v>110.5</v>
      </c>
      <c r="E22" s="327" t="n">
        <v>86.3</v>
      </c>
      <c r="F22" s="328" t="n">
        <f aca="false">((B22*24)/54.5)*0.8</f>
        <v>92.8645871559633</v>
      </c>
      <c r="G22" s="328" t="n">
        <f aca="false">((C22*24)/54.5)*0.8</f>
        <v>54.4645871559633</v>
      </c>
      <c r="H22" s="328" t="n">
        <f aca="false">((D22*24)/54.5)*0.8</f>
        <v>38.9284403669725</v>
      </c>
      <c r="I22" s="328" t="n">
        <f aca="false">((E22*24)/54.5)*0.8</f>
        <v>30.4029357798165</v>
      </c>
      <c r="J22" s="328" t="n">
        <f aca="false">(F22*54.5)/1000</f>
        <v>5.06112</v>
      </c>
      <c r="K22" s="328" t="n">
        <f aca="false">(G22*54.5)/1000</f>
        <v>2.96832</v>
      </c>
      <c r="L22" s="328" t="n">
        <f aca="false">(H22*54.5)/1000</f>
        <v>2.1216</v>
      </c>
      <c r="M22" s="328" t="n">
        <f aca="false">(I22*54.5)/1000</f>
        <v>1.65696</v>
      </c>
      <c r="N22" s="329" t="n">
        <v>190</v>
      </c>
      <c r="O22" s="329" t="e">
        <f aca="false">[4]!Table7[[#this row],[ah rating]]/10</f>
        <v>#N/A</v>
      </c>
      <c r="P22" s="330" t="e">
        <f aca="false">[4]!Table7[[#this row],[temp]]</f>
        <v>#N/A</v>
      </c>
    </row>
    <row r="23" customFormat="false" ht="15" hidden="false" customHeight="false" outlineLevel="0" collapsed="false">
      <c r="A23" s="331" t="s">
        <v>450</v>
      </c>
      <c r="B23" s="327" t="n">
        <v>131</v>
      </c>
      <c r="C23" s="327" t="n">
        <v>79</v>
      </c>
      <c r="D23" s="327" t="n">
        <v>57</v>
      </c>
      <c r="E23" s="327" t="n">
        <v>45</v>
      </c>
      <c r="F23" s="328" t="n">
        <f aca="false">((B23*24)/54.5)*0.8</f>
        <v>46.1504587155963</v>
      </c>
      <c r="G23" s="328" t="n">
        <f aca="false">((C23*24)/54.5)*0.8</f>
        <v>27.8311926605505</v>
      </c>
      <c r="H23" s="328" t="n">
        <f aca="false">((D23*24)/54.5)*0.8</f>
        <v>20.0807339449541</v>
      </c>
      <c r="I23" s="328" t="n">
        <f aca="false">((E23*24)/54.5)*0.8</f>
        <v>15.8532110091743</v>
      </c>
      <c r="J23" s="328" t="n">
        <f aca="false">(F23*54.5)/1000</f>
        <v>2.5152</v>
      </c>
      <c r="K23" s="328" t="n">
        <f aca="false">(G23*54.5)/1000</f>
        <v>1.5168</v>
      </c>
      <c r="L23" s="328" t="n">
        <f aca="false">(H23*54.5)/1000</f>
        <v>1.0944</v>
      </c>
      <c r="M23" s="328" t="n">
        <f aca="false">(I23*54.5)/1000</f>
        <v>0.864</v>
      </c>
      <c r="N23" s="329" t="n">
        <v>100</v>
      </c>
      <c r="O23" s="329" t="e">
        <f aca="false">[4]!Table7[[#this row],[ah rating]]/10</f>
        <v>#N/A</v>
      </c>
      <c r="P23" s="330" t="e">
        <f aca="false">[4]!Table7[[#this row],[temp]]</f>
        <v>#N/A</v>
      </c>
    </row>
    <row r="24" customFormat="false" ht="15" hidden="false" customHeight="false" outlineLevel="0" collapsed="false">
      <c r="A24" s="331" t="s">
        <v>511</v>
      </c>
      <c r="B24" s="327" t="n">
        <v>130</v>
      </c>
      <c r="C24" s="327" t="n">
        <v>78</v>
      </c>
      <c r="D24" s="327" t="n">
        <v>56</v>
      </c>
      <c r="E24" s="327" t="n">
        <v>45</v>
      </c>
      <c r="F24" s="328" t="n">
        <f aca="false">((B24*24)/54.5)*0.8</f>
        <v>45.7981651376147</v>
      </c>
      <c r="G24" s="328" t="n">
        <f aca="false">((C24*24)/54.5)*0.8</f>
        <v>27.4788990825688</v>
      </c>
      <c r="H24" s="328" t="n">
        <f aca="false">((D24*24)/54.5)*0.8</f>
        <v>19.7284403669725</v>
      </c>
      <c r="I24" s="328" t="n">
        <f aca="false">((E24*24)/54.5)*0.8</f>
        <v>15.8532110091743</v>
      </c>
      <c r="J24" s="328" t="n">
        <f aca="false">(F24*54.5)/1000</f>
        <v>2.496</v>
      </c>
      <c r="K24" s="328" t="n">
        <f aca="false">(G24*54.5)/1000</f>
        <v>1.4976</v>
      </c>
      <c r="L24" s="328" t="n">
        <f aca="false">(H24*54.5)/1000</f>
        <v>1.0752</v>
      </c>
      <c r="M24" s="328" t="n">
        <f aca="false">(I24*54.5)/1000</f>
        <v>0.864</v>
      </c>
      <c r="N24" s="329" t="n">
        <v>105</v>
      </c>
      <c r="O24" s="329" t="e">
        <f aca="false">[4]!Table7[[#this row],[ah rating]]/10</f>
        <v>#N/A</v>
      </c>
      <c r="P24" s="330" t="e">
        <f aca="false">[4]!Table7[[#this row],[temp]]</f>
        <v>#N/A</v>
      </c>
    </row>
    <row r="25" customFormat="false" ht="15" hidden="false" customHeight="false" outlineLevel="0" collapsed="false">
      <c r="A25" s="331" t="s">
        <v>811</v>
      </c>
      <c r="B25" s="327" t="n">
        <v>145</v>
      </c>
      <c r="C25" s="327" t="n">
        <v>88</v>
      </c>
      <c r="D25" s="327" t="n">
        <v>65</v>
      </c>
      <c r="E25" s="327" t="n">
        <v>52</v>
      </c>
      <c r="F25" s="328" t="n">
        <f aca="false">((B25*24)/54.5)*0.8</f>
        <v>51.0825688073395</v>
      </c>
      <c r="G25" s="328" t="n">
        <f aca="false">((C25*24)/54.5)*0.8</f>
        <v>31.0018348623853</v>
      </c>
      <c r="H25" s="328" t="n">
        <f aca="false">((D25*24)/54.5)*0.8</f>
        <v>22.8990825688073</v>
      </c>
      <c r="I25" s="328" t="n">
        <f aca="false">((E25*24)/54.5)*0.8</f>
        <v>18.3192660550459</v>
      </c>
      <c r="J25" s="328" t="n">
        <f aca="false">(F25*54.5)/1000</f>
        <v>2.784</v>
      </c>
      <c r="K25" s="328" t="n">
        <f aca="false">(G25*54.5)/1000</f>
        <v>1.6896</v>
      </c>
      <c r="L25" s="328" t="n">
        <f aca="false">(H25*54.5)/1000</f>
        <v>1.248</v>
      </c>
      <c r="M25" s="328" t="n">
        <f aca="false">(I25*54.5)/1000</f>
        <v>0.9984</v>
      </c>
      <c r="N25" s="329" t="n">
        <v>125</v>
      </c>
      <c r="O25" s="329" t="e">
        <f aca="false">[4]!Table7[[#this row],[ah rating]]/10</f>
        <v>#N/A</v>
      </c>
      <c r="P25" s="330" t="e">
        <f aca="false">[4]!Table7[[#this row],[temp]]</f>
        <v>#N/A</v>
      </c>
    </row>
    <row r="26" customFormat="false" ht="15" hidden="false" customHeight="false" outlineLevel="0" collapsed="false">
      <c r="A26" s="331" t="s">
        <v>723</v>
      </c>
      <c r="B26" s="327" t="n">
        <v>120</v>
      </c>
      <c r="C26" s="327" t="n">
        <v>70</v>
      </c>
      <c r="D26" s="327" t="n">
        <v>50</v>
      </c>
      <c r="E26" s="327" t="n">
        <v>39</v>
      </c>
      <c r="F26" s="328" t="n">
        <f aca="false">((B26*24)/54.5)*0.8</f>
        <v>42.2752293577982</v>
      </c>
      <c r="G26" s="328" t="n">
        <f aca="false">((C26*24)/54.5)*0.8</f>
        <v>24.6605504587156</v>
      </c>
      <c r="H26" s="328" t="n">
        <f aca="false">((D26*24)/54.5)*0.8</f>
        <v>17.6146788990826</v>
      </c>
      <c r="I26" s="328" t="n">
        <f aca="false">((E26*24)/54.5)*0.8</f>
        <v>13.7394495412844</v>
      </c>
      <c r="J26" s="328" t="n">
        <f aca="false">(F26*54.5)/1000</f>
        <v>2.304</v>
      </c>
      <c r="K26" s="328" t="n">
        <f aca="false">(G26*54.5)/1000</f>
        <v>1.344</v>
      </c>
      <c r="L26" s="328" t="n">
        <f aca="false">(H26*54.5)/1000</f>
        <v>0.96</v>
      </c>
      <c r="M26" s="328" t="n">
        <f aca="false">(I26*54.5)/1000</f>
        <v>0.7488</v>
      </c>
      <c r="N26" s="329" t="n">
        <v>92</v>
      </c>
      <c r="O26" s="329" t="e">
        <f aca="false">[4]!Table7[[#this row],[ah rating]]/10</f>
        <v>#N/A</v>
      </c>
      <c r="P26" s="330" t="e">
        <f aca="false">[4]!Table7[[#this row],[temp]]</f>
        <v>#N/A</v>
      </c>
    </row>
    <row r="27" customFormat="false" ht="15" hidden="false" customHeight="false" outlineLevel="0" collapsed="false">
      <c r="A27" s="331" t="s">
        <v>1638</v>
      </c>
      <c r="B27" s="327" t="n">
        <v>632</v>
      </c>
      <c r="C27" s="327" t="n">
        <v>361</v>
      </c>
      <c r="D27" s="327" t="n">
        <v>269</v>
      </c>
      <c r="E27" s="327" t="n">
        <v>214</v>
      </c>
      <c r="F27" s="328" t="n">
        <f aca="false">((B27*24)/54.5)*0.8</f>
        <v>222.649541284404</v>
      </c>
      <c r="G27" s="328" t="n">
        <f aca="false">((C27*24)/54.5)*0.8</f>
        <v>127.177981651376</v>
      </c>
      <c r="H27" s="328" t="n">
        <f aca="false">((D27*24)/54.5)*0.8</f>
        <v>94.7669724770642</v>
      </c>
      <c r="I27" s="328" t="n">
        <f aca="false">((E27*24)/54.5)*0.8</f>
        <v>75.3908256880734</v>
      </c>
      <c r="J27" s="328" t="n">
        <f aca="false">(F27*54.5)/1000</f>
        <v>12.1344</v>
      </c>
      <c r="K27" s="328" t="n">
        <f aca="false">(G27*54.5)/1000</f>
        <v>6.9312</v>
      </c>
      <c r="L27" s="328" t="n">
        <f aca="false">(H27*54.5)/1000</f>
        <v>5.1648</v>
      </c>
      <c r="M27" s="328" t="n">
        <f aca="false">(I27*54.5)/1000</f>
        <v>4.1088</v>
      </c>
      <c r="N27" s="329" t="n">
        <v>516</v>
      </c>
      <c r="O27" s="329" t="e">
        <f aca="false">[4]!Table7[[#this row],[ah rating]]/10</f>
        <v>#N/A</v>
      </c>
      <c r="P27" s="330" t="e">
        <f aca="false">[4]!Table7[[#this row],[temp]]</f>
        <v>#N/A</v>
      </c>
    </row>
    <row r="28" customFormat="false" ht="15" hidden="false" customHeight="false" outlineLevel="0" collapsed="false">
      <c r="A28" s="331" t="s">
        <v>535</v>
      </c>
      <c r="B28" s="327" t="n">
        <v>138</v>
      </c>
      <c r="C28" s="327" t="n">
        <v>81</v>
      </c>
      <c r="D28" s="327" t="n">
        <v>58</v>
      </c>
      <c r="E28" s="327" t="n">
        <v>45</v>
      </c>
      <c r="F28" s="328" t="n">
        <f aca="false">((B28*24)/54.5)*0.8</f>
        <v>48.6165137614679</v>
      </c>
      <c r="G28" s="328" t="n">
        <f aca="false">((C28*24)/54.5)*0.8</f>
        <v>28.5357798165138</v>
      </c>
      <c r="H28" s="328" t="n">
        <f aca="false">((D28*24)/54.5)*0.8</f>
        <v>20.4330275229358</v>
      </c>
      <c r="I28" s="328" t="n">
        <f aca="false">((E28*24)/54.5)*0.8</f>
        <v>15.8532110091743</v>
      </c>
      <c r="J28" s="328" t="n">
        <f aca="false">(F28*54.5)/1000</f>
        <v>2.6496</v>
      </c>
      <c r="K28" s="328" t="n">
        <f aca="false">(G28*54.5)/1000</f>
        <v>1.5552</v>
      </c>
      <c r="L28" s="328" t="n">
        <f aca="false">(H28*54.5)/1000</f>
        <v>1.1136</v>
      </c>
      <c r="M28" s="328" t="n">
        <f aca="false">(I28*54.5)/1000</f>
        <v>0.864</v>
      </c>
      <c r="N28" s="329" t="n">
        <v>100</v>
      </c>
      <c r="O28" s="329" t="e">
        <f aca="false">[4]!Table7[[#this row],[ah rating]]/10</f>
        <v>#N/A</v>
      </c>
      <c r="P28" s="330" t="e">
        <f aca="false">[4]!Table7[[#this row],[temp]]</f>
        <v>#N/A</v>
      </c>
    </row>
    <row r="29" customFormat="false" ht="15" hidden="false" customHeight="false" outlineLevel="0" collapsed="false">
      <c r="A29" s="331" t="s">
        <v>1639</v>
      </c>
      <c r="B29" s="327" t="n">
        <v>650.6</v>
      </c>
      <c r="C29" s="327" t="n">
        <v>452.8</v>
      </c>
      <c r="D29" s="327" t="n">
        <v>347.2</v>
      </c>
      <c r="E29" s="327" t="n">
        <v>282.5</v>
      </c>
      <c r="F29" s="328" t="n">
        <f aca="false">((B29*24)/54.5)*0.8</f>
        <v>229.202201834862</v>
      </c>
      <c r="G29" s="328" t="n">
        <f aca="false">((C29*24)/54.5)*0.8</f>
        <v>159.518532110092</v>
      </c>
      <c r="H29" s="328" t="n">
        <f aca="false">((D29*24)/54.5)*0.8</f>
        <v>122.316330275229</v>
      </c>
      <c r="I29" s="328" t="n">
        <f aca="false">((E29*24)/54.5)*0.8</f>
        <v>99.5229357798165</v>
      </c>
      <c r="J29" s="328" t="n">
        <f aca="false">(F29*54.5)/1000</f>
        <v>12.49152</v>
      </c>
      <c r="K29" s="328" t="n">
        <f aca="false">(G29*54.5)/1000</f>
        <v>8.69376</v>
      </c>
      <c r="L29" s="328" t="n">
        <f aca="false">(H29*54.5)/1000</f>
        <v>6.66624</v>
      </c>
      <c r="M29" s="328" t="n">
        <f aca="false">(I29*54.5)/1000</f>
        <v>5.424</v>
      </c>
      <c r="N29" s="329" t="n">
        <v>680</v>
      </c>
      <c r="O29" s="329" t="e">
        <f aca="false">[4]!Table7[[#this row],[ah rating]]/10</f>
        <v>#N/A</v>
      </c>
      <c r="P29" s="330" t="e">
        <f aca="false">[4]!Table7[[#this row],[temp]]</f>
        <v>#N/A</v>
      </c>
    </row>
    <row r="30" customFormat="false" ht="15" hidden="false" customHeight="false" outlineLevel="0" collapsed="false">
      <c r="A30" s="331" t="s">
        <v>1640</v>
      </c>
      <c r="B30" s="327" t="n">
        <v>459.2</v>
      </c>
      <c r="C30" s="327" t="n">
        <v>319.6</v>
      </c>
      <c r="D30" s="327" t="n">
        <v>245.1</v>
      </c>
      <c r="E30" s="327" t="n">
        <v>199.4</v>
      </c>
      <c r="F30" s="328" t="n">
        <f aca="false">((B30*24)/54.5)*0.8</f>
        <v>161.773211009174</v>
      </c>
      <c r="G30" s="328" t="n">
        <f aca="false">((C30*24)/54.5)*0.8</f>
        <v>112.593027522936</v>
      </c>
      <c r="H30" s="328" t="n">
        <f aca="false">((D30*24)/54.5)*0.8</f>
        <v>86.3471559633028</v>
      </c>
      <c r="I30" s="328" t="n">
        <f aca="false">((E30*24)/54.5)*0.8</f>
        <v>70.2473394495413</v>
      </c>
      <c r="J30" s="328" t="n">
        <f aca="false">(F30*54.5)/1000</f>
        <v>8.81664</v>
      </c>
      <c r="K30" s="328" t="n">
        <f aca="false">(G30*54.5)/1000</f>
        <v>6.13632</v>
      </c>
      <c r="L30" s="328" t="n">
        <f aca="false">(H30*54.5)/1000</f>
        <v>4.70592</v>
      </c>
      <c r="M30" s="328" t="n">
        <f aca="false">(I30*54.5)/1000</f>
        <v>3.82848</v>
      </c>
      <c r="N30" s="329" t="n">
        <v>480</v>
      </c>
      <c r="O30" s="329" t="e">
        <f aca="false">[4]!Table7[[#this row],[ah rating]]/10</f>
        <v>#N/A</v>
      </c>
      <c r="P30" s="330" t="e">
        <f aca="false">[4]!Table7[[#this row],[temp]]</f>
        <v>#N/A</v>
      </c>
    </row>
    <row r="31" customFormat="false" ht="15" hidden="false" customHeight="false" outlineLevel="0" collapsed="false">
      <c r="A31" s="331" t="s">
        <v>1641</v>
      </c>
      <c r="B31" s="327" t="n">
        <v>177</v>
      </c>
      <c r="C31" s="327" t="n">
        <v>107</v>
      </c>
      <c r="D31" s="327" t="n">
        <v>79</v>
      </c>
      <c r="E31" s="327" t="n">
        <v>63</v>
      </c>
      <c r="F31" s="328" t="n">
        <f aca="false">((B31*24)/54.5)*0.8</f>
        <v>62.3559633027523</v>
      </c>
      <c r="G31" s="328" t="n">
        <f aca="false">((C31*24)/54.5)*0.8</f>
        <v>37.6954128440367</v>
      </c>
      <c r="H31" s="328" t="n">
        <f aca="false">((D31*24)/54.5)*0.8</f>
        <v>27.8311926605505</v>
      </c>
      <c r="I31" s="328" t="n">
        <f aca="false">((E31*24)/54.5)*0.8</f>
        <v>22.194495412844</v>
      </c>
      <c r="J31" s="328" t="n">
        <f aca="false">(F31*54.5)/1000</f>
        <v>3.3984</v>
      </c>
      <c r="K31" s="328" t="n">
        <f aca="false">(G31*54.5)/1000</f>
        <v>2.0544</v>
      </c>
      <c r="L31" s="328" t="n">
        <f aca="false">(H31*54.5)/1000</f>
        <v>1.5168</v>
      </c>
      <c r="M31" s="328" t="n">
        <f aca="false">(I31*54.5)/1000</f>
        <v>1.2096</v>
      </c>
      <c r="N31" s="329" t="n">
        <v>150</v>
      </c>
      <c r="O31" s="329" t="e">
        <f aca="false">[4]!Table7[[#this row],[ah rating]]/10</f>
        <v>#N/A</v>
      </c>
      <c r="P31" s="330" t="e">
        <f aca="false">[4]!Table7[[#this row],[temp]]</f>
        <v>#N/A</v>
      </c>
    </row>
    <row r="32" customFormat="false" ht="15" hidden="false" customHeight="false" outlineLevel="0" collapsed="false">
      <c r="A32" s="331" t="s">
        <v>624</v>
      </c>
      <c r="B32" s="327" t="n">
        <v>1889</v>
      </c>
      <c r="C32" s="327" t="n">
        <v>1258</v>
      </c>
      <c r="D32" s="327" t="n">
        <v>938</v>
      </c>
      <c r="E32" s="327" t="n">
        <v>760</v>
      </c>
      <c r="F32" s="328" t="n">
        <f aca="false">((B32*24)/54.5)*0.8</f>
        <v>665.482568807339</v>
      </c>
      <c r="G32" s="328" t="n">
        <f aca="false">((C32*24)/54.5)*0.8</f>
        <v>443.185321100918</v>
      </c>
      <c r="H32" s="328" t="n">
        <f aca="false">((D32*24)/54.5)*0.8</f>
        <v>330.451376146789</v>
      </c>
      <c r="I32" s="328" t="n">
        <f aca="false">((E32*24)/54.5)*0.8</f>
        <v>267.743119266055</v>
      </c>
      <c r="J32" s="328" t="n">
        <f aca="false">(F32*54.5)/1000</f>
        <v>36.2688</v>
      </c>
      <c r="K32" s="328" t="n">
        <f aca="false">(G32*54.5)/1000</f>
        <v>24.1536</v>
      </c>
      <c r="L32" s="328" t="n">
        <f aca="false">(H32*54.5)/1000</f>
        <v>18.0096</v>
      </c>
      <c r="M32" s="328" t="n">
        <f aca="false">(I32*54.5)/1000</f>
        <v>14.592</v>
      </c>
      <c r="N32" s="329" t="n">
        <v>1870</v>
      </c>
      <c r="O32" s="329" t="e">
        <f aca="false">[4]!Table7[[#this row],[ah rating]]/10</f>
        <v>#N/A</v>
      </c>
      <c r="P32" s="330" t="e">
        <f aca="false">[4]!Table7[[#this row],[temp]]</f>
        <v>#N/A</v>
      </c>
    </row>
    <row r="33" customFormat="false" ht="15" hidden="false" customHeight="false" outlineLevel="0" collapsed="false">
      <c r="A33" s="331" t="s">
        <v>1642</v>
      </c>
      <c r="B33" s="327" t="n">
        <v>202</v>
      </c>
      <c r="C33" s="327" t="n">
        <v>122</v>
      </c>
      <c r="D33" s="327" t="n">
        <v>89.4</v>
      </c>
      <c r="E33" s="327" t="n">
        <v>71.3</v>
      </c>
      <c r="F33" s="328" t="n">
        <f aca="false">((B33*24)/54.5)*0.8</f>
        <v>71.1633027522936</v>
      </c>
      <c r="G33" s="328" t="n">
        <f aca="false">((C33*24)/54.5)*0.8</f>
        <v>42.9798165137615</v>
      </c>
      <c r="H33" s="328" t="n">
        <f aca="false">((D33*24)/54.5)*0.8</f>
        <v>31.4950458715596</v>
      </c>
      <c r="I33" s="328" t="n">
        <f aca="false">((E33*24)/54.5)*0.8</f>
        <v>25.1185321100917</v>
      </c>
      <c r="J33" s="328" t="n">
        <f aca="false">(F33*54.5)/1000</f>
        <v>3.8784</v>
      </c>
      <c r="K33" s="328" t="n">
        <f aca="false">(G33*54.5)/1000</f>
        <v>2.3424</v>
      </c>
      <c r="L33" s="328" t="n">
        <f aca="false">(H33*54.5)/1000</f>
        <v>1.71648</v>
      </c>
      <c r="M33" s="328" t="n">
        <f aca="false">(I33*54.5)/1000</f>
        <v>1.36896</v>
      </c>
      <c r="N33" s="329" t="n">
        <v>170</v>
      </c>
      <c r="O33" s="329" t="e">
        <f aca="false">[4]!Table7[[#this row],[ah rating]]/10</f>
        <v>#N/A</v>
      </c>
      <c r="P33" s="330" t="e">
        <f aca="false">[4]!Table7[[#this row],[temp]]</f>
        <v>#N/A</v>
      </c>
    </row>
    <row r="34" customFormat="false" ht="15" hidden="false" customHeight="false" outlineLevel="0" collapsed="false">
      <c r="A34" s="331" t="s">
        <v>1643</v>
      </c>
      <c r="B34" s="327" t="n">
        <v>2727</v>
      </c>
      <c r="C34" s="327" t="n">
        <v>1816</v>
      </c>
      <c r="D34" s="327" t="n">
        <v>1355</v>
      </c>
      <c r="E34" s="327" t="n">
        <v>1097</v>
      </c>
      <c r="F34" s="328" t="n">
        <f aca="false">((B34*24)/54.5)*0.8</f>
        <v>960.704587155963</v>
      </c>
      <c r="G34" s="328" t="n">
        <f aca="false">((C34*24)/54.5)*0.8</f>
        <v>639.765137614679</v>
      </c>
      <c r="H34" s="328" t="n">
        <f aca="false">((D34*24)/54.5)*0.8</f>
        <v>477.357798165138</v>
      </c>
      <c r="I34" s="328" t="n">
        <f aca="false">((E34*24)/54.5)*0.8</f>
        <v>386.466055045872</v>
      </c>
      <c r="J34" s="328" t="n">
        <f aca="false">(F34*54.5)/1000</f>
        <v>52.3584</v>
      </c>
      <c r="K34" s="328" t="n">
        <f aca="false">(G34*54.5)/1000</f>
        <v>34.8672</v>
      </c>
      <c r="L34" s="328" t="n">
        <f aca="false">(H34*54.5)/1000</f>
        <v>26.016</v>
      </c>
      <c r="M34" s="328" t="n">
        <f aca="false">(I34*54.5)/1000</f>
        <v>21.0624</v>
      </c>
      <c r="N34" s="329" t="n">
        <v>2700</v>
      </c>
      <c r="O34" s="329" t="e">
        <f aca="false">[4]!Table7[[#this row],[ah rating]]/10</f>
        <v>#N/A</v>
      </c>
      <c r="P34" s="330" t="e">
        <f aca="false">[4]!Table7[[#this row],[temp]]</f>
        <v>#N/A</v>
      </c>
    </row>
    <row r="35" customFormat="false" ht="15" hidden="false" customHeight="false" outlineLevel="0" collapsed="false">
      <c r="A35" s="331" t="s">
        <v>1644</v>
      </c>
      <c r="B35" s="327" t="n">
        <v>210</v>
      </c>
      <c r="C35" s="327" t="n">
        <v>120</v>
      </c>
      <c r="D35" s="327" t="n">
        <v>90</v>
      </c>
      <c r="E35" s="327" t="n">
        <v>71</v>
      </c>
      <c r="F35" s="328" t="n">
        <f aca="false">((B35*24)/54.5)*0.8</f>
        <v>73.9816513761468</v>
      </c>
      <c r="G35" s="328" t="n">
        <f aca="false">((C35*24)/54.5)*0.8</f>
        <v>42.2752293577982</v>
      </c>
      <c r="H35" s="328" t="n">
        <f aca="false">((D35*24)/54.5)*0.8</f>
        <v>31.7064220183486</v>
      </c>
      <c r="I35" s="328" t="n">
        <f aca="false">((E35*24)/54.5)*0.8</f>
        <v>25.0128440366972</v>
      </c>
      <c r="J35" s="328" t="n">
        <f aca="false">(F35*54.5)/1000</f>
        <v>4.032</v>
      </c>
      <c r="K35" s="328" t="n">
        <f aca="false">(G35*54.5)/1000</f>
        <v>2.304</v>
      </c>
      <c r="L35" s="328" t="n">
        <f aca="false">(H35*54.5)/1000</f>
        <v>1.728</v>
      </c>
      <c r="M35" s="328" t="n">
        <f aca="false">(I35*54.5)/1000</f>
        <v>1.3632</v>
      </c>
      <c r="N35" s="329" t="n">
        <v>165</v>
      </c>
      <c r="O35" s="329" t="e">
        <f aca="false">[4]!Table7[[#this row],[ah rating]]/10</f>
        <v>#N/A</v>
      </c>
      <c r="P35" s="330" t="e">
        <f aca="false">[4]!Table7[[#this row],[temp]]</f>
        <v>#N/A</v>
      </c>
    </row>
    <row r="36" customFormat="false" ht="15" hidden="false" customHeight="false" outlineLevel="0" collapsed="false">
      <c r="A36" s="332" t="s">
        <v>353</v>
      </c>
      <c r="B36" s="327" t="n">
        <v>121</v>
      </c>
      <c r="C36" s="327" t="n">
        <v>71</v>
      </c>
      <c r="D36" s="327" t="n">
        <v>50</v>
      </c>
      <c r="E36" s="327" t="n">
        <v>40</v>
      </c>
      <c r="F36" s="328" t="n">
        <f aca="false">((B36*24)/54.5)*0.8</f>
        <v>42.6275229357798</v>
      </c>
      <c r="G36" s="328" t="n">
        <f aca="false">((C36*24)/54.5)*0.8</f>
        <v>25.0128440366972</v>
      </c>
      <c r="H36" s="328" t="n">
        <f aca="false">((D36*24)/54.5)*0.8</f>
        <v>17.6146788990826</v>
      </c>
      <c r="I36" s="328" t="n">
        <f aca="false">((E36*24)/54.5)*0.8</f>
        <v>14.0917431192661</v>
      </c>
      <c r="J36" s="333" t="n">
        <f aca="false">(F36*54.5)/1000</f>
        <v>2.3232</v>
      </c>
      <c r="K36" s="333" t="n">
        <f aca="false">(G36*54.5)/1000</f>
        <v>1.3632</v>
      </c>
      <c r="L36" s="333" t="n">
        <f aca="false">(H36*54.5)/1000</f>
        <v>0.96</v>
      </c>
      <c r="M36" s="333" t="n">
        <f aca="false">(I36*54.5)/1000</f>
        <v>0.768</v>
      </c>
      <c r="N36" s="329" t="n">
        <v>92</v>
      </c>
      <c r="O36" s="329" t="e">
        <f aca="false">[4]!Table7[[#this row],[ah rating]]/10</f>
        <v>#N/A</v>
      </c>
      <c r="P36" s="330" t="e">
        <f aca="false">[4]!Table7[[#this row],[temp]]</f>
        <v>#N/A</v>
      </c>
    </row>
    <row r="37" customFormat="false" ht="15" hidden="false" customHeight="false" outlineLevel="0" collapsed="false">
      <c r="A37" s="332" t="s">
        <v>1645</v>
      </c>
      <c r="B37" s="327" t="n">
        <v>194</v>
      </c>
      <c r="C37" s="327" t="n">
        <v>112</v>
      </c>
      <c r="D37" s="327" t="n">
        <v>81.9</v>
      </c>
      <c r="E37" s="327" t="n">
        <v>65.6</v>
      </c>
      <c r="F37" s="328" t="n">
        <f aca="false">((B37*24)/54.5)*0.8</f>
        <v>68.3449541284404</v>
      </c>
      <c r="G37" s="328" t="n">
        <f aca="false">((C37*24)/54.5)*0.8</f>
        <v>39.456880733945</v>
      </c>
      <c r="H37" s="328" t="n">
        <f aca="false">((D37*24)/54.5)*0.8</f>
        <v>28.8528440366973</v>
      </c>
      <c r="I37" s="328" t="n">
        <f aca="false">((E37*24)/54.5)*0.8</f>
        <v>23.1104587155963</v>
      </c>
      <c r="J37" s="333" t="n">
        <f aca="false">(F37*54.5)/1000</f>
        <v>3.7248</v>
      </c>
      <c r="K37" s="333" t="n">
        <f aca="false">(G37*54.5)/1000</f>
        <v>2.1504</v>
      </c>
      <c r="L37" s="333" t="n">
        <f aca="false">(H37*54.5)/1000</f>
        <v>1.57248</v>
      </c>
      <c r="M37" s="333" t="n">
        <f aca="false">(I37*54.5)/1000</f>
        <v>1.25952</v>
      </c>
      <c r="N37" s="329" t="n">
        <v>160</v>
      </c>
      <c r="O37" s="329" t="e">
        <f aca="false">[4]!Table7[[#this row],[ah rating]]/10</f>
        <v>#N/A</v>
      </c>
      <c r="P37" s="330" t="e">
        <f aca="false">[4]!Table7[[#this row],[temp]]</f>
        <v>#N/A</v>
      </c>
    </row>
    <row r="38" customFormat="false" ht="15" hidden="false" customHeight="false" outlineLevel="0" collapsed="false">
      <c r="A38" s="332" t="s">
        <v>1646</v>
      </c>
      <c r="B38" s="327" t="n">
        <v>890</v>
      </c>
      <c r="C38" s="327" t="n">
        <v>566</v>
      </c>
      <c r="D38" s="327" t="n">
        <v>426</v>
      </c>
      <c r="E38" s="327" t="n">
        <v>343</v>
      </c>
      <c r="F38" s="328" t="n">
        <f aca="false">((B38*24)/54.5)*0.8</f>
        <v>313.54128440367</v>
      </c>
      <c r="G38" s="328" t="n">
        <f aca="false">((C38*24)/54.5)*0.8</f>
        <v>199.398165137615</v>
      </c>
      <c r="H38" s="328" t="n">
        <f aca="false">((D38*24)/54.5)*0.8</f>
        <v>150.077064220183</v>
      </c>
      <c r="I38" s="328" t="n">
        <f aca="false">((E38*24)/54.5)*0.8</f>
        <v>120.836697247706</v>
      </c>
      <c r="J38" s="333" t="n">
        <f aca="false">(F38*54.5)/1000</f>
        <v>17.088</v>
      </c>
      <c r="K38" s="333" t="n">
        <f aca="false">(G38*54.5)/1000</f>
        <v>10.8672</v>
      </c>
      <c r="L38" s="333" t="n">
        <f aca="false">(H38*54.5)/1000</f>
        <v>8.1792</v>
      </c>
      <c r="M38" s="333" t="n">
        <f aca="false">(I38*54.5)/1000</f>
        <v>6.5856</v>
      </c>
      <c r="N38" s="329" t="n">
        <v>800</v>
      </c>
      <c r="O38" s="329" t="e">
        <f aca="false">[4]!Table7[[#this row],[ah rating]]/10</f>
        <v>#N/A</v>
      </c>
      <c r="P38" s="330" t="e">
        <f aca="false">[4]!Table7[[#this row],[temp]]</f>
        <v>#N/A</v>
      </c>
    </row>
    <row r="39" customFormat="false" ht="15" hidden="false" customHeight="false" outlineLevel="0" collapsed="false">
      <c r="A39" s="332" t="s">
        <v>386</v>
      </c>
      <c r="B39" s="334" t="n">
        <v>1112</v>
      </c>
      <c r="C39" s="334" t="n">
        <v>707</v>
      </c>
      <c r="D39" s="334" t="n">
        <v>532</v>
      </c>
      <c r="E39" s="335" t="n">
        <v>429</v>
      </c>
      <c r="F39" s="328" t="n">
        <f aca="false">((B39*24)/54.5)*0.8</f>
        <v>391.750458715596</v>
      </c>
      <c r="G39" s="328" t="n">
        <f aca="false">((C39*24)/54.5)*0.8</f>
        <v>249.071559633028</v>
      </c>
      <c r="H39" s="328" t="n">
        <f aca="false">((D39*24)/54.5)*0.8</f>
        <v>187.420183486239</v>
      </c>
      <c r="I39" s="328" t="n">
        <f aca="false">((E39*24)/54.5)*0.8</f>
        <v>151.133944954128</v>
      </c>
      <c r="J39" s="333" t="n">
        <f aca="false">(F39*54.5)/1000</f>
        <v>21.3504</v>
      </c>
      <c r="K39" s="333" t="n">
        <f aca="false">(G39*54.5)/1000</f>
        <v>13.5744</v>
      </c>
      <c r="L39" s="333" t="n">
        <f aca="false">(H39*54.5)/1000</f>
        <v>10.2144</v>
      </c>
      <c r="M39" s="333" t="n">
        <f aca="false">(I39*54.5)/1000</f>
        <v>8.2368</v>
      </c>
      <c r="N39" s="329" t="n">
        <v>1000</v>
      </c>
      <c r="O39" s="329" t="e">
        <f aca="false">[4]!Table7[[#this row],[ah rating]]/10</f>
        <v>#N/A</v>
      </c>
      <c r="P39" s="330" t="e">
        <f aca="false">[4]!Table7[[#this row],[temp]]</f>
        <v>#N/A</v>
      </c>
    </row>
    <row r="40" customFormat="false" ht="15" hidden="false" customHeight="false" outlineLevel="0" collapsed="false">
      <c r="A40" s="332" t="s">
        <v>527</v>
      </c>
      <c r="B40" s="334" t="n">
        <v>1372</v>
      </c>
      <c r="C40" s="334" t="n">
        <v>930</v>
      </c>
      <c r="D40" s="334" t="n">
        <v>708</v>
      </c>
      <c r="E40" s="335" t="n">
        <v>579</v>
      </c>
      <c r="F40" s="328" t="n">
        <f aca="false">((B40*24)/54.5)*0.8</f>
        <v>483.346788990826</v>
      </c>
      <c r="G40" s="328" t="n">
        <f aca="false">((C40*24)/54.5)*0.8</f>
        <v>327.633027522936</v>
      </c>
      <c r="H40" s="328" t="n">
        <f aca="false">((D40*24)/54.5)*0.8</f>
        <v>249.423853211009</v>
      </c>
      <c r="I40" s="328" t="n">
        <f aca="false">((E40*24)/54.5)*0.8</f>
        <v>203.977981651376</v>
      </c>
      <c r="J40" s="333" t="n">
        <f aca="false">(F40*54.5)/1000</f>
        <v>26.3424</v>
      </c>
      <c r="K40" s="333" t="n">
        <f aca="false">(G40*54.5)/1000</f>
        <v>17.856</v>
      </c>
      <c r="L40" s="333" t="n">
        <f aca="false">(H40*54.5)/1000</f>
        <v>13.5936</v>
      </c>
      <c r="M40" s="333" t="n">
        <f aca="false">(I40*54.5)/1000</f>
        <v>11.1168</v>
      </c>
      <c r="N40" s="329" t="n">
        <v>1500</v>
      </c>
      <c r="O40" s="329" t="e">
        <f aca="false">[4]!Table7[[#this row],[ah rating]]/10</f>
        <v>#N/A</v>
      </c>
      <c r="P40" s="330" t="e">
        <f aca="false">[4]!Table7[[#this row],[temp]]</f>
        <v>#N/A</v>
      </c>
    </row>
    <row r="41" customFormat="false" ht="15" hidden="false" customHeight="false" outlineLevel="0" collapsed="false">
      <c r="A41" s="332" t="s">
        <v>786</v>
      </c>
      <c r="B41" s="334" t="n">
        <v>1830</v>
      </c>
      <c r="C41" s="334" t="n">
        <v>1239</v>
      </c>
      <c r="D41" s="334" t="n">
        <v>944</v>
      </c>
      <c r="E41" s="335" t="n">
        <v>773</v>
      </c>
      <c r="F41" s="328" t="n">
        <f aca="false">((B41*24)/54.5)*0.8</f>
        <v>644.697247706422</v>
      </c>
      <c r="G41" s="328" t="n">
        <f aca="false">((C41*24)/54.5)*0.8</f>
        <v>436.491743119266</v>
      </c>
      <c r="H41" s="328" t="n">
        <f aca="false">((D41*24)/54.5)*0.8</f>
        <v>332.565137614679</v>
      </c>
      <c r="I41" s="328" t="n">
        <f aca="false">((E41*24)/54.5)*0.8</f>
        <v>272.322935779817</v>
      </c>
      <c r="J41" s="333" t="n">
        <f aca="false">(F41*54.5)/1000</f>
        <v>35.136</v>
      </c>
      <c r="K41" s="333" t="n">
        <f aca="false">(G41*54.5)/1000</f>
        <v>23.7888</v>
      </c>
      <c r="L41" s="333" t="n">
        <f aca="false">(H41*54.5)/1000</f>
        <v>18.1248</v>
      </c>
      <c r="M41" s="333" t="n">
        <f aca="false">(I41*54.5)/1000</f>
        <v>14.8416</v>
      </c>
      <c r="N41" s="329" t="n">
        <v>2000</v>
      </c>
      <c r="O41" s="329" t="e">
        <f aca="false">[4]!Table7[[#this row],[ah rating]]/10</f>
        <v>#N/A</v>
      </c>
      <c r="P41" s="330" t="e">
        <f aca="false">[4]!Table7[[#this row],[temp]]</f>
        <v>#N/A</v>
      </c>
    </row>
    <row r="42" customFormat="false" ht="15" hidden="false" customHeight="false" outlineLevel="0" collapsed="false">
      <c r="A42" s="332" t="s">
        <v>1647</v>
      </c>
      <c r="B42" s="336" t="n">
        <v>1183</v>
      </c>
      <c r="C42" s="336" t="n">
        <v>721</v>
      </c>
      <c r="D42" s="336" t="n">
        <v>526</v>
      </c>
      <c r="E42" s="335" t="n">
        <v>418</v>
      </c>
      <c r="F42" s="328" t="n">
        <f aca="false">((B42*24)/54.5)*0.8</f>
        <v>416.763302752294</v>
      </c>
      <c r="G42" s="328" t="n">
        <f aca="false">((C42*24)/54.5)*0.8</f>
        <v>254.003669724771</v>
      </c>
      <c r="H42" s="328" t="n">
        <f aca="false">((D42*24)/54.5)*0.8</f>
        <v>185.306422018349</v>
      </c>
      <c r="I42" s="328" t="n">
        <f aca="false">((E42*24)/54.5)*0.8</f>
        <v>147.25871559633</v>
      </c>
      <c r="J42" s="333" t="n">
        <f aca="false">(F42*54.5)/1000</f>
        <v>22.7136</v>
      </c>
      <c r="K42" s="333" t="n">
        <f aca="false">(G42*54.5)/1000</f>
        <v>13.8432</v>
      </c>
      <c r="L42" s="333" t="n">
        <f aca="false">(H42*54.5)/1000</f>
        <v>10.0992</v>
      </c>
      <c r="M42" s="333" t="n">
        <f aca="false">(I42*54.5)/1000</f>
        <v>8.0256</v>
      </c>
      <c r="N42" s="337" t="n">
        <v>1000</v>
      </c>
      <c r="O42" s="337" t="e">
        <f aca="false">[4]!Table7[[#this row],[ah rating]]/10</f>
        <v>#N/A</v>
      </c>
      <c r="P42" s="338" t="n">
        <v>20</v>
      </c>
    </row>
    <row r="43" customFormat="false" ht="15" hidden="false" customHeight="false" outlineLevel="0" collapsed="false">
      <c r="A43" s="331" t="s">
        <v>689</v>
      </c>
      <c r="B43" s="327" t="n">
        <v>1602</v>
      </c>
      <c r="C43" s="327" t="n">
        <v>1009</v>
      </c>
      <c r="D43" s="327" t="n">
        <v>736</v>
      </c>
      <c r="E43" s="339" t="n">
        <v>585</v>
      </c>
      <c r="F43" s="328" t="n">
        <f aca="false">((B43*24)/54.5)*0.8</f>
        <v>564.374311926606</v>
      </c>
      <c r="G43" s="328" t="n">
        <f aca="false">((C43*24)/54.5)*0.8</f>
        <v>355.464220183486</v>
      </c>
      <c r="H43" s="328" t="n">
        <f aca="false">((D43*24)/54.5)*0.8</f>
        <v>259.288073394495</v>
      </c>
      <c r="I43" s="328" t="n">
        <f aca="false">((E43*24)/54.5)*0.8</f>
        <v>206.091743119266</v>
      </c>
      <c r="J43" s="328" t="n">
        <f aca="false">(F43*54.5)/1000</f>
        <v>30.7584</v>
      </c>
      <c r="K43" s="328" t="n">
        <f aca="false">(G43*54.5)/1000</f>
        <v>19.3728</v>
      </c>
      <c r="L43" s="328" t="n">
        <f aca="false">(H43*54.5)/1000</f>
        <v>14.1312</v>
      </c>
      <c r="M43" s="328" t="n">
        <f aca="false">(I43*54.5)/1000</f>
        <v>11.232</v>
      </c>
      <c r="N43" s="329" t="n">
        <v>14000</v>
      </c>
      <c r="O43" s="329" t="e">
        <f aca="false">[4]!Table7[[#this row],[ah rating]]/10</f>
        <v>#N/A</v>
      </c>
      <c r="P43" s="340" t="e">
        <f aca="false">[4]!Table7[[#this row],[temp]]</f>
        <v>#N/A</v>
      </c>
    </row>
    <row r="44" customFormat="false" ht="15" hidden="false" customHeight="false" outlineLevel="0" collapsed="false">
      <c r="A44" s="331" t="s">
        <v>412</v>
      </c>
      <c r="B44" s="327" t="n">
        <v>2022.5</v>
      </c>
      <c r="C44" s="327" t="n">
        <v>1268.4</v>
      </c>
      <c r="D44" s="327" t="n">
        <v>933</v>
      </c>
      <c r="E44" s="339" t="n">
        <v>741.8</v>
      </c>
      <c r="F44" s="328" t="n">
        <f aca="false">((B44*24)/54.5)*0.8</f>
        <v>712.51376146789</v>
      </c>
      <c r="G44" s="328" t="n">
        <f aca="false">((C44*24)/54.5)*0.8</f>
        <v>446.849174311927</v>
      </c>
      <c r="H44" s="328" t="n">
        <f aca="false">((D44*24)/54.5)*0.8</f>
        <v>328.689908256881</v>
      </c>
      <c r="I44" s="328" t="n">
        <f aca="false">((E44*24)/54.5)*0.8</f>
        <v>261.331376146789</v>
      </c>
      <c r="J44" s="328" t="n">
        <f aca="false">(F44*54.5)/1000</f>
        <v>38.832</v>
      </c>
      <c r="K44" s="328" t="n">
        <f aca="false">(G44*54.5)/1000</f>
        <v>24.35328</v>
      </c>
      <c r="L44" s="328" t="n">
        <f aca="false">(H44*54.5)/1000</f>
        <v>17.9136</v>
      </c>
      <c r="M44" s="328" t="n">
        <f aca="false">(I44*54.5)/1000</f>
        <v>14.24256</v>
      </c>
      <c r="N44" s="329" t="n">
        <v>2000</v>
      </c>
      <c r="O44" s="329" t="e">
        <f aca="false">[4]!Table7[[#this row],[ah rating]]/10</f>
        <v>#N/A</v>
      </c>
      <c r="P44" s="340" t="e">
        <f aca="false">[4]!Table7[[#this row],[temp]]</f>
        <v>#N/A</v>
      </c>
    </row>
    <row r="45" customFormat="false" ht="15" hidden="false" customHeight="false" outlineLevel="0" collapsed="false">
      <c r="A45" s="331" t="s">
        <v>1648</v>
      </c>
      <c r="B45" s="327" t="n">
        <v>1854</v>
      </c>
      <c r="C45" s="327" t="n">
        <v>1173</v>
      </c>
      <c r="D45" s="327" t="n">
        <v>853</v>
      </c>
      <c r="E45" s="339" t="n">
        <v>671</v>
      </c>
      <c r="F45" s="328" t="n">
        <f aca="false">((B45*24)/54.5)*0.8</f>
        <v>653.152293577982</v>
      </c>
      <c r="G45" s="328" t="n">
        <f aca="false">((C45*24)/54.5)*0.8</f>
        <v>413.240366972477</v>
      </c>
      <c r="H45" s="328" t="n">
        <f aca="false">((D45*24)/54.5)*0.8</f>
        <v>300.506422018349</v>
      </c>
      <c r="I45" s="328" t="n">
        <f aca="false">((E45*24)/54.5)*0.8</f>
        <v>236.388990825688</v>
      </c>
      <c r="J45" s="328" t="n">
        <f aca="false">(F45*54.5)/1000</f>
        <v>35.5968</v>
      </c>
      <c r="K45" s="328" t="n">
        <f aca="false">(G45*54.5)/1000</f>
        <v>22.5216</v>
      </c>
      <c r="L45" s="328" t="n">
        <f aca="false">(H45*54.5)/1000</f>
        <v>16.3776</v>
      </c>
      <c r="M45" s="328" t="n">
        <f aca="false">(I45*54.5)/1000</f>
        <v>12.8832</v>
      </c>
      <c r="N45" s="329" t="n">
        <v>1600</v>
      </c>
      <c r="O45" s="329" t="e">
        <f aca="false">[4]!Table7[[#this row],[ah rating]]/10</f>
        <v>#N/A</v>
      </c>
      <c r="P45" s="340" t="e">
        <f aca="false">[4]!Table7[[#this row],[temp]]</f>
        <v>#N/A</v>
      </c>
    </row>
    <row r="46" customFormat="false" ht="15" hidden="false" customHeight="false" outlineLevel="0" collapsed="false">
      <c r="A46" s="331" t="s">
        <v>638</v>
      </c>
      <c r="B46" s="327" t="n">
        <v>3066.7</v>
      </c>
      <c r="C46" s="327" t="n">
        <v>1908.9</v>
      </c>
      <c r="D46" s="327" t="n">
        <v>1392.8</v>
      </c>
      <c r="E46" s="339" t="n">
        <v>1106.6</v>
      </c>
      <c r="F46" s="328" t="n">
        <f aca="false">((B46*24)/54.5)*0.8</f>
        <v>1080.37871559633</v>
      </c>
      <c r="G46" s="328" t="n">
        <f aca="false">((C46*24)/54.5)*0.8</f>
        <v>672.493211009175</v>
      </c>
      <c r="H46" s="328" t="n">
        <f aca="false">((D46*24)/54.5)*0.8</f>
        <v>490.674495412844</v>
      </c>
      <c r="I46" s="328" t="n">
        <f aca="false">((E46*24)/54.5)*0.8</f>
        <v>389.848073394495</v>
      </c>
      <c r="J46" s="328" t="n">
        <f aca="false">(F46*54.5)/1000</f>
        <v>58.88064</v>
      </c>
      <c r="K46" s="328" t="n">
        <f aca="false">(G46*54.5)/1000</f>
        <v>36.65088</v>
      </c>
      <c r="L46" s="328" t="n">
        <f aca="false">(H46*54.5)/1000</f>
        <v>26.74176</v>
      </c>
      <c r="M46" s="328" t="n">
        <f aca="false">(I46*54.5)/1000</f>
        <v>21.24672</v>
      </c>
      <c r="N46" s="329" t="n">
        <v>3000</v>
      </c>
      <c r="O46" s="329" t="e">
        <f aca="false">[4]!Table7[[#this row],[ah rating]]/10</f>
        <v>#N/A</v>
      </c>
      <c r="P46" s="340" t="e">
        <f aca="false">[4]!Table7[[#this row],[temp]]</f>
        <v>#N/A</v>
      </c>
    </row>
    <row r="47" customFormat="false" ht="15" hidden="false" customHeight="false" outlineLevel="0" collapsed="false">
      <c r="A47" s="331" t="s">
        <v>1649</v>
      </c>
      <c r="B47" s="327" t="n">
        <v>1349</v>
      </c>
      <c r="C47" s="327" t="n">
        <v>865</v>
      </c>
      <c r="D47" s="327" t="n">
        <v>631</v>
      </c>
      <c r="E47" s="339" t="n">
        <v>502</v>
      </c>
      <c r="F47" s="328" t="n">
        <f aca="false">((B47*24)/54.5)*0.8</f>
        <v>475.244036697248</v>
      </c>
      <c r="G47" s="328" t="n">
        <f aca="false">((C47*24)/54.5)*0.8</f>
        <v>304.733944954128</v>
      </c>
      <c r="H47" s="328" t="n">
        <f aca="false">((D47*24)/54.5)*0.8</f>
        <v>222.297247706422</v>
      </c>
      <c r="I47" s="328" t="n">
        <f aca="false">((E47*24)/54.5)*0.8</f>
        <v>176.851376146789</v>
      </c>
      <c r="J47" s="328" t="n">
        <f aca="false">(F47*54.5)/1000</f>
        <v>25.9008</v>
      </c>
      <c r="K47" s="328" t="n">
        <f aca="false">(G47*54.5)/1000</f>
        <v>16.608</v>
      </c>
      <c r="L47" s="328" t="n">
        <f aca="false">(H47*54.5)/1000</f>
        <v>12.1152</v>
      </c>
      <c r="M47" s="328" t="n">
        <f aca="false">(I47*54.5)/1000</f>
        <v>9.6384</v>
      </c>
      <c r="N47" s="329" t="n">
        <v>1200</v>
      </c>
      <c r="O47" s="329" t="e">
        <f aca="false">[4]!Table7[[#this row],[ah rating]]/10</f>
        <v>#N/A</v>
      </c>
      <c r="P47" s="340" t="e">
        <f aca="false">[4]!Table7[[#this row],[temp]]</f>
        <v>#N/A</v>
      </c>
    </row>
    <row r="48" customFormat="false" ht="15" hidden="false" customHeight="false" outlineLevel="0" collapsed="false">
      <c r="A48" s="331" t="s">
        <v>732</v>
      </c>
      <c r="B48" s="327" t="n">
        <v>776</v>
      </c>
      <c r="C48" s="327" t="n">
        <v>472</v>
      </c>
      <c r="D48" s="327" t="n">
        <v>345</v>
      </c>
      <c r="E48" s="339" t="n">
        <v>274</v>
      </c>
      <c r="F48" s="328" t="n">
        <f aca="false">((B48*24)/54.5)*0.8</f>
        <v>273.379816513762</v>
      </c>
      <c r="G48" s="328" t="n">
        <f aca="false">((C48*24)/54.5)*0.8</f>
        <v>166.282568807339</v>
      </c>
      <c r="H48" s="328" t="n">
        <f aca="false">((D48*24)/54.5)*0.8</f>
        <v>121.54128440367</v>
      </c>
      <c r="I48" s="328" t="n">
        <f aca="false">((E48*24)/54.5)*0.8</f>
        <v>96.5284403669725</v>
      </c>
      <c r="J48" s="328" t="n">
        <f aca="false">(F48*54.5)/1000</f>
        <v>14.8992</v>
      </c>
      <c r="K48" s="328" t="n">
        <f aca="false">(G48*54.5)/1000</f>
        <v>9.0624</v>
      </c>
      <c r="L48" s="328" t="n">
        <f aca="false">(H48*54.5)/1000</f>
        <v>6.624</v>
      </c>
      <c r="M48" s="328" t="n">
        <f aca="false">(I48*54.5)/1000</f>
        <v>5.2608</v>
      </c>
      <c r="N48" s="329" t="n">
        <v>652</v>
      </c>
      <c r="O48" s="329" t="e">
        <f aca="false">[4]!Table7[[#this row],[ah rating]]/10</f>
        <v>#N/A</v>
      </c>
      <c r="P48" s="340" t="e">
        <f aca="false">[4]!Table7[[#this row],[temp]]</f>
        <v>#N/A</v>
      </c>
    </row>
    <row r="49" customFormat="false" ht="15" hidden="false" customHeight="false" outlineLevel="0" collapsed="false">
      <c r="A49" s="331" t="s">
        <v>1650</v>
      </c>
      <c r="B49" s="327" t="n">
        <v>1899</v>
      </c>
      <c r="C49" s="327" t="n">
        <v>1200</v>
      </c>
      <c r="D49" s="327" t="n">
        <v>893</v>
      </c>
      <c r="E49" s="339" t="n">
        <v>720</v>
      </c>
      <c r="F49" s="328" t="n">
        <f aca="false">((B49*24)/54.5)*0.8</f>
        <v>669.005504587156</v>
      </c>
      <c r="G49" s="328" t="n">
        <f aca="false">((C49*24)/54.5)*0.8</f>
        <v>422.752293577982</v>
      </c>
      <c r="H49" s="328" t="n">
        <f aca="false">((D49*24)/54.5)*0.8</f>
        <v>314.598165137615</v>
      </c>
      <c r="I49" s="328" t="n">
        <f aca="false">((E49*24)/54.5)*0.8</f>
        <v>253.651376146789</v>
      </c>
      <c r="J49" s="328" t="n">
        <f aca="false">(F49*54.5)/1000</f>
        <v>36.4608</v>
      </c>
      <c r="K49" s="328" t="n">
        <f aca="false">(G49*54.5)/1000</f>
        <v>23.04</v>
      </c>
      <c r="L49" s="328" t="n">
        <f aca="false">(H49*54.5)/1000</f>
        <v>17.1456</v>
      </c>
      <c r="M49" s="328" t="n">
        <f aca="false">(I49*54.5)/1000</f>
        <v>13.824</v>
      </c>
      <c r="N49" s="329" t="n">
        <v>1680</v>
      </c>
      <c r="O49" s="329" t="e">
        <f aca="false">[4]!Table7[[#this row],[ah rating]]/10</f>
        <v>#N/A</v>
      </c>
      <c r="P49" s="340" t="e">
        <f aca="false">[4]!Table7[[#this row],[temp]]</f>
        <v>#N/A</v>
      </c>
    </row>
    <row r="50" customFormat="false" ht="15" hidden="false" customHeight="false" outlineLevel="0" collapsed="false">
      <c r="A50" s="331" t="s">
        <v>324</v>
      </c>
      <c r="B50" s="327" t="n">
        <v>591</v>
      </c>
      <c r="C50" s="327" t="n">
        <v>355</v>
      </c>
      <c r="D50" s="327" t="n">
        <v>254</v>
      </c>
      <c r="E50" s="339" t="n">
        <v>203</v>
      </c>
      <c r="F50" s="328" t="n">
        <f aca="false">((B50*24)/54.5)*0.8</f>
        <v>208.205504587156</v>
      </c>
      <c r="G50" s="328" t="n">
        <f aca="false">((C50*24)/54.5)*0.8</f>
        <v>125.064220183486</v>
      </c>
      <c r="H50" s="328" t="n">
        <f aca="false">((D50*24)/54.5)*0.8</f>
        <v>89.4825688073395</v>
      </c>
      <c r="I50" s="328" t="n">
        <f aca="false">((E50*24)/54.5)*0.8</f>
        <v>71.5155963302752</v>
      </c>
      <c r="J50" s="328" t="n">
        <f aca="false">(F50*54.5)/1000</f>
        <v>11.3472</v>
      </c>
      <c r="K50" s="328" t="n">
        <f aca="false">(G50*54.5)/1000</f>
        <v>6.816</v>
      </c>
      <c r="L50" s="328" t="n">
        <f aca="false">(H50*54.5)/1000</f>
        <v>4.8768</v>
      </c>
      <c r="M50" s="328" t="n">
        <f aca="false">(I50*54.5)/1000</f>
        <v>3.8976</v>
      </c>
      <c r="N50" s="329" t="n">
        <v>489</v>
      </c>
      <c r="O50" s="329" t="e">
        <f aca="false">[4]!Table7[[#this row],[ah rating]]/10</f>
        <v>#N/A</v>
      </c>
      <c r="P50" s="340" t="e">
        <f aca="false">[4]!Table7[[#this row],[temp]]</f>
        <v>#N/A</v>
      </c>
    </row>
    <row r="51" customFormat="false" ht="15" hidden="false" customHeight="false" outlineLevel="0" collapsed="false">
      <c r="A51" s="331" t="s">
        <v>1651</v>
      </c>
      <c r="B51" s="327" t="n">
        <v>197</v>
      </c>
      <c r="C51" s="327" t="n">
        <v>118</v>
      </c>
      <c r="D51" s="327" t="n">
        <v>84.8</v>
      </c>
      <c r="E51" s="339" t="n">
        <v>67.5</v>
      </c>
      <c r="F51" s="328" t="n">
        <f aca="false">((B51*24)/54.5)*0.8</f>
        <v>69.4018348623853</v>
      </c>
      <c r="G51" s="328" t="n">
        <f aca="false">((C51*24)/54.5)*0.8</f>
        <v>41.5706422018349</v>
      </c>
      <c r="H51" s="328" t="n">
        <f aca="false">((D51*24)/54.5)*0.8</f>
        <v>29.874495412844</v>
      </c>
      <c r="I51" s="328" t="n">
        <f aca="false">((E51*24)/54.5)*0.8</f>
        <v>23.7798165137615</v>
      </c>
      <c r="J51" s="328" t="n">
        <f aca="false">(F51*54.5)/1000</f>
        <v>3.7824</v>
      </c>
      <c r="K51" s="328" t="n">
        <f aca="false">(G51*54.5)/1000</f>
        <v>2.2656</v>
      </c>
      <c r="L51" s="328" t="n">
        <f aca="false">(H51*54.5)/1000</f>
        <v>1.62816</v>
      </c>
      <c r="M51" s="328" t="n">
        <f aca="false">(I51*54.5)/1000</f>
        <v>1.296</v>
      </c>
      <c r="N51" s="329" t="n">
        <v>163</v>
      </c>
      <c r="O51" s="329" t="e">
        <f aca="false">[4]!Table7[[#this row],[ah rating]]/10</f>
        <v>#N/A</v>
      </c>
      <c r="P51" s="340" t="e">
        <f aca="false">[4]!Table7[[#this row],[temp]]</f>
        <v>#N/A</v>
      </c>
    </row>
    <row r="52" customFormat="false" ht="15" hidden="false" customHeight="false" outlineLevel="0" collapsed="false">
      <c r="A52" s="331" t="s">
        <v>1652</v>
      </c>
      <c r="B52" s="327" t="n">
        <v>394</v>
      </c>
      <c r="C52" s="327" t="n">
        <v>237</v>
      </c>
      <c r="D52" s="327" t="n">
        <v>170</v>
      </c>
      <c r="E52" s="339" t="n">
        <v>135</v>
      </c>
      <c r="F52" s="328" t="n">
        <f aca="false">((B52*24)/54.5)*0.8</f>
        <v>138.803669724771</v>
      </c>
      <c r="G52" s="328" t="n">
        <f aca="false">((C52*24)/54.5)*0.8</f>
        <v>83.4935779816514</v>
      </c>
      <c r="H52" s="328" t="n">
        <f aca="false">((D52*24)/54.5)*0.8</f>
        <v>59.8899082568807</v>
      </c>
      <c r="I52" s="328" t="n">
        <f aca="false">((E52*24)/54.5)*0.8</f>
        <v>47.5596330275229</v>
      </c>
      <c r="J52" s="328" t="n">
        <f aca="false">(F52*54.5)/1000</f>
        <v>7.5648</v>
      </c>
      <c r="K52" s="328" t="n">
        <f aca="false">(G52*54.5)/1000</f>
        <v>4.5504</v>
      </c>
      <c r="L52" s="328" t="n">
        <f aca="false">(H52*54.5)/1000</f>
        <v>3.264</v>
      </c>
      <c r="M52" s="328" t="n">
        <f aca="false">(I52*54.5)/1000</f>
        <v>2.592</v>
      </c>
      <c r="N52" s="329" t="n">
        <v>260</v>
      </c>
      <c r="O52" s="329" t="e">
        <f aca="false">[4]!Table7[[#this row],[ah rating]]/10</f>
        <v>#N/A</v>
      </c>
      <c r="P52" s="340" t="e">
        <f aca="false">[4]!Table7[[#this row],[temp]]</f>
        <v>#N/A</v>
      </c>
    </row>
  </sheetData>
  <sheetProtection algorithmName="SHA-512" hashValue="3Rmf9cLjcU2xHWJgCj+fcs9lMVYOjrYMAdsITlbOJCZC0+Jhtg7hAiEIuPb8UyRSCIQIKACksDiNT8VEUM1FMA==" saltValue="zRtBc/W3Ncx7FNStfwCa4w==" spinCount="100000" sheet="true" objects="true" scenarios="true"/>
  <mergeCells count="3">
    <mergeCell ref="B2:E2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875" defaultRowHeight="13.15" zeroHeight="false" outlineLevelRow="0" outlineLevelCol="0"/>
  <sheetData>
    <row r="4" customFormat="false" ht="13.15" hidden="false" customHeight="false" outlineLevel="0" collapsed="false">
      <c r="A4" s="0" t="s">
        <v>1653</v>
      </c>
      <c r="B4" s="0" t="n">
        <v>1200</v>
      </c>
    </row>
    <row r="5" customFormat="false" ht="13.15" hidden="false" customHeight="false" outlineLevel="0" collapsed="false">
      <c r="A5" s="0" t="s">
        <v>1654</v>
      </c>
      <c r="B5" s="0" t="n">
        <v>1500</v>
      </c>
    </row>
    <row r="6" customFormat="false" ht="13.15" hidden="false" customHeight="false" outlineLevel="0" collapsed="false">
      <c r="A6" s="0" t="s">
        <v>1655</v>
      </c>
      <c r="B6" s="0" t="n">
        <v>2700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R25" activeCellId="0" sqref="R25"/>
    </sheetView>
  </sheetViews>
  <sheetFormatPr defaultColWidth="9.30078125" defaultRowHeight="15" zeroHeight="false" outlineLevelRow="0" outlineLevelCol="0"/>
  <cols>
    <col collapsed="false" customWidth="true" hidden="false" outlineLevel="0" max="1" min="1" style="311" width="43.58"/>
    <col collapsed="false" customWidth="false" hidden="false" outlineLevel="0" max="5" min="2" style="312" width="9.29"/>
    <col collapsed="false" customWidth="true" hidden="false" outlineLevel="0" max="6" min="6" style="312" width="9.58"/>
    <col collapsed="false" customWidth="true" hidden="false" outlineLevel="0" max="9" min="7" style="312" width="9.71"/>
    <col collapsed="false" customWidth="false" hidden="false" outlineLevel="0" max="10" min="10" style="312" width="9.29"/>
    <col collapsed="false" customWidth="true" hidden="false" outlineLevel="0" max="13" min="11" style="312" width="9.71"/>
    <col collapsed="false" customWidth="true" hidden="false" outlineLevel="0" max="15" min="14" style="312" width="13.7"/>
    <col collapsed="false" customWidth="false" hidden="false" outlineLevel="0" max="1024" min="16" style="312" width="9.29"/>
  </cols>
  <sheetData>
    <row r="1" customFormat="false" ht="15" hidden="false" customHeight="false" outlineLevel="0" collapsed="false">
      <c r="A1" s="313" t="n">
        <v>1</v>
      </c>
      <c r="B1" s="313" t="n">
        <v>2</v>
      </c>
      <c r="C1" s="313" t="n">
        <v>3</v>
      </c>
      <c r="D1" s="313" t="n">
        <v>4</v>
      </c>
      <c r="E1" s="313" t="n">
        <v>5</v>
      </c>
      <c r="F1" s="313" t="n">
        <v>6</v>
      </c>
      <c r="G1" s="313" t="n">
        <v>7</v>
      </c>
      <c r="H1" s="313" t="n">
        <v>8</v>
      </c>
      <c r="I1" s="313" t="n">
        <v>9</v>
      </c>
      <c r="J1" s="313" t="n">
        <v>10</v>
      </c>
      <c r="K1" s="313" t="n">
        <v>11</v>
      </c>
      <c r="L1" s="313" t="n">
        <v>12</v>
      </c>
      <c r="M1" s="313" t="n">
        <v>13</v>
      </c>
      <c r="N1" s="313" t="n">
        <v>14</v>
      </c>
      <c r="O1" s="313" t="n">
        <v>15</v>
      </c>
      <c r="P1" s="313" t="n">
        <v>16</v>
      </c>
    </row>
    <row r="2" customFormat="false" ht="15.6" hidden="false" customHeight="false" outlineLevel="0" collapsed="false">
      <c r="A2" s="314" t="s">
        <v>1618</v>
      </c>
      <c r="B2" s="315" t="s">
        <v>1619</v>
      </c>
      <c r="C2" s="315"/>
      <c r="D2" s="315"/>
      <c r="E2" s="315"/>
      <c r="F2" s="316" t="s">
        <v>1656</v>
      </c>
      <c r="G2" s="316"/>
      <c r="H2" s="316"/>
      <c r="I2" s="316"/>
      <c r="J2" s="317" t="s">
        <v>1657</v>
      </c>
      <c r="K2" s="317"/>
      <c r="L2" s="317"/>
      <c r="M2" s="317"/>
      <c r="N2" s="318"/>
      <c r="O2" s="318"/>
    </row>
    <row r="3" s="325" customFormat="true" ht="15.6" hidden="false" customHeight="false" outlineLevel="0" collapsed="false">
      <c r="A3" s="319" t="s">
        <v>1622</v>
      </c>
      <c r="B3" s="320" t="s">
        <v>927</v>
      </c>
      <c r="C3" s="320" t="s">
        <v>928</v>
      </c>
      <c r="D3" s="320" t="s">
        <v>929</v>
      </c>
      <c r="E3" s="320" t="s">
        <v>930</v>
      </c>
      <c r="F3" s="321" t="s">
        <v>1623</v>
      </c>
      <c r="G3" s="321" t="s">
        <v>1624</v>
      </c>
      <c r="H3" s="321" t="s">
        <v>1625</v>
      </c>
      <c r="I3" s="321" t="s">
        <v>1626</v>
      </c>
      <c r="J3" s="322" t="s">
        <v>1627</v>
      </c>
      <c r="K3" s="322" t="s">
        <v>1628</v>
      </c>
      <c r="L3" s="322" t="s">
        <v>1629</v>
      </c>
      <c r="M3" s="322" t="s">
        <v>1630</v>
      </c>
      <c r="N3" s="323" t="s">
        <v>1631</v>
      </c>
      <c r="O3" s="323" t="s">
        <v>1632</v>
      </c>
      <c r="P3" s="324" t="s">
        <v>1633</v>
      </c>
    </row>
    <row r="4" customFormat="false" ht="15" hidden="false" customHeight="false" outlineLevel="0" collapsed="false">
      <c r="A4" s="326" t="s">
        <v>1634</v>
      </c>
      <c r="B4" s="327" t="n">
        <v>208</v>
      </c>
      <c r="C4" s="327" t="n">
        <v>134</v>
      </c>
      <c r="D4" s="327" t="n">
        <v>100</v>
      </c>
      <c r="E4" s="327" t="n">
        <v>82</v>
      </c>
      <c r="F4" s="328" t="n">
        <f aca="false">((B4*24)/54.5)*0.9</f>
        <v>82.4366972477064</v>
      </c>
      <c r="G4" s="328" t="n">
        <f aca="false">((C4*24)/54.5)*0.9</f>
        <v>53.108256880734</v>
      </c>
      <c r="H4" s="328" t="n">
        <f aca="false">((D4*24)/54.5)*0.9</f>
        <v>39.6330275229358</v>
      </c>
      <c r="I4" s="328" t="n">
        <f aca="false">((E4*24)/54.5)*0.9</f>
        <v>32.4990825688073</v>
      </c>
      <c r="J4" s="328" t="n">
        <f aca="false">(F4*54.5)/1000</f>
        <v>4.4928</v>
      </c>
      <c r="K4" s="328" t="n">
        <f aca="false">(G4*54.5)/1000</f>
        <v>2.8944</v>
      </c>
      <c r="L4" s="328" t="n">
        <f aca="false">(H4*54.5)/1000</f>
        <v>2.16</v>
      </c>
      <c r="M4" s="328" t="n">
        <f aca="false">(I4*54.5)/1000</f>
        <v>1.7712</v>
      </c>
      <c r="N4" s="329" t="n">
        <v>200</v>
      </c>
      <c r="O4" s="329" t="n">
        <f aca="false">Table7[[#This Row],[Ah Rating]]/10</f>
        <v>20</v>
      </c>
      <c r="P4" s="330" t="n">
        <v>25</v>
      </c>
    </row>
    <row r="5" customFormat="false" ht="15" hidden="false" customHeight="false" outlineLevel="0" collapsed="false">
      <c r="A5" s="326" t="s">
        <v>398</v>
      </c>
      <c r="B5" s="327" t="n">
        <v>312</v>
      </c>
      <c r="C5" s="327" t="n">
        <v>201</v>
      </c>
      <c r="D5" s="327" t="n">
        <v>151</v>
      </c>
      <c r="E5" s="327" t="n">
        <v>123</v>
      </c>
      <c r="F5" s="328" t="n">
        <f aca="false">((B5*24)/54.5)*0.9</f>
        <v>123.65504587156</v>
      </c>
      <c r="G5" s="328" t="n">
        <f aca="false">((C5*24)/54.5)*0.9</f>
        <v>79.6623853211009</v>
      </c>
      <c r="H5" s="328" t="n">
        <f aca="false">((D5*24)/54.5)*0.9</f>
        <v>59.845871559633</v>
      </c>
      <c r="I5" s="328" t="n">
        <f aca="false">((E5*24)/54.5)*0.9</f>
        <v>48.748623853211</v>
      </c>
      <c r="J5" s="328" t="n">
        <f aca="false">(F5*54.5)/1000</f>
        <v>6.7392</v>
      </c>
      <c r="K5" s="328" t="n">
        <f aca="false">(G5*54.5)/1000</f>
        <v>4.3416</v>
      </c>
      <c r="L5" s="328" t="n">
        <f aca="false">(H5*54.5)/1000</f>
        <v>3.2616</v>
      </c>
      <c r="M5" s="328" t="n">
        <f aca="false">(I5*54.5)/1000</f>
        <v>2.6568</v>
      </c>
      <c r="N5" s="329" t="n">
        <v>300</v>
      </c>
      <c r="O5" s="329" t="n">
        <f aca="false">Table7[[#This Row],[Ah Rating]]/10</f>
        <v>30</v>
      </c>
      <c r="P5" s="330" t="n">
        <v>25</v>
      </c>
    </row>
    <row r="6" customFormat="false" ht="15" hidden="false" customHeight="false" outlineLevel="0" collapsed="false">
      <c r="A6" s="326" t="s">
        <v>1635</v>
      </c>
      <c r="B6" s="327" t="n">
        <v>417</v>
      </c>
      <c r="C6" s="327" t="n">
        <v>268</v>
      </c>
      <c r="D6" s="327" t="n">
        <v>201</v>
      </c>
      <c r="E6" s="327" t="n">
        <v>164</v>
      </c>
      <c r="F6" s="328" t="n">
        <f aca="false">((B6*24)/54.5)*0.9</f>
        <v>165.269724770642</v>
      </c>
      <c r="G6" s="328" t="n">
        <f aca="false">((C6*24)/54.5)*0.9</f>
        <v>106.216513761468</v>
      </c>
      <c r="H6" s="328" t="n">
        <f aca="false">((D6*24)/54.5)*0.9</f>
        <v>79.6623853211009</v>
      </c>
      <c r="I6" s="328" t="n">
        <f aca="false">((E6*24)/54.5)*0.9</f>
        <v>64.9981651376147</v>
      </c>
      <c r="J6" s="328" t="n">
        <f aca="false">(F6*54.5)/1000</f>
        <v>9.0072</v>
      </c>
      <c r="K6" s="328" t="n">
        <f aca="false">(G6*54.5)/1000</f>
        <v>5.7888</v>
      </c>
      <c r="L6" s="328" t="n">
        <f aca="false">(H6*54.5)/1000</f>
        <v>4.3416</v>
      </c>
      <c r="M6" s="328" t="n">
        <f aca="false">(I6*54.5)/1000</f>
        <v>3.5424</v>
      </c>
      <c r="N6" s="329" t="n">
        <v>400</v>
      </c>
      <c r="O6" s="329" t="n">
        <f aca="false">Table7[[#This Row],[Ah Rating]]/10</f>
        <v>40</v>
      </c>
      <c r="P6" s="330" t="n">
        <v>25</v>
      </c>
    </row>
    <row r="7" customFormat="false" ht="15" hidden="false" customHeight="false" outlineLevel="0" collapsed="false">
      <c r="A7" s="326" t="s">
        <v>486</v>
      </c>
      <c r="B7" s="327" t="n">
        <v>487</v>
      </c>
      <c r="C7" s="327" t="n">
        <v>327</v>
      </c>
      <c r="D7" s="327" t="n">
        <v>248</v>
      </c>
      <c r="E7" s="327" t="n">
        <v>204</v>
      </c>
      <c r="F7" s="328" t="n">
        <f aca="false">((B7*24)/54.5)*0.9</f>
        <v>193.012844036697</v>
      </c>
      <c r="G7" s="328" t="n">
        <f aca="false">((C7*24)/54.5)*0.9</f>
        <v>129.6</v>
      </c>
      <c r="H7" s="328" t="n">
        <f aca="false">((D7*24)/54.5)*0.9</f>
        <v>98.2899082568807</v>
      </c>
      <c r="I7" s="328" t="n">
        <f aca="false">((E7*24)/54.5)*0.9</f>
        <v>80.851376146789</v>
      </c>
      <c r="J7" s="328" t="n">
        <f aca="false">(F7*54.5)/1000</f>
        <v>10.5192</v>
      </c>
      <c r="K7" s="328" t="n">
        <f aca="false">(G7*54.5)/1000</f>
        <v>7.0632</v>
      </c>
      <c r="L7" s="328" t="n">
        <f aca="false">(H7*54.5)/1000</f>
        <v>5.3568</v>
      </c>
      <c r="M7" s="328" t="n">
        <f aca="false">(I7*54.5)/1000</f>
        <v>4.4064</v>
      </c>
      <c r="N7" s="329" t="n">
        <v>510</v>
      </c>
      <c r="O7" s="329" t="n">
        <f aca="false">Table7[[#This Row],[Ah Rating]]/10</f>
        <v>51</v>
      </c>
      <c r="P7" s="330" t="n">
        <v>25</v>
      </c>
    </row>
    <row r="8" customFormat="false" ht="15" hidden="false" customHeight="false" outlineLevel="0" collapsed="false">
      <c r="A8" s="326" t="s">
        <v>365</v>
      </c>
      <c r="B8" s="327" t="n">
        <v>568</v>
      </c>
      <c r="C8" s="327" t="n">
        <v>381</v>
      </c>
      <c r="D8" s="327" t="n">
        <v>290</v>
      </c>
      <c r="E8" s="327" t="n">
        <v>238</v>
      </c>
      <c r="F8" s="328" t="n">
        <f aca="false">((B8*24)/54.5)*0.9</f>
        <v>225.115596330275</v>
      </c>
      <c r="G8" s="328" t="n">
        <f aca="false">((C8*24)/54.5)*0.9</f>
        <v>151.001834862385</v>
      </c>
      <c r="H8" s="328" t="n">
        <f aca="false">((D8*24)/54.5)*0.9</f>
        <v>114.935779816514</v>
      </c>
      <c r="I8" s="328" t="n">
        <f aca="false">((E8*24)/54.5)*0.9</f>
        <v>94.3266055045872</v>
      </c>
      <c r="J8" s="328" t="n">
        <f aca="false">(F8*54.5)/1000</f>
        <v>12.2688</v>
      </c>
      <c r="K8" s="328" t="n">
        <f aca="false">(G8*54.5)/1000</f>
        <v>8.2296</v>
      </c>
      <c r="L8" s="328" t="n">
        <f aca="false">(H8*54.5)/1000</f>
        <v>6.264</v>
      </c>
      <c r="M8" s="328" t="n">
        <f aca="false">(I8*54.5)/1000</f>
        <v>5.1408</v>
      </c>
      <c r="N8" s="329" t="n">
        <v>595</v>
      </c>
      <c r="O8" s="329" t="n">
        <f aca="false">Table7[[#This Row],[Ah Rating]]/10</f>
        <v>59.5</v>
      </c>
      <c r="P8" s="330" t="n">
        <v>25</v>
      </c>
    </row>
    <row r="9" customFormat="false" ht="15" hidden="false" customHeight="false" outlineLevel="0" collapsed="false">
      <c r="A9" s="326" t="s">
        <v>568</v>
      </c>
      <c r="B9" s="327" t="n">
        <v>812</v>
      </c>
      <c r="C9" s="327" t="n">
        <v>545</v>
      </c>
      <c r="D9" s="327" t="n">
        <v>414</v>
      </c>
      <c r="E9" s="327" t="n">
        <v>340</v>
      </c>
      <c r="F9" s="328" t="n">
        <f aca="false">((B9*24)/54.5)*0.9</f>
        <v>321.820183486239</v>
      </c>
      <c r="G9" s="328" t="n">
        <f aca="false">((C9*24)/54.5)*0.9</f>
        <v>216</v>
      </c>
      <c r="H9" s="328" t="n">
        <f aca="false">((D9*24)/54.5)*0.9</f>
        <v>164.080733944954</v>
      </c>
      <c r="I9" s="328" t="n">
        <f aca="false">((E9*24)/54.5)*0.9</f>
        <v>134.752293577982</v>
      </c>
      <c r="J9" s="328" t="n">
        <f aca="false">(F9*54.5)/1000</f>
        <v>17.5392</v>
      </c>
      <c r="K9" s="328" t="n">
        <f aca="false">(G9*54.5)/1000</f>
        <v>11.772</v>
      </c>
      <c r="L9" s="328" t="n">
        <f aca="false">(H9*54.5)/1000</f>
        <v>8.9424</v>
      </c>
      <c r="M9" s="328" t="n">
        <f aca="false">(I9*54.5)/1000</f>
        <v>7.344</v>
      </c>
      <c r="N9" s="329" t="n">
        <v>850</v>
      </c>
      <c r="O9" s="329" t="n">
        <f aca="false">Table7[[#This Row],[Ah Rating]]/10</f>
        <v>85</v>
      </c>
      <c r="P9" s="330" t="n">
        <v>25</v>
      </c>
    </row>
    <row r="10" customFormat="false" ht="15" hidden="false" customHeight="false" outlineLevel="0" collapsed="false">
      <c r="A10" s="326" t="s">
        <v>332</v>
      </c>
      <c r="B10" s="327" t="n">
        <v>974</v>
      </c>
      <c r="C10" s="327" t="n">
        <v>654</v>
      </c>
      <c r="D10" s="327" t="n">
        <v>496</v>
      </c>
      <c r="E10" s="327" t="n">
        <v>408</v>
      </c>
      <c r="F10" s="328" t="n">
        <f aca="false">((B10*24)/54.5)*0.9</f>
        <v>386.025688073394</v>
      </c>
      <c r="G10" s="328" t="n">
        <f aca="false">((C10*24)/54.5)*0.9</f>
        <v>259.2</v>
      </c>
      <c r="H10" s="328" t="n">
        <f aca="false">((D10*24)/54.5)*0.9</f>
        <v>196.579816513761</v>
      </c>
      <c r="I10" s="328" t="n">
        <f aca="false">((E10*24)/54.5)*0.9</f>
        <v>161.702752293578</v>
      </c>
      <c r="J10" s="328" t="n">
        <f aca="false">(F10*54.5)/1000</f>
        <v>21.0384</v>
      </c>
      <c r="K10" s="328" t="n">
        <f aca="false">(G10*54.5)/1000</f>
        <v>14.1264</v>
      </c>
      <c r="L10" s="328" t="n">
        <f aca="false">(H10*54.5)/1000</f>
        <v>10.7136</v>
      </c>
      <c r="M10" s="328" t="n">
        <f aca="false">(I10*54.5)/1000</f>
        <v>8.8128</v>
      </c>
      <c r="N10" s="329" t="n">
        <v>1020</v>
      </c>
      <c r="O10" s="329" t="n">
        <f aca="false">Table7[[#This Row],[Ah Rating]]/10</f>
        <v>102</v>
      </c>
      <c r="P10" s="330" t="n">
        <v>25</v>
      </c>
    </row>
    <row r="11" customFormat="false" ht="15" hidden="false" customHeight="false" outlineLevel="0" collapsed="false">
      <c r="A11" s="326" t="s">
        <v>605</v>
      </c>
      <c r="B11" s="327" t="n">
        <v>1055</v>
      </c>
      <c r="C11" s="327" t="n">
        <v>708</v>
      </c>
      <c r="D11" s="327" t="n">
        <v>538</v>
      </c>
      <c r="E11" s="327" t="n">
        <v>442</v>
      </c>
      <c r="F11" s="328" t="n">
        <f aca="false">((B11*24)/54.5)*0.9</f>
        <v>418.128440366973</v>
      </c>
      <c r="G11" s="328" t="n">
        <f aca="false">((C11*24)/54.5)*0.9</f>
        <v>280.601834862385</v>
      </c>
      <c r="H11" s="328" t="n">
        <f aca="false">((D11*24)/54.5)*0.9</f>
        <v>213.225688073395</v>
      </c>
      <c r="I11" s="328" t="n">
        <f aca="false">((E11*24)/54.5)*0.9</f>
        <v>175.177981651376</v>
      </c>
      <c r="J11" s="328" t="n">
        <f aca="false">(F11*54.5)/1000</f>
        <v>22.788</v>
      </c>
      <c r="K11" s="328" t="n">
        <f aca="false">(G11*54.5)/1000</f>
        <v>15.2928</v>
      </c>
      <c r="L11" s="328" t="n">
        <f aca="false">(H11*54.5)/1000</f>
        <v>11.6208</v>
      </c>
      <c r="M11" s="328" t="n">
        <f aca="false">(I11*54.5)/1000</f>
        <v>9.5472</v>
      </c>
      <c r="N11" s="329" t="n">
        <v>1105</v>
      </c>
      <c r="O11" s="329" t="n">
        <f aca="false">Table7[[#This Row],[Ah Rating]]/10</f>
        <v>110.5</v>
      </c>
      <c r="P11" s="330" t="n">
        <v>25</v>
      </c>
    </row>
    <row r="12" customFormat="false" ht="15" hidden="false" customHeight="false" outlineLevel="0" collapsed="false">
      <c r="A12" s="326" t="s">
        <v>472</v>
      </c>
      <c r="B12" s="327" t="n">
        <v>1299</v>
      </c>
      <c r="C12" s="327" t="n">
        <v>871</v>
      </c>
      <c r="D12" s="327" t="n">
        <v>662</v>
      </c>
      <c r="E12" s="327" t="n">
        <v>544</v>
      </c>
      <c r="F12" s="328" t="n">
        <f aca="false">((B12*24)/54.5)*0.9</f>
        <v>514.833027522936</v>
      </c>
      <c r="G12" s="328" t="n">
        <f aca="false">((C12*24)/54.5)*0.9</f>
        <v>345.203669724771</v>
      </c>
      <c r="H12" s="328" t="n">
        <f aca="false">((D12*24)/54.5)*0.9</f>
        <v>262.370642201835</v>
      </c>
      <c r="I12" s="328" t="n">
        <f aca="false">((E12*24)/54.5)*0.9</f>
        <v>215.603669724771</v>
      </c>
      <c r="J12" s="328" t="n">
        <f aca="false">(F12*54.5)/1000</f>
        <v>28.0584</v>
      </c>
      <c r="K12" s="328" t="n">
        <f aca="false">(G12*54.5)/1000</f>
        <v>18.8136</v>
      </c>
      <c r="L12" s="328" t="n">
        <f aca="false">(H12*54.5)/1000</f>
        <v>14.2992</v>
      </c>
      <c r="M12" s="328" t="n">
        <f aca="false">(I12*54.5)/1000</f>
        <v>11.7504</v>
      </c>
      <c r="N12" s="329" t="n">
        <v>1360</v>
      </c>
      <c r="O12" s="329" t="n">
        <f aca="false">Table7[[#This Row],[Ah Rating]]/10</f>
        <v>136</v>
      </c>
      <c r="P12" s="330" t="n">
        <v>25</v>
      </c>
    </row>
    <row r="13" customFormat="false" ht="15" hidden="false" customHeight="false" outlineLevel="0" collapsed="false">
      <c r="A13" s="326" t="s">
        <v>1636</v>
      </c>
      <c r="B13" s="327" t="n">
        <v>947</v>
      </c>
      <c r="C13" s="327" t="n">
        <v>640</v>
      </c>
      <c r="D13" s="327" t="n">
        <v>485</v>
      </c>
      <c r="E13" s="327" t="n">
        <v>397</v>
      </c>
      <c r="F13" s="328" t="n">
        <f aca="false">((B13*24)/54.5)*0.9</f>
        <v>375.324770642202</v>
      </c>
      <c r="G13" s="328" t="n">
        <f aca="false">((C13*24)/54.5)*0.9</f>
        <v>253.651376146789</v>
      </c>
      <c r="H13" s="328" t="n">
        <f aca="false">((D13*24)/54.5)*0.9</f>
        <v>192.220183486239</v>
      </c>
      <c r="I13" s="328" t="n">
        <f aca="false">((E13*24)/54.5)*0.9</f>
        <v>157.343119266055</v>
      </c>
      <c r="J13" s="328" t="n">
        <f aca="false">(F13*54.5)/1000</f>
        <v>20.4552</v>
      </c>
      <c r="K13" s="328" t="n">
        <f aca="false">(G13*54.5)/1000</f>
        <v>13.824</v>
      </c>
      <c r="L13" s="328" t="n">
        <f aca="false">(H13*54.5)/1000</f>
        <v>10.476</v>
      </c>
      <c r="M13" s="328" t="n">
        <f aca="false">(I13*54.5)/1000</f>
        <v>8.5752</v>
      </c>
      <c r="N13" s="329" t="n">
        <v>1000</v>
      </c>
      <c r="O13" s="329" t="n">
        <f aca="false">Table7[[#This Row],[Ah Rating]]/10</f>
        <v>100</v>
      </c>
      <c r="P13" s="330" t="n">
        <v>25</v>
      </c>
    </row>
    <row r="14" customFormat="false" ht="15" hidden="false" customHeight="false" outlineLevel="0" collapsed="false">
      <c r="A14" s="326" t="s">
        <v>336</v>
      </c>
      <c r="B14" s="327" t="n">
        <v>1136</v>
      </c>
      <c r="C14" s="327" t="n">
        <v>768</v>
      </c>
      <c r="D14" s="327" t="n">
        <v>582</v>
      </c>
      <c r="E14" s="327" t="n">
        <v>476</v>
      </c>
      <c r="F14" s="328" t="n">
        <f aca="false">((B14*24)/54.5)*0.9</f>
        <v>450.231192660551</v>
      </c>
      <c r="G14" s="328" t="n">
        <f aca="false">((C14*24)/54.5)*0.9</f>
        <v>304.381651376147</v>
      </c>
      <c r="H14" s="328" t="n">
        <f aca="false">((D14*24)/54.5)*0.9</f>
        <v>230.664220183486</v>
      </c>
      <c r="I14" s="328" t="n">
        <f aca="false">((E14*24)/54.5)*0.9</f>
        <v>188.653211009174</v>
      </c>
      <c r="J14" s="328" t="n">
        <f aca="false">(F14*54.5)/1000</f>
        <v>24.5376</v>
      </c>
      <c r="K14" s="328" t="n">
        <f aca="false">(G14*54.5)/1000</f>
        <v>16.5888</v>
      </c>
      <c r="L14" s="328" t="n">
        <f aca="false">(H14*54.5)/1000</f>
        <v>12.5712</v>
      </c>
      <c r="M14" s="328" t="n">
        <f aca="false">(I14*54.5)/1000</f>
        <v>10.2816</v>
      </c>
      <c r="N14" s="329" t="n">
        <v>1200</v>
      </c>
      <c r="O14" s="329" t="n">
        <f aca="false">Table7[[#This Row],[Ah Rating]]/10</f>
        <v>120</v>
      </c>
      <c r="P14" s="330" t="n">
        <v>25</v>
      </c>
    </row>
    <row r="15" customFormat="false" ht="15" hidden="false" customHeight="false" outlineLevel="0" collapsed="false">
      <c r="A15" s="326" t="s">
        <v>340</v>
      </c>
      <c r="B15" s="327" t="n">
        <v>1231</v>
      </c>
      <c r="C15" s="327" t="n">
        <v>832</v>
      </c>
      <c r="D15" s="327" t="n">
        <v>631</v>
      </c>
      <c r="E15" s="327" t="n">
        <v>516</v>
      </c>
      <c r="F15" s="328" t="n">
        <f aca="false">((B15*24)/54.5)*0.9</f>
        <v>487.88256880734</v>
      </c>
      <c r="G15" s="328" t="n">
        <f aca="false">((C15*24)/54.5)*0.9</f>
        <v>329.746788990826</v>
      </c>
      <c r="H15" s="328" t="n">
        <f aca="false">((D15*24)/54.5)*0.9</f>
        <v>250.084403669725</v>
      </c>
      <c r="I15" s="328" t="n">
        <f aca="false">((E15*24)/54.5)*0.9</f>
        <v>204.506422018349</v>
      </c>
      <c r="J15" s="328" t="n">
        <f aca="false">(F15*54.5)/1000</f>
        <v>26.5896</v>
      </c>
      <c r="K15" s="328" t="n">
        <f aca="false">(G15*54.5)/1000</f>
        <v>17.9712</v>
      </c>
      <c r="L15" s="328" t="n">
        <f aca="false">(H15*54.5)/1000</f>
        <v>13.6296</v>
      </c>
      <c r="M15" s="328" t="n">
        <f aca="false">(I15*54.5)/1000</f>
        <v>11.1456</v>
      </c>
      <c r="N15" s="329" t="n">
        <v>1300</v>
      </c>
      <c r="O15" s="329" t="n">
        <f aca="false">Table7[[#This Row],[Ah Rating]]/10</f>
        <v>130</v>
      </c>
      <c r="P15" s="330" t="n">
        <v>25</v>
      </c>
    </row>
    <row r="16" customFormat="false" ht="15" hidden="false" customHeight="false" outlineLevel="0" collapsed="false">
      <c r="A16" s="326" t="s">
        <v>403</v>
      </c>
      <c r="B16" s="327" t="n">
        <v>1514</v>
      </c>
      <c r="C16" s="327" t="n">
        <v>1024</v>
      </c>
      <c r="D16" s="327" t="n">
        <v>777</v>
      </c>
      <c r="E16" s="327" t="n">
        <v>635</v>
      </c>
      <c r="F16" s="328" t="n">
        <f aca="false">((B16*24)/54.5)*0.9</f>
        <v>600.044036697248</v>
      </c>
      <c r="G16" s="328" t="n">
        <f aca="false">((C16*24)/54.5)*0.9</f>
        <v>405.842201834862</v>
      </c>
      <c r="H16" s="328" t="n">
        <f aca="false">((D16*24)/54.5)*0.9</f>
        <v>307.948623853211</v>
      </c>
      <c r="I16" s="328" t="n">
        <f aca="false">((E16*24)/54.5)*0.9</f>
        <v>251.669724770642</v>
      </c>
      <c r="J16" s="328" t="n">
        <f aca="false">(F16*54.5)/1000</f>
        <v>32.7024</v>
      </c>
      <c r="K16" s="328" t="n">
        <f aca="false">(G16*54.5)/1000</f>
        <v>22.1184</v>
      </c>
      <c r="L16" s="328" t="n">
        <f aca="false">(H16*54.5)/1000</f>
        <v>16.7832</v>
      </c>
      <c r="M16" s="328" t="n">
        <f aca="false">(I16*54.5)/1000</f>
        <v>13.716</v>
      </c>
      <c r="N16" s="329" t="n">
        <v>1600</v>
      </c>
      <c r="O16" s="329" t="n">
        <f aca="false">Table7[[#This Row],[Ah Rating]]/10</f>
        <v>160</v>
      </c>
      <c r="P16" s="330" t="n">
        <v>25</v>
      </c>
    </row>
    <row r="17" customFormat="false" ht="15" hidden="false" customHeight="false" outlineLevel="0" collapsed="false">
      <c r="A17" s="326" t="s">
        <v>582</v>
      </c>
      <c r="B17" s="327" t="n">
        <v>1448</v>
      </c>
      <c r="C17" s="327" t="n">
        <v>969</v>
      </c>
      <c r="D17" s="327" t="n">
        <v>738</v>
      </c>
      <c r="E17" s="327" t="n">
        <v>607</v>
      </c>
      <c r="F17" s="328" t="n">
        <f aca="false">((B17*24)/54.5)*0.9</f>
        <v>573.88623853211</v>
      </c>
      <c r="G17" s="328" t="n">
        <f aca="false">((C17*24)/54.5)*0.9</f>
        <v>384.044036697248</v>
      </c>
      <c r="H17" s="328" t="n">
        <f aca="false">((D17*24)/54.5)*0.9</f>
        <v>292.491743119266</v>
      </c>
      <c r="I17" s="328" t="n">
        <f aca="false">((E17*24)/54.5)*0.9</f>
        <v>240.57247706422</v>
      </c>
      <c r="J17" s="328" t="n">
        <f aca="false">(F17*54.5)/1000</f>
        <v>31.2768</v>
      </c>
      <c r="K17" s="328" t="n">
        <f aca="false">(G17*54.5)/1000</f>
        <v>20.9304</v>
      </c>
      <c r="L17" s="328" t="n">
        <f aca="false">(H17*54.5)/1000</f>
        <v>15.9408</v>
      </c>
      <c r="M17" s="328" t="n">
        <f aca="false">(I17*54.5)/1000</f>
        <v>13.1112</v>
      </c>
      <c r="N17" s="329" t="n">
        <v>1500</v>
      </c>
      <c r="O17" s="329" t="n">
        <f aca="false">Table7[[#This Row],[Ah Rating]]/10</f>
        <v>150</v>
      </c>
      <c r="P17" s="330" t="n">
        <v>25</v>
      </c>
    </row>
    <row r="18" customFormat="false" ht="15" hidden="false" customHeight="false" outlineLevel="0" collapsed="false">
      <c r="A18" s="326" t="s">
        <v>572</v>
      </c>
      <c r="B18" s="327" t="n">
        <v>1568</v>
      </c>
      <c r="C18" s="327" t="n">
        <v>1050</v>
      </c>
      <c r="D18" s="327" t="n">
        <v>799</v>
      </c>
      <c r="E18" s="327" t="n">
        <v>658</v>
      </c>
      <c r="F18" s="328" t="n">
        <f aca="false">((B18*24)/54.5)*0.9</f>
        <v>621.445871559633</v>
      </c>
      <c r="G18" s="328" t="n">
        <f aca="false">((C18*24)/54.5)*0.9</f>
        <v>416.146788990826</v>
      </c>
      <c r="H18" s="328" t="n">
        <f aca="false">((D18*24)/54.5)*0.9</f>
        <v>316.667889908257</v>
      </c>
      <c r="I18" s="328" t="n">
        <f aca="false">((E18*24)/54.5)*0.9</f>
        <v>260.785321100917</v>
      </c>
      <c r="J18" s="328" t="n">
        <f aca="false">(F18*54.5)/1000</f>
        <v>33.8688</v>
      </c>
      <c r="K18" s="328" t="n">
        <f aca="false">(G18*54.5)/1000</f>
        <v>22.68</v>
      </c>
      <c r="L18" s="328" t="n">
        <f aca="false">(H18*54.5)/1000</f>
        <v>17.2584</v>
      </c>
      <c r="M18" s="328" t="n">
        <f aca="false">(I18*54.5)/1000</f>
        <v>14.2128</v>
      </c>
      <c r="N18" s="329" t="n">
        <v>1625</v>
      </c>
      <c r="O18" s="329" t="n">
        <f aca="false">Table7[[#This Row],[Ah Rating]]/10</f>
        <v>162.5</v>
      </c>
      <c r="P18" s="330" t="n">
        <v>25</v>
      </c>
    </row>
    <row r="19" customFormat="false" ht="15" hidden="false" customHeight="false" outlineLevel="0" collapsed="false">
      <c r="A19" s="326" t="s">
        <v>345</v>
      </c>
      <c r="B19" s="327" t="n">
        <v>1930</v>
      </c>
      <c r="C19" s="327" t="n">
        <v>1292</v>
      </c>
      <c r="D19" s="327" t="n">
        <v>984</v>
      </c>
      <c r="E19" s="327" t="n">
        <v>810</v>
      </c>
      <c r="F19" s="328" t="n">
        <f aca="false">((B19*24)/54.5)*0.9</f>
        <v>764.917431192661</v>
      </c>
      <c r="G19" s="328" t="n">
        <f aca="false">((C19*24)/54.5)*0.9</f>
        <v>512.05871559633</v>
      </c>
      <c r="H19" s="328" t="n">
        <f aca="false">((D19*24)/54.5)*0.9</f>
        <v>389.988990825688</v>
      </c>
      <c r="I19" s="328" t="n">
        <f aca="false">((E19*24)/54.5)*0.9</f>
        <v>321.02752293578</v>
      </c>
      <c r="J19" s="328" t="n">
        <f aca="false">(F19*54.5)/1000</f>
        <v>41.688</v>
      </c>
      <c r="K19" s="328" t="n">
        <f aca="false">(G19*54.5)/1000</f>
        <v>27.9072</v>
      </c>
      <c r="L19" s="328" t="n">
        <f aca="false">(H19*54.5)/1000</f>
        <v>21.2544</v>
      </c>
      <c r="M19" s="328" t="n">
        <f aca="false">(I19*54.5)/1000</f>
        <v>17.496</v>
      </c>
      <c r="N19" s="329" t="n">
        <v>2000</v>
      </c>
      <c r="O19" s="329" t="n">
        <f aca="false">Table7[[#This Row],[Ah Rating]]/10</f>
        <v>200</v>
      </c>
      <c r="P19" s="330" t="n">
        <v>25</v>
      </c>
      <c r="R19" s="312" t="n">
        <f aca="false">SUM(Table7[[#This Row],[1 hr2]]*0.98)</f>
        <v>749.619082568807</v>
      </c>
      <c r="S19" s="312" t="n">
        <f aca="false">SUM(R19*0.98)</f>
        <v>734.626700917431</v>
      </c>
      <c r="T19" s="312" t="n">
        <f aca="false">SUM(S19*0.98)</f>
        <v>719.934166899083</v>
      </c>
      <c r="U19" s="312" t="n">
        <f aca="false">SUM(T19*0.98)</f>
        <v>705.535483561101</v>
      </c>
      <c r="V19" s="312" t="n">
        <f aca="false">SUM(U19*0.98)</f>
        <v>691.424773889879</v>
      </c>
    </row>
    <row r="20" customFormat="false" ht="15" hidden="false" customHeight="false" outlineLevel="0" collapsed="false">
      <c r="A20" s="331" t="s">
        <v>359</v>
      </c>
      <c r="B20" s="327" t="n">
        <v>195.7</v>
      </c>
      <c r="C20" s="327" t="n">
        <v>115</v>
      </c>
      <c r="D20" s="327" t="n">
        <v>82.5</v>
      </c>
      <c r="E20" s="327" t="n">
        <v>65</v>
      </c>
      <c r="F20" s="328" t="n">
        <f aca="false">((B20*24)/54.5)*0.9</f>
        <v>77.5618348623853</v>
      </c>
      <c r="G20" s="328" t="n">
        <f aca="false">((C20*24)/54.5)*0.9</f>
        <v>45.5779816513762</v>
      </c>
      <c r="H20" s="328" t="n">
        <f aca="false">((D20*24)/54.5)*0.9</f>
        <v>32.697247706422</v>
      </c>
      <c r="I20" s="328" t="n">
        <f aca="false">((E20*24)/54.5)*0.9</f>
        <v>25.7614678899083</v>
      </c>
      <c r="J20" s="328" t="n">
        <f aca="false">(F20*54.5)/1000</f>
        <v>4.22712</v>
      </c>
      <c r="K20" s="328" t="n">
        <f aca="false">(G20*54.5)/1000</f>
        <v>2.484</v>
      </c>
      <c r="L20" s="328" t="n">
        <f aca="false">(H20*54.5)/1000</f>
        <v>1.782</v>
      </c>
      <c r="M20" s="328" t="n">
        <f aca="false">(I20*54.5)/1000</f>
        <v>1.404</v>
      </c>
      <c r="N20" s="329" t="n">
        <v>150</v>
      </c>
      <c r="O20" s="329" t="n">
        <f aca="false">Table7[[#This Row],[Ah Rating]]/10</f>
        <v>15</v>
      </c>
      <c r="P20" s="330" t="n">
        <v>20</v>
      </c>
    </row>
    <row r="21" customFormat="false" ht="15" hidden="false" customHeight="false" outlineLevel="0" collapsed="false">
      <c r="A21" s="331" t="s">
        <v>1637</v>
      </c>
      <c r="B21" s="327" t="n">
        <v>126.8</v>
      </c>
      <c r="C21" s="327" t="n">
        <v>71.1</v>
      </c>
      <c r="D21" s="327" t="n">
        <v>51.9</v>
      </c>
      <c r="E21" s="327" t="n">
        <v>41.5</v>
      </c>
      <c r="F21" s="328" t="n">
        <f aca="false">((B21*24)/54.5)*0.9</f>
        <v>50.2546788990826</v>
      </c>
      <c r="G21" s="328" t="n">
        <f aca="false">((C21*24)/54.5)*0.9</f>
        <v>28.1790825688073</v>
      </c>
      <c r="H21" s="328" t="n">
        <f aca="false">((D21*24)/54.5)*0.9</f>
        <v>20.5695412844037</v>
      </c>
      <c r="I21" s="328" t="n">
        <f aca="false">((E21*24)/54.5)*0.9</f>
        <v>16.4477064220183</v>
      </c>
      <c r="J21" s="328" t="n">
        <f aca="false">(F21*54.5)/1000</f>
        <v>2.73888</v>
      </c>
      <c r="K21" s="328" t="n">
        <f aca="false">(G21*54.5)/1000</f>
        <v>1.53576</v>
      </c>
      <c r="L21" s="328" t="n">
        <f aca="false">(H21*54.5)/1000</f>
        <v>1.12104</v>
      </c>
      <c r="M21" s="328" t="n">
        <f aca="false">(I21*54.5)/1000</f>
        <v>0.8964</v>
      </c>
      <c r="N21" s="329" t="n">
        <v>100</v>
      </c>
      <c r="O21" s="329" t="n">
        <f aca="false">Table7[[#This Row],[Ah Rating]]/10</f>
        <v>10</v>
      </c>
      <c r="P21" s="330" t="n">
        <v>20</v>
      </c>
    </row>
    <row r="22" customFormat="false" ht="15" hidden="false" customHeight="false" outlineLevel="0" collapsed="false">
      <c r="A22" s="331" t="s">
        <v>557</v>
      </c>
      <c r="B22" s="327" t="n">
        <v>263.6</v>
      </c>
      <c r="C22" s="327" t="n">
        <v>154.6</v>
      </c>
      <c r="D22" s="327" t="n">
        <v>110.5</v>
      </c>
      <c r="E22" s="327" t="n">
        <v>86.3</v>
      </c>
      <c r="F22" s="328" t="n">
        <f aca="false">((B22*24)/54.5)*0.9</f>
        <v>104.472660550459</v>
      </c>
      <c r="G22" s="328" t="n">
        <f aca="false">((C22*24)/54.5)*0.9</f>
        <v>61.2726605504587</v>
      </c>
      <c r="H22" s="328" t="n">
        <f aca="false">((D22*24)/54.5)*0.9</f>
        <v>43.794495412844</v>
      </c>
      <c r="I22" s="328" t="n">
        <f aca="false">((E22*24)/54.5)*0.9</f>
        <v>34.2033027522936</v>
      </c>
      <c r="J22" s="328" t="n">
        <f aca="false">(F22*54.5)/1000</f>
        <v>5.69376</v>
      </c>
      <c r="K22" s="328" t="n">
        <f aca="false">(G22*54.5)/1000</f>
        <v>3.33936</v>
      </c>
      <c r="L22" s="328" t="n">
        <f aca="false">(H22*54.5)/1000</f>
        <v>2.3868</v>
      </c>
      <c r="M22" s="328" t="n">
        <f aca="false">(I22*54.5)/1000</f>
        <v>1.86408</v>
      </c>
      <c r="N22" s="329" t="n">
        <v>190</v>
      </c>
      <c r="O22" s="329" t="n">
        <f aca="false">Table7[[#This Row],[Ah Rating]]/10</f>
        <v>19</v>
      </c>
      <c r="P22" s="330" t="n">
        <v>20</v>
      </c>
    </row>
    <row r="23" customFormat="false" ht="15" hidden="false" customHeight="false" outlineLevel="0" collapsed="false">
      <c r="A23" s="331" t="s">
        <v>450</v>
      </c>
      <c r="B23" s="327" t="n">
        <v>131</v>
      </c>
      <c r="C23" s="327" t="n">
        <v>79</v>
      </c>
      <c r="D23" s="327" t="n">
        <v>57</v>
      </c>
      <c r="E23" s="327" t="n">
        <v>45</v>
      </c>
      <c r="F23" s="328" t="n">
        <f aca="false">((B23*24)/54.5)*0.9</f>
        <v>51.9192660550459</v>
      </c>
      <c r="G23" s="328" t="n">
        <f aca="false">((C23*24)/54.5)*0.9</f>
        <v>31.3100917431193</v>
      </c>
      <c r="H23" s="328" t="n">
        <f aca="false">((D23*24)/54.5)*0.9</f>
        <v>22.5908256880734</v>
      </c>
      <c r="I23" s="328" t="n">
        <f aca="false">((E23*24)/54.5)*0.9</f>
        <v>17.8348623853211</v>
      </c>
      <c r="J23" s="328" t="n">
        <f aca="false">(F23*54.5)/1000</f>
        <v>2.8296</v>
      </c>
      <c r="K23" s="328" t="n">
        <f aca="false">(G23*54.5)/1000</f>
        <v>1.7064</v>
      </c>
      <c r="L23" s="328" t="n">
        <f aca="false">(H23*54.5)/1000</f>
        <v>1.2312</v>
      </c>
      <c r="M23" s="328" t="n">
        <f aca="false">(I23*54.5)/1000</f>
        <v>0.972</v>
      </c>
      <c r="N23" s="329" t="n">
        <v>100</v>
      </c>
      <c r="O23" s="329" t="n">
        <f aca="false">Table7[[#This Row],[Ah Rating]]/10</f>
        <v>10</v>
      </c>
      <c r="P23" s="330" t="n">
        <v>20</v>
      </c>
    </row>
    <row r="24" customFormat="false" ht="15" hidden="false" customHeight="false" outlineLevel="0" collapsed="false">
      <c r="A24" s="331" t="s">
        <v>511</v>
      </c>
      <c r="B24" s="327" t="n">
        <v>130</v>
      </c>
      <c r="C24" s="327" t="n">
        <v>78</v>
      </c>
      <c r="D24" s="327" t="n">
        <v>56</v>
      </c>
      <c r="E24" s="327" t="n">
        <v>45</v>
      </c>
      <c r="F24" s="328" t="n">
        <f aca="false">((B24*24)/54.5)*0.9</f>
        <v>51.5229357798165</v>
      </c>
      <c r="G24" s="328" t="n">
        <f aca="false">((C24*24)/54.5)*0.9</f>
        <v>30.9137614678899</v>
      </c>
      <c r="H24" s="328" t="n">
        <f aca="false">((D24*24)/54.5)*0.9</f>
        <v>22.194495412844</v>
      </c>
      <c r="I24" s="328" t="n">
        <f aca="false">((E24*24)/54.5)*0.9</f>
        <v>17.8348623853211</v>
      </c>
      <c r="J24" s="328" t="n">
        <f aca="false">(F24*54.5)/1000</f>
        <v>2.808</v>
      </c>
      <c r="K24" s="328" t="n">
        <f aca="false">(G24*54.5)/1000</f>
        <v>1.6848</v>
      </c>
      <c r="L24" s="328" t="n">
        <f aca="false">(H24*54.5)/1000</f>
        <v>1.2096</v>
      </c>
      <c r="M24" s="328" t="n">
        <f aca="false">(I24*54.5)/1000</f>
        <v>0.972</v>
      </c>
      <c r="N24" s="329" t="n">
        <v>105</v>
      </c>
      <c r="O24" s="329" t="n">
        <f aca="false">Table7[[#This Row],[Ah Rating]]/10</f>
        <v>10.5</v>
      </c>
      <c r="P24" s="330" t="n">
        <v>20</v>
      </c>
    </row>
    <row r="25" customFormat="false" ht="15" hidden="false" customHeight="false" outlineLevel="0" collapsed="false">
      <c r="A25" s="331" t="s">
        <v>811</v>
      </c>
      <c r="B25" s="327" t="n">
        <v>145</v>
      </c>
      <c r="C25" s="341" t="n">
        <v>88</v>
      </c>
      <c r="D25" s="327" t="n">
        <v>65</v>
      </c>
      <c r="E25" s="341" t="n">
        <v>52</v>
      </c>
      <c r="F25" s="328" t="n">
        <f aca="false">((B25*24)/54.5)*0.9</f>
        <v>57.4678899082569</v>
      </c>
      <c r="G25" s="328" t="n">
        <f aca="false">((C25*24)/54.5)*0.9</f>
        <v>34.8770642201835</v>
      </c>
      <c r="H25" s="328" t="n">
        <f aca="false">((D25*24)/54.5)*0.9</f>
        <v>25.7614678899083</v>
      </c>
      <c r="I25" s="328" t="n">
        <f aca="false">((E25*24)/54.5)*0.9</f>
        <v>20.6091743119266</v>
      </c>
      <c r="J25" s="328" t="n">
        <f aca="false">(F25*54.5)/1000</f>
        <v>3.132</v>
      </c>
      <c r="K25" s="328" t="n">
        <f aca="false">(G25*54.5)/1000</f>
        <v>1.9008</v>
      </c>
      <c r="L25" s="328" t="n">
        <f aca="false">(H25*54.5)/1000</f>
        <v>1.404</v>
      </c>
      <c r="M25" s="328" t="n">
        <f aca="false">(I25*54.5)/1000</f>
        <v>1.1232</v>
      </c>
      <c r="N25" s="329" t="n">
        <v>125</v>
      </c>
      <c r="O25" s="329" t="n">
        <f aca="false">Table7[[#This Row],[Ah Rating]]/10</f>
        <v>12.5</v>
      </c>
      <c r="P25" s="330" t="n">
        <v>20</v>
      </c>
    </row>
    <row r="26" customFormat="false" ht="15" hidden="false" customHeight="false" outlineLevel="0" collapsed="false">
      <c r="A26" s="331" t="s">
        <v>723</v>
      </c>
      <c r="B26" s="327" t="n">
        <v>120</v>
      </c>
      <c r="C26" s="341" t="n">
        <v>70</v>
      </c>
      <c r="D26" s="327" t="n">
        <v>50</v>
      </c>
      <c r="E26" s="327" t="n">
        <v>39</v>
      </c>
      <c r="F26" s="328" t="n">
        <f aca="false">((B26*24)/54.5)*0.9</f>
        <v>47.5596330275229</v>
      </c>
      <c r="G26" s="328" t="n">
        <f aca="false">((C26*24)/54.5)*0.9</f>
        <v>27.743119266055</v>
      </c>
      <c r="H26" s="328" t="n">
        <f aca="false">((D26*24)/54.5)*0.9</f>
        <v>19.8165137614679</v>
      </c>
      <c r="I26" s="328" t="n">
        <f aca="false">((E26*24)/54.5)*0.9</f>
        <v>15.456880733945</v>
      </c>
      <c r="J26" s="328" t="n">
        <f aca="false">(F26*54.5)/1000</f>
        <v>2.592</v>
      </c>
      <c r="K26" s="328" t="n">
        <f aca="false">(G26*54.5)/1000</f>
        <v>1.512</v>
      </c>
      <c r="L26" s="328" t="n">
        <f aca="false">(H26*54.5)/1000</f>
        <v>1.08</v>
      </c>
      <c r="M26" s="328" t="n">
        <f aca="false">(I26*54.5)/1000</f>
        <v>0.8424</v>
      </c>
      <c r="N26" s="329" t="n">
        <v>92</v>
      </c>
      <c r="O26" s="329" t="n">
        <f aca="false">Table7[[#This Row],[Ah Rating]]/10</f>
        <v>9.2</v>
      </c>
      <c r="P26" s="330" t="n">
        <v>20</v>
      </c>
    </row>
    <row r="27" customFormat="false" ht="15" hidden="false" customHeight="false" outlineLevel="0" collapsed="false">
      <c r="A27" s="331" t="s">
        <v>1638</v>
      </c>
      <c r="B27" s="327" t="n">
        <v>632</v>
      </c>
      <c r="C27" s="327" t="n">
        <v>361</v>
      </c>
      <c r="D27" s="327" t="n">
        <v>269</v>
      </c>
      <c r="E27" s="341" t="n">
        <v>214</v>
      </c>
      <c r="F27" s="328" t="n">
        <f aca="false">((B27*24)/54.5)*0.9</f>
        <v>250.480733944954</v>
      </c>
      <c r="G27" s="328" t="n">
        <f aca="false">((C27*24)/54.5)*0.9</f>
        <v>143.075229357798</v>
      </c>
      <c r="H27" s="328" t="n">
        <f aca="false">((D27*24)/54.5)*0.9</f>
        <v>106.612844036697</v>
      </c>
      <c r="I27" s="328" t="n">
        <f aca="false">((E27*24)/54.5)*0.9</f>
        <v>84.8146788990826</v>
      </c>
      <c r="J27" s="328" t="n">
        <f aca="false">(F27*54.5)/1000</f>
        <v>13.6512</v>
      </c>
      <c r="K27" s="328" t="n">
        <f aca="false">(G27*54.5)/1000</f>
        <v>7.7976</v>
      </c>
      <c r="L27" s="328" t="n">
        <f aca="false">(H27*54.5)/1000</f>
        <v>5.8104</v>
      </c>
      <c r="M27" s="328" t="n">
        <f aca="false">(I27*54.5)/1000</f>
        <v>4.6224</v>
      </c>
      <c r="N27" s="329" t="n">
        <v>516</v>
      </c>
      <c r="O27" s="329" t="n">
        <f aca="false">Table7[[#This Row],[Ah Rating]]/10</f>
        <v>51.6</v>
      </c>
      <c r="P27" s="330" t="n">
        <v>20</v>
      </c>
    </row>
    <row r="28" customFormat="false" ht="15" hidden="false" customHeight="false" outlineLevel="0" collapsed="false">
      <c r="A28" s="331" t="s">
        <v>535</v>
      </c>
      <c r="B28" s="327" t="n">
        <v>138</v>
      </c>
      <c r="C28" s="327" t="n">
        <v>81</v>
      </c>
      <c r="D28" s="327" t="n">
        <v>58</v>
      </c>
      <c r="E28" s="341" t="n">
        <v>45</v>
      </c>
      <c r="F28" s="328" t="n">
        <f aca="false">((B28*24)/54.5)*0.9</f>
        <v>54.6935779816514</v>
      </c>
      <c r="G28" s="328" t="n">
        <f aca="false">((C28*24)/54.5)*0.9</f>
        <v>32.102752293578</v>
      </c>
      <c r="H28" s="328" t="n">
        <f aca="false">((D28*24)/54.5)*0.9</f>
        <v>22.9871559633027</v>
      </c>
      <c r="I28" s="328" t="n">
        <f aca="false">((E28*24)/54.5)*0.9</f>
        <v>17.8348623853211</v>
      </c>
      <c r="J28" s="328" t="n">
        <f aca="false">(F28*54.5)/1000</f>
        <v>2.9808</v>
      </c>
      <c r="K28" s="328" t="n">
        <f aca="false">(G28*54.5)/1000</f>
        <v>1.7496</v>
      </c>
      <c r="L28" s="328" t="n">
        <f aca="false">(H28*54.5)/1000</f>
        <v>1.2528</v>
      </c>
      <c r="M28" s="328" t="n">
        <f aca="false">(I28*54.5)/1000</f>
        <v>0.972</v>
      </c>
      <c r="N28" s="329" t="n">
        <v>100</v>
      </c>
      <c r="O28" s="329" t="n">
        <f aca="false">Table7[[#This Row],[Ah Rating]]/10</f>
        <v>10</v>
      </c>
      <c r="P28" s="330" t="n">
        <v>20</v>
      </c>
    </row>
    <row r="29" customFormat="false" ht="15" hidden="false" customHeight="false" outlineLevel="0" collapsed="false">
      <c r="A29" s="331" t="s">
        <v>1639</v>
      </c>
      <c r="B29" s="327" t="n">
        <v>650.6</v>
      </c>
      <c r="C29" s="327" t="n">
        <v>452.8</v>
      </c>
      <c r="D29" s="327" t="n">
        <v>347.2</v>
      </c>
      <c r="E29" s="341" t="n">
        <v>282.5</v>
      </c>
      <c r="F29" s="328" t="n">
        <f aca="false">((B29*24)/54.5)*0.9</f>
        <v>257.85247706422</v>
      </c>
      <c r="G29" s="328" t="n">
        <f aca="false">((C29*24)/54.5)*0.9</f>
        <v>179.458348623853</v>
      </c>
      <c r="H29" s="328" t="n">
        <f aca="false">((D29*24)/54.5)*0.9</f>
        <v>137.605871559633</v>
      </c>
      <c r="I29" s="328" t="n">
        <f aca="false">((E29*24)/54.5)*0.9</f>
        <v>111.963302752294</v>
      </c>
      <c r="J29" s="328" t="n">
        <f aca="false">(F29*54.5)/1000</f>
        <v>14.05296</v>
      </c>
      <c r="K29" s="328" t="n">
        <f aca="false">(G29*54.5)/1000</f>
        <v>9.78048</v>
      </c>
      <c r="L29" s="328" t="n">
        <f aca="false">(H29*54.5)/1000</f>
        <v>7.49952</v>
      </c>
      <c r="M29" s="328" t="n">
        <f aca="false">(I29*54.5)/1000</f>
        <v>6.102</v>
      </c>
      <c r="N29" s="329" t="n">
        <v>680</v>
      </c>
      <c r="O29" s="329" t="n">
        <f aca="false">Table7[[#This Row],[Ah Rating]]/10</f>
        <v>68</v>
      </c>
      <c r="P29" s="330" t="n">
        <v>20</v>
      </c>
    </row>
    <row r="30" customFormat="false" ht="15" hidden="false" customHeight="false" outlineLevel="0" collapsed="false">
      <c r="A30" s="331" t="s">
        <v>1640</v>
      </c>
      <c r="B30" s="327" t="n">
        <v>459.2</v>
      </c>
      <c r="C30" s="327" t="n">
        <v>319.6</v>
      </c>
      <c r="D30" s="327" t="n">
        <v>245.1</v>
      </c>
      <c r="E30" s="341" t="n">
        <v>199.4</v>
      </c>
      <c r="F30" s="328" t="n">
        <f aca="false">((B30*24)/54.5)*0.9</f>
        <v>181.994862385321</v>
      </c>
      <c r="G30" s="328" t="n">
        <f aca="false">((C30*24)/54.5)*0.9</f>
        <v>126.667155963303</v>
      </c>
      <c r="H30" s="328" t="n">
        <f aca="false">((D30*24)/54.5)*0.9</f>
        <v>97.1405504587156</v>
      </c>
      <c r="I30" s="328" t="n">
        <f aca="false">((E30*24)/54.5)*0.9</f>
        <v>79.028256880734</v>
      </c>
      <c r="J30" s="328" t="n">
        <f aca="false">(F30*54.5)/1000</f>
        <v>9.91872</v>
      </c>
      <c r="K30" s="328" t="n">
        <f aca="false">(G30*54.5)/1000</f>
        <v>6.90336</v>
      </c>
      <c r="L30" s="328" t="n">
        <f aca="false">(H30*54.5)/1000</f>
        <v>5.29416</v>
      </c>
      <c r="M30" s="328" t="n">
        <f aca="false">(I30*54.5)/1000</f>
        <v>4.30704</v>
      </c>
      <c r="N30" s="329" t="n">
        <v>480</v>
      </c>
      <c r="O30" s="329" t="n">
        <f aca="false">Table7[[#This Row],[Ah Rating]]/10</f>
        <v>48</v>
      </c>
      <c r="P30" s="330" t="n">
        <v>20</v>
      </c>
    </row>
    <row r="31" customFormat="false" ht="15" hidden="false" customHeight="false" outlineLevel="0" collapsed="false">
      <c r="A31" s="331" t="s">
        <v>1641</v>
      </c>
      <c r="B31" s="327" t="n">
        <v>177</v>
      </c>
      <c r="C31" s="327" t="n">
        <v>107</v>
      </c>
      <c r="D31" s="327" t="n">
        <v>79</v>
      </c>
      <c r="E31" s="341" t="n">
        <v>63</v>
      </c>
      <c r="F31" s="328" t="n">
        <f aca="false">((B31*24)/54.5)*0.9</f>
        <v>70.1504587155963</v>
      </c>
      <c r="G31" s="328" t="n">
        <f aca="false">((C31*24)/54.5)*0.9</f>
        <v>42.4073394495413</v>
      </c>
      <c r="H31" s="328" t="n">
        <f aca="false">((D31*24)/54.5)*0.9</f>
        <v>31.3100917431193</v>
      </c>
      <c r="I31" s="328" t="n">
        <f aca="false">((E31*24)/54.5)*0.9</f>
        <v>24.9688073394495</v>
      </c>
      <c r="J31" s="328" t="n">
        <f aca="false">(F31*54.5)/1000</f>
        <v>3.8232</v>
      </c>
      <c r="K31" s="328" t="n">
        <f aca="false">(G31*54.5)/1000</f>
        <v>2.3112</v>
      </c>
      <c r="L31" s="328" t="n">
        <f aca="false">(H31*54.5)/1000</f>
        <v>1.7064</v>
      </c>
      <c r="M31" s="328" t="n">
        <f aca="false">(I31*54.5)/1000</f>
        <v>1.3608</v>
      </c>
      <c r="N31" s="329" t="n">
        <v>150</v>
      </c>
      <c r="O31" s="329" t="n">
        <f aca="false">Table7[[#This Row],[Ah Rating]]/10</f>
        <v>15</v>
      </c>
      <c r="P31" s="330" t="n">
        <v>20</v>
      </c>
    </row>
    <row r="32" customFormat="false" ht="15" hidden="false" customHeight="false" outlineLevel="0" collapsed="false">
      <c r="A32" s="331" t="s">
        <v>624</v>
      </c>
      <c r="B32" s="327" t="n">
        <v>1889</v>
      </c>
      <c r="C32" s="327" t="n">
        <v>1258</v>
      </c>
      <c r="D32" s="327" t="n">
        <v>938</v>
      </c>
      <c r="E32" s="341" t="n">
        <v>760</v>
      </c>
      <c r="F32" s="328" t="n">
        <f aca="false">((B32*24)/54.5)*0.9</f>
        <v>748.667889908257</v>
      </c>
      <c r="G32" s="328" t="n">
        <f aca="false">((C32*24)/54.5)*0.9</f>
        <v>498.583486238532</v>
      </c>
      <c r="H32" s="328" t="n">
        <f aca="false">((D32*24)/54.5)*0.9</f>
        <v>371.757798165138</v>
      </c>
      <c r="I32" s="328" t="n">
        <f aca="false">((E32*24)/54.5)*0.9</f>
        <v>301.211009174312</v>
      </c>
      <c r="J32" s="328" t="n">
        <f aca="false">(F32*54.5)/1000</f>
        <v>40.8024</v>
      </c>
      <c r="K32" s="328" t="n">
        <f aca="false">(G32*54.5)/1000</f>
        <v>27.1728</v>
      </c>
      <c r="L32" s="328" t="n">
        <f aca="false">(H32*54.5)/1000</f>
        <v>20.2608</v>
      </c>
      <c r="M32" s="328" t="n">
        <f aca="false">(I32*54.5)/1000</f>
        <v>16.416</v>
      </c>
      <c r="N32" s="329" t="n">
        <v>1870</v>
      </c>
      <c r="O32" s="329" t="n">
        <f aca="false">Table7[[#This Row],[Ah Rating]]/10</f>
        <v>187</v>
      </c>
      <c r="P32" s="330" t="n">
        <v>20</v>
      </c>
    </row>
    <row r="33" customFormat="false" ht="15" hidden="false" customHeight="false" outlineLevel="0" collapsed="false">
      <c r="A33" s="331" t="s">
        <v>1642</v>
      </c>
      <c r="B33" s="327" t="n">
        <v>202</v>
      </c>
      <c r="C33" s="327" t="n">
        <v>122</v>
      </c>
      <c r="D33" s="327" t="n">
        <v>89.4</v>
      </c>
      <c r="E33" s="341" t="n">
        <v>71.3</v>
      </c>
      <c r="F33" s="328" t="n">
        <f aca="false">((B33*24)/54.5)*0.9</f>
        <v>80.0587155963303</v>
      </c>
      <c r="G33" s="328" t="n">
        <f aca="false">((C33*24)/54.5)*0.9</f>
        <v>48.3522935779816</v>
      </c>
      <c r="H33" s="328" t="n">
        <f aca="false">((D33*24)/54.5)*0.9</f>
        <v>35.4319266055046</v>
      </c>
      <c r="I33" s="328" t="n">
        <f aca="false">((E33*24)/54.5)*0.9</f>
        <v>28.2583486238532</v>
      </c>
      <c r="J33" s="328" t="n">
        <f aca="false">(F33*54.5)/1000</f>
        <v>4.3632</v>
      </c>
      <c r="K33" s="328" t="n">
        <f aca="false">(G33*54.5)/1000</f>
        <v>2.6352</v>
      </c>
      <c r="L33" s="328" t="n">
        <f aca="false">(H33*54.5)/1000</f>
        <v>1.93104</v>
      </c>
      <c r="M33" s="328" t="n">
        <f aca="false">(I33*54.5)/1000</f>
        <v>1.54008</v>
      </c>
      <c r="N33" s="329" t="n">
        <v>170</v>
      </c>
      <c r="O33" s="329" t="n">
        <f aca="false">Table7[[#This Row],[Ah Rating]]/10</f>
        <v>17</v>
      </c>
      <c r="P33" s="330" t="n">
        <v>20</v>
      </c>
    </row>
    <row r="34" customFormat="false" ht="15" hidden="false" customHeight="false" outlineLevel="0" collapsed="false">
      <c r="A34" s="331" t="s">
        <v>1643</v>
      </c>
      <c r="B34" s="327" t="n">
        <v>2727</v>
      </c>
      <c r="C34" s="327" t="n">
        <v>1816</v>
      </c>
      <c r="D34" s="327" t="n">
        <v>1355</v>
      </c>
      <c r="E34" s="341" t="n">
        <v>1097</v>
      </c>
      <c r="F34" s="328" t="n">
        <f aca="false">((B34*24)/54.5)*0.9</f>
        <v>1080.79266055046</v>
      </c>
      <c r="G34" s="328" t="n">
        <f aca="false">((C34*24)/54.5)*0.9</f>
        <v>719.735779816514</v>
      </c>
      <c r="H34" s="328" t="n">
        <f aca="false">((D34*24)/54.5)*0.9</f>
        <v>537.02752293578</v>
      </c>
      <c r="I34" s="328" t="n">
        <f aca="false">((E34*24)/54.5)*0.9</f>
        <v>434.774311926606</v>
      </c>
      <c r="J34" s="328" t="n">
        <f aca="false">(F34*54.5)/1000</f>
        <v>58.9032</v>
      </c>
      <c r="K34" s="328" t="n">
        <f aca="false">(G34*54.5)/1000</f>
        <v>39.2256</v>
      </c>
      <c r="L34" s="328" t="n">
        <f aca="false">(H34*54.5)/1000</f>
        <v>29.268</v>
      </c>
      <c r="M34" s="328" t="n">
        <f aca="false">(I34*54.5)/1000</f>
        <v>23.6952</v>
      </c>
      <c r="N34" s="329" t="n">
        <v>2700</v>
      </c>
      <c r="O34" s="329" t="n">
        <f aca="false">Table7[[#This Row],[Ah Rating]]/10</f>
        <v>270</v>
      </c>
      <c r="P34" s="330" t="n">
        <v>20</v>
      </c>
    </row>
    <row r="35" customFormat="false" ht="15" hidden="false" customHeight="false" outlineLevel="0" collapsed="false">
      <c r="A35" s="331" t="s">
        <v>1644</v>
      </c>
      <c r="B35" s="327" t="n">
        <v>210</v>
      </c>
      <c r="C35" s="327" t="n">
        <v>120</v>
      </c>
      <c r="D35" s="327" t="n">
        <v>90</v>
      </c>
      <c r="E35" s="341" t="n">
        <v>71</v>
      </c>
      <c r="F35" s="328" t="n">
        <f aca="false">((B35*24)/54.5)*0.9</f>
        <v>83.2293577981651</v>
      </c>
      <c r="G35" s="328" t="n">
        <f aca="false">((C35*24)/54.5)*0.9</f>
        <v>47.5596330275229</v>
      </c>
      <c r="H35" s="328" t="n">
        <f aca="false">((D35*24)/54.5)*0.9</f>
        <v>35.6697247706422</v>
      </c>
      <c r="I35" s="328" t="n">
        <f aca="false">((E35*24)/54.5)*0.9</f>
        <v>28.1394495412844</v>
      </c>
      <c r="J35" s="328" t="n">
        <f aca="false">(F35*54.5)/1000</f>
        <v>4.536</v>
      </c>
      <c r="K35" s="328" t="n">
        <f aca="false">(G35*54.5)/1000</f>
        <v>2.592</v>
      </c>
      <c r="L35" s="328" t="n">
        <f aca="false">(H35*54.5)/1000</f>
        <v>1.944</v>
      </c>
      <c r="M35" s="328" t="n">
        <f aca="false">(I35*54.5)/1000</f>
        <v>1.5336</v>
      </c>
      <c r="N35" s="329" t="n">
        <v>165</v>
      </c>
      <c r="O35" s="329" t="n">
        <f aca="false">Table7[[#This Row],[Ah Rating]]/10</f>
        <v>16.5</v>
      </c>
      <c r="P35" s="330" t="n">
        <v>20</v>
      </c>
    </row>
    <row r="36" customFormat="false" ht="15" hidden="false" customHeight="false" outlineLevel="0" collapsed="false">
      <c r="A36" s="332" t="s">
        <v>353</v>
      </c>
      <c r="B36" s="336" t="n">
        <v>121</v>
      </c>
      <c r="C36" s="336" t="n">
        <v>71</v>
      </c>
      <c r="D36" s="336" t="n">
        <v>50</v>
      </c>
      <c r="E36" s="342" t="n">
        <v>40</v>
      </c>
      <c r="F36" s="328" t="n">
        <f aca="false">((B36*24)/54.5)*0.9</f>
        <v>47.9559633027523</v>
      </c>
      <c r="G36" s="328" t="n">
        <f aca="false">((C36*24)/54.5)*0.9</f>
        <v>28.1394495412844</v>
      </c>
      <c r="H36" s="328" t="n">
        <f aca="false">((D36*24)/54.5)*0.9</f>
        <v>19.8165137614679</v>
      </c>
      <c r="I36" s="328" t="n">
        <f aca="false">((E36*24)/54.5)*0.9</f>
        <v>15.8532110091743</v>
      </c>
      <c r="J36" s="333" t="n">
        <f aca="false">(F36*54.5)/1000</f>
        <v>2.6136</v>
      </c>
      <c r="K36" s="333" t="n">
        <f aca="false">(G36*54.5)/1000</f>
        <v>1.5336</v>
      </c>
      <c r="L36" s="333" t="n">
        <f aca="false">(H36*54.5)/1000</f>
        <v>1.08</v>
      </c>
      <c r="M36" s="333" t="n">
        <f aca="false">(I36*54.5)/1000</f>
        <v>0.864</v>
      </c>
      <c r="N36" s="337" t="n">
        <v>92</v>
      </c>
      <c r="O36" s="337" t="n">
        <f aca="false">Table7[[#This Row],[Ah Rating]]/10</f>
        <v>9.2</v>
      </c>
      <c r="P36" s="343" t="n">
        <v>20</v>
      </c>
    </row>
    <row r="37" customFormat="false" ht="15" hidden="false" customHeight="false" outlineLevel="0" collapsed="false">
      <c r="A37" s="332" t="s">
        <v>1645</v>
      </c>
      <c r="B37" s="336" t="n">
        <v>194</v>
      </c>
      <c r="C37" s="336" t="n">
        <v>112</v>
      </c>
      <c r="D37" s="336" t="n">
        <v>81.9</v>
      </c>
      <c r="E37" s="342" t="n">
        <v>65.6</v>
      </c>
      <c r="F37" s="328" t="n">
        <f aca="false">((B37*24)/54.5)*0.9</f>
        <v>76.8880733944954</v>
      </c>
      <c r="G37" s="328" t="n">
        <f aca="false">((C37*24)/54.5)*0.9</f>
        <v>44.3889908256881</v>
      </c>
      <c r="H37" s="328" t="n">
        <f aca="false">((D37*24)/54.5)*0.9</f>
        <v>32.4594495412844</v>
      </c>
      <c r="I37" s="328" t="n">
        <f aca="false">((E37*24)/54.5)*0.9</f>
        <v>25.9992660550459</v>
      </c>
      <c r="J37" s="333" t="n">
        <f aca="false">(F37*54.5)/1000</f>
        <v>4.1904</v>
      </c>
      <c r="K37" s="333" t="n">
        <f aca="false">(G37*54.5)/1000</f>
        <v>2.4192</v>
      </c>
      <c r="L37" s="333" t="n">
        <f aca="false">(H37*54.5)/1000</f>
        <v>1.76904</v>
      </c>
      <c r="M37" s="333" t="n">
        <f aca="false">(I37*54.5)/1000</f>
        <v>1.41696</v>
      </c>
      <c r="N37" s="337" t="n">
        <v>160</v>
      </c>
      <c r="O37" s="344" t="n">
        <f aca="false">Table7[[#This Row],[Ah Rating]]/10</f>
        <v>16</v>
      </c>
      <c r="P37" s="339" t="n">
        <v>20</v>
      </c>
    </row>
    <row r="38" customFormat="false" ht="15" hidden="false" customHeight="false" outlineLevel="0" collapsed="false">
      <c r="A38" s="332" t="s">
        <v>1646</v>
      </c>
      <c r="B38" s="336" t="n">
        <v>890</v>
      </c>
      <c r="C38" s="336" t="n">
        <v>566</v>
      </c>
      <c r="D38" s="336" t="n">
        <v>426</v>
      </c>
      <c r="E38" s="342" t="n">
        <v>343</v>
      </c>
      <c r="F38" s="328" t="n">
        <f aca="false">((B38*24)/54.5)*0.9</f>
        <v>352.733944954128</v>
      </c>
      <c r="G38" s="328" t="n">
        <f aca="false">((C38*24)/54.5)*0.9</f>
        <v>224.322935779817</v>
      </c>
      <c r="H38" s="328" t="n">
        <f aca="false">((D38*24)/54.5)*0.9</f>
        <v>168.836697247706</v>
      </c>
      <c r="I38" s="328" t="n">
        <f aca="false">((E38*24)/54.5)*0.9</f>
        <v>135.94128440367</v>
      </c>
      <c r="J38" s="333" t="n">
        <f aca="false">(F38*54.5)/1000</f>
        <v>19.224</v>
      </c>
      <c r="K38" s="333" t="n">
        <f aca="false">(G38*54.5)/1000</f>
        <v>12.2256</v>
      </c>
      <c r="L38" s="333" t="n">
        <f aca="false">(H38*54.5)/1000</f>
        <v>9.2016</v>
      </c>
      <c r="M38" s="333" t="n">
        <f aca="false">(I38*54.5)/1000</f>
        <v>7.4088</v>
      </c>
      <c r="N38" s="337" t="n">
        <v>800</v>
      </c>
      <c r="O38" s="344" t="n">
        <f aca="false">Table7[[#This Row],[Ah Rating]]/10</f>
        <v>80</v>
      </c>
      <c r="P38" s="339" t="n">
        <v>20</v>
      </c>
    </row>
    <row r="39" customFormat="false" ht="15" hidden="false" customHeight="false" outlineLevel="0" collapsed="false">
      <c r="A39" s="332" t="s">
        <v>386</v>
      </c>
      <c r="B39" s="336" t="n">
        <v>1112</v>
      </c>
      <c r="C39" s="336" t="n">
        <v>707</v>
      </c>
      <c r="D39" s="336" t="n">
        <v>532</v>
      </c>
      <c r="E39" s="342" t="n">
        <v>429</v>
      </c>
      <c r="F39" s="328" t="n">
        <f aca="false">((B39*24)/54.5)*0.9</f>
        <v>440.719266055046</v>
      </c>
      <c r="G39" s="328" t="n">
        <f aca="false">((C39*24)/54.5)*0.9</f>
        <v>280.205504587156</v>
      </c>
      <c r="H39" s="328" t="n">
        <f aca="false">((D39*24)/54.5)*0.9</f>
        <v>210.847706422018</v>
      </c>
      <c r="I39" s="328" t="n">
        <f aca="false">((E39*24)/54.5)*0.9</f>
        <v>170.025688073395</v>
      </c>
      <c r="J39" s="333" t="n">
        <f aca="false">(F39*54.5)/1000</f>
        <v>24.0192</v>
      </c>
      <c r="K39" s="333" t="n">
        <f aca="false">(G39*54.5)/1000</f>
        <v>15.2712</v>
      </c>
      <c r="L39" s="333" t="n">
        <f aca="false">(H39*54.5)/1000</f>
        <v>11.4912</v>
      </c>
      <c r="M39" s="333" t="n">
        <f aca="false">(I39*54.5)/1000</f>
        <v>9.2664</v>
      </c>
      <c r="N39" s="337" t="n">
        <v>1000</v>
      </c>
      <c r="O39" s="337" t="n">
        <f aca="false">Table7[[#This Row],[Ah Rating]]/10</f>
        <v>100</v>
      </c>
      <c r="P39" s="338" t="n">
        <v>20</v>
      </c>
    </row>
    <row r="40" customFormat="false" ht="15" hidden="false" customHeight="false" outlineLevel="0" collapsed="false">
      <c r="A40" s="332" t="s">
        <v>527</v>
      </c>
      <c r="B40" s="336" t="n">
        <v>1372</v>
      </c>
      <c r="C40" s="336" t="n">
        <v>930</v>
      </c>
      <c r="D40" s="336" t="n">
        <v>708</v>
      </c>
      <c r="E40" s="342" t="n">
        <v>579</v>
      </c>
      <c r="F40" s="333" t="n">
        <f aca="false">((B40*24)/54.5)*0.9</f>
        <v>543.765137614679</v>
      </c>
      <c r="G40" s="333" t="n">
        <f aca="false">((C40*24)/54.5)*0.9</f>
        <v>368.587155963303</v>
      </c>
      <c r="H40" s="333" t="n">
        <f aca="false">((D40*24)/54.5)*0.9</f>
        <v>280.601834862385</v>
      </c>
      <c r="I40" s="333" t="n">
        <f aca="false">((E40*24)/54.5)*0.9</f>
        <v>229.475229357798</v>
      </c>
      <c r="J40" s="333" t="n">
        <f aca="false">(F40*54.5)/1000</f>
        <v>29.6352</v>
      </c>
      <c r="K40" s="333" t="n">
        <f aca="false">(G40*54.5)/1000</f>
        <v>20.088</v>
      </c>
      <c r="L40" s="333" t="n">
        <f aca="false">(H40*54.5)/1000</f>
        <v>15.2928</v>
      </c>
      <c r="M40" s="333" t="n">
        <f aca="false">(I40*54.5)/1000</f>
        <v>12.5064</v>
      </c>
      <c r="N40" s="337" t="n">
        <v>1500</v>
      </c>
      <c r="O40" s="337" t="n">
        <f aca="false">Table7[[#This Row],[Ah Rating]]/10</f>
        <v>150</v>
      </c>
      <c r="P40" s="338" t="n">
        <v>20</v>
      </c>
    </row>
    <row r="41" customFormat="false" ht="15" hidden="false" customHeight="false" outlineLevel="0" collapsed="false">
      <c r="A41" s="332" t="s">
        <v>786</v>
      </c>
      <c r="B41" s="336" t="n">
        <v>1830</v>
      </c>
      <c r="C41" s="336" t="n">
        <v>1239</v>
      </c>
      <c r="D41" s="336" t="n">
        <v>944</v>
      </c>
      <c r="E41" s="342" t="n">
        <v>773</v>
      </c>
      <c r="F41" s="333" t="n">
        <f aca="false">((B41*24)/54.5)*0.9</f>
        <v>725.284403669725</v>
      </c>
      <c r="G41" s="333" t="n">
        <f aca="false">((C41*24)/54.5)*0.9</f>
        <v>491.053211009174</v>
      </c>
      <c r="H41" s="333" t="n">
        <f aca="false">((D41*24)/54.5)*0.9</f>
        <v>374.135779816514</v>
      </c>
      <c r="I41" s="333" t="n">
        <f aca="false">((E41*24)/54.5)*0.9</f>
        <v>306.363302752294</v>
      </c>
      <c r="J41" s="333" t="n">
        <f aca="false">(F41*54.5)/1000</f>
        <v>39.528</v>
      </c>
      <c r="K41" s="333" t="n">
        <f aca="false">(G41*54.5)/1000</f>
        <v>26.7624</v>
      </c>
      <c r="L41" s="333" t="n">
        <f aca="false">(H41*54.5)/1000</f>
        <v>20.3904</v>
      </c>
      <c r="M41" s="333" t="n">
        <f aca="false">(I41*54.5)/1000</f>
        <v>16.6968</v>
      </c>
      <c r="N41" s="337" t="n">
        <v>2000</v>
      </c>
      <c r="O41" s="337" t="n">
        <f aca="false">Table7[[#This Row],[Ah Rating]]/10</f>
        <v>200</v>
      </c>
      <c r="P41" s="338" t="n">
        <v>20</v>
      </c>
    </row>
    <row r="42" customFormat="false" ht="15" hidden="false" customHeight="false" outlineLevel="0" collapsed="false">
      <c r="A42" s="332" t="s">
        <v>1647</v>
      </c>
      <c r="B42" s="336" t="n">
        <v>1183</v>
      </c>
      <c r="C42" s="336" t="n">
        <v>721</v>
      </c>
      <c r="D42" s="336" t="n">
        <v>526</v>
      </c>
      <c r="E42" s="342" t="n">
        <v>418</v>
      </c>
      <c r="F42" s="333" t="n">
        <f aca="false">((B42*24)/54.5)*0.9</f>
        <v>468.85871559633</v>
      </c>
      <c r="G42" s="333" t="n">
        <f aca="false">((C42*24)/54.5)*0.9</f>
        <v>285.754128440367</v>
      </c>
      <c r="H42" s="333" t="n">
        <f aca="false">((D42*24)/54.5)*0.9</f>
        <v>208.469724770642</v>
      </c>
      <c r="I42" s="333" t="n">
        <f aca="false">((E42*24)/54.5)*0.9</f>
        <v>165.666055045872</v>
      </c>
      <c r="J42" s="333" t="n">
        <f aca="false">(F42*54.5)/1000</f>
        <v>25.5528</v>
      </c>
      <c r="K42" s="333" t="n">
        <f aca="false">(G42*54.5)/1000</f>
        <v>15.5736</v>
      </c>
      <c r="L42" s="333" t="n">
        <f aca="false">(H42*54.5)/1000</f>
        <v>11.3616</v>
      </c>
      <c r="M42" s="333" t="n">
        <f aca="false">(I42*54.5)/1000</f>
        <v>9.0288</v>
      </c>
      <c r="N42" s="337" t="n">
        <v>1000</v>
      </c>
      <c r="O42" s="337" t="n">
        <f aca="false">Table7[[#This Row],[Ah Rating]]/10</f>
        <v>100</v>
      </c>
      <c r="P42" s="338" t="n">
        <v>20</v>
      </c>
    </row>
    <row r="43" customFormat="false" ht="15" hidden="false" customHeight="false" outlineLevel="0" collapsed="false">
      <c r="A43" s="332" t="s">
        <v>689</v>
      </c>
      <c r="B43" s="336" t="n">
        <v>1602</v>
      </c>
      <c r="C43" s="336" t="n">
        <v>1009</v>
      </c>
      <c r="D43" s="336" t="n">
        <v>736</v>
      </c>
      <c r="E43" s="342" t="n">
        <v>585</v>
      </c>
      <c r="F43" s="333" t="n">
        <f aca="false">((B43*24)/54.5)*0.9</f>
        <v>634.921100917431</v>
      </c>
      <c r="G43" s="333" t="n">
        <f aca="false">((C43*24)/54.5)*0.9</f>
        <v>399.897247706422</v>
      </c>
      <c r="H43" s="333" t="n">
        <f aca="false">((D43*24)/54.5)*0.9</f>
        <v>291.699082568807</v>
      </c>
      <c r="I43" s="333" t="n">
        <f aca="false">((E43*24)/54.5)*0.9</f>
        <v>231.853211009174</v>
      </c>
      <c r="J43" s="333" t="n">
        <f aca="false">(F43*54.5)/1000</f>
        <v>34.6032</v>
      </c>
      <c r="K43" s="333" t="n">
        <f aca="false">(G43*54.5)/1000</f>
        <v>21.7944</v>
      </c>
      <c r="L43" s="333" t="n">
        <f aca="false">(H43*54.5)/1000</f>
        <v>15.8976</v>
      </c>
      <c r="M43" s="333" t="n">
        <f aca="false">(I43*54.5)/1000</f>
        <v>12.636</v>
      </c>
      <c r="N43" s="337" t="n">
        <v>14000</v>
      </c>
      <c r="O43" s="337" t="n">
        <f aca="false">Table7[[#This Row],[Ah Rating]]/10</f>
        <v>1400</v>
      </c>
      <c r="P43" s="338" t="n">
        <v>25</v>
      </c>
    </row>
    <row r="44" customFormat="false" ht="15" hidden="false" customHeight="false" outlineLevel="0" collapsed="false">
      <c r="A44" s="331" t="s">
        <v>412</v>
      </c>
      <c r="B44" s="327" t="n">
        <v>2022.5</v>
      </c>
      <c r="C44" s="327" t="n">
        <v>1268.4</v>
      </c>
      <c r="D44" s="327" t="n">
        <v>933</v>
      </c>
      <c r="E44" s="341" t="n">
        <v>741.8</v>
      </c>
      <c r="F44" s="328" t="n">
        <f aca="false">((B44*24)/54.5)*0.9</f>
        <v>801.577981651376</v>
      </c>
      <c r="G44" s="328" t="n">
        <f aca="false">((C44*24)/54.5)*0.9</f>
        <v>502.705321100917</v>
      </c>
      <c r="H44" s="328" t="n">
        <f aca="false">((D44*24)/54.5)*0.9</f>
        <v>369.776146788991</v>
      </c>
      <c r="I44" s="328" t="n">
        <f aca="false">((E44*24)/54.5)*0.9</f>
        <v>293.997798165138</v>
      </c>
      <c r="J44" s="328" t="n">
        <f aca="false">(F44*54.5)/1000</f>
        <v>43.686</v>
      </c>
      <c r="K44" s="328" t="n">
        <f aca="false">(G44*54.5)/1000</f>
        <v>27.39744</v>
      </c>
      <c r="L44" s="328" t="n">
        <f aca="false">(H44*54.5)/1000</f>
        <v>20.1528</v>
      </c>
      <c r="M44" s="328" t="n">
        <f aca="false">(I44*54.5)/1000</f>
        <v>16.02288</v>
      </c>
      <c r="N44" s="329" t="n">
        <v>2000</v>
      </c>
      <c r="O44" s="329" t="n">
        <f aca="false">Table7[[#This Row],[Ah Rating]]/10</f>
        <v>200</v>
      </c>
      <c r="P44" s="340"/>
    </row>
    <row r="45" customFormat="false" ht="15" hidden="false" customHeight="false" outlineLevel="0" collapsed="false">
      <c r="A45" s="331" t="s">
        <v>1648</v>
      </c>
      <c r="B45" s="327" t="n">
        <v>1854</v>
      </c>
      <c r="C45" s="327" t="n">
        <v>1173</v>
      </c>
      <c r="D45" s="327" t="n">
        <v>853</v>
      </c>
      <c r="E45" s="341" t="n">
        <v>671</v>
      </c>
      <c r="F45" s="328" t="n">
        <f aca="false">((B45*24)/54.5)*0.9</f>
        <v>734.796330275229</v>
      </c>
      <c r="G45" s="328" t="n">
        <f aca="false">((C45*24)/54.5)*0.9</f>
        <v>464.895412844037</v>
      </c>
      <c r="H45" s="328" t="n">
        <f aca="false">((D45*24)/54.5)*0.9</f>
        <v>338.069724770642</v>
      </c>
      <c r="I45" s="328" t="n">
        <f aca="false">((E45*24)/54.5)*0.9</f>
        <v>265.937614678899</v>
      </c>
      <c r="J45" s="328" t="n">
        <f aca="false">(F45*54.5)/1000</f>
        <v>40.0464</v>
      </c>
      <c r="K45" s="328" t="n">
        <f aca="false">(G45*54.5)/1000</f>
        <v>25.3368</v>
      </c>
      <c r="L45" s="328" t="n">
        <f aca="false">(H45*54.5)/1000</f>
        <v>18.4248</v>
      </c>
      <c r="M45" s="328" t="n">
        <f aca="false">(I45*54.5)/1000</f>
        <v>14.4936</v>
      </c>
      <c r="N45" s="329" t="n">
        <v>1600</v>
      </c>
      <c r="O45" s="329" t="n">
        <f aca="false">Table7[[#This Row],[Ah Rating]]/10</f>
        <v>160</v>
      </c>
      <c r="P45" s="340"/>
    </row>
    <row r="46" customFormat="false" ht="15" hidden="false" customHeight="false" outlineLevel="0" collapsed="false">
      <c r="A46" s="331" t="s">
        <v>638</v>
      </c>
      <c r="B46" s="327" t="n">
        <v>3066.7</v>
      </c>
      <c r="C46" s="327" t="n">
        <v>1908.9</v>
      </c>
      <c r="D46" s="327" t="n">
        <v>1392.8</v>
      </c>
      <c r="E46" s="341" t="n">
        <v>1106.6</v>
      </c>
      <c r="F46" s="328" t="n">
        <f aca="false">((B46*24)/54.5)*0.9</f>
        <v>1215.42605504587</v>
      </c>
      <c r="G46" s="328" t="n">
        <f aca="false">((C46*24)/54.5)*0.9</f>
        <v>756.554862385321</v>
      </c>
      <c r="H46" s="328" t="n">
        <f aca="false">((D46*24)/54.5)*0.9</f>
        <v>552.00880733945</v>
      </c>
      <c r="I46" s="328" t="n">
        <f aca="false">((E46*24)/54.5)*0.9</f>
        <v>438.579082568807</v>
      </c>
      <c r="J46" s="328" t="n">
        <f aca="false">(F46*54.5)/1000</f>
        <v>66.24072</v>
      </c>
      <c r="K46" s="328" t="n">
        <f aca="false">(G46*54.5)/1000</f>
        <v>41.23224</v>
      </c>
      <c r="L46" s="328" t="n">
        <f aca="false">(H46*54.5)/1000</f>
        <v>30.08448</v>
      </c>
      <c r="M46" s="328" t="n">
        <f aca="false">(I46*54.5)/1000</f>
        <v>23.90256</v>
      </c>
      <c r="N46" s="329" t="n">
        <v>3000</v>
      </c>
      <c r="O46" s="329" t="n">
        <f aca="false">Table7[[#This Row],[Ah Rating]]/10</f>
        <v>300</v>
      </c>
      <c r="P46" s="340"/>
    </row>
    <row r="47" customFormat="false" ht="15" hidden="false" customHeight="false" outlineLevel="0" collapsed="false">
      <c r="A47" s="331" t="s">
        <v>1649</v>
      </c>
      <c r="B47" s="327" t="n">
        <v>1349</v>
      </c>
      <c r="C47" s="327" t="n">
        <v>865</v>
      </c>
      <c r="D47" s="327" t="n">
        <v>631</v>
      </c>
      <c r="E47" s="341" t="n">
        <v>502</v>
      </c>
      <c r="F47" s="328" t="n">
        <f aca="false">((B47*24)/54.5)*0.9</f>
        <v>534.649541284404</v>
      </c>
      <c r="G47" s="328" t="n">
        <f aca="false">((C47*24)/54.5)*0.9</f>
        <v>342.825688073395</v>
      </c>
      <c r="H47" s="328" t="n">
        <f aca="false">((D47*24)/54.5)*0.9</f>
        <v>250.084403669725</v>
      </c>
      <c r="I47" s="328" t="n">
        <f aca="false">((E47*24)/54.5)*0.9</f>
        <v>198.957798165138</v>
      </c>
      <c r="J47" s="328" t="n">
        <f aca="false">(F47*54.5)/1000</f>
        <v>29.1384</v>
      </c>
      <c r="K47" s="328" t="n">
        <f aca="false">(G47*54.5)/1000</f>
        <v>18.684</v>
      </c>
      <c r="L47" s="328" t="n">
        <f aca="false">(H47*54.5)/1000</f>
        <v>13.6296</v>
      </c>
      <c r="M47" s="328" t="n">
        <f aca="false">(I47*54.5)/1000</f>
        <v>10.8432</v>
      </c>
      <c r="N47" s="329" t="n">
        <v>1200</v>
      </c>
      <c r="O47" s="329" t="n">
        <f aca="false">Table7[[#This Row],[Ah Rating]]/10</f>
        <v>120</v>
      </c>
      <c r="P47" s="340"/>
    </row>
    <row r="48" customFormat="false" ht="15" hidden="false" customHeight="false" outlineLevel="0" collapsed="false">
      <c r="A48" s="331" t="s">
        <v>732</v>
      </c>
      <c r="B48" s="327" t="n">
        <v>776</v>
      </c>
      <c r="C48" s="327" t="n">
        <v>472</v>
      </c>
      <c r="D48" s="327" t="n">
        <v>345</v>
      </c>
      <c r="E48" s="341" t="n">
        <v>274</v>
      </c>
      <c r="F48" s="328" t="n">
        <f aca="false">((B48*24)/54.5)*0.9</f>
        <v>307.552293577982</v>
      </c>
      <c r="G48" s="328" t="n">
        <f aca="false">((C48*24)/54.5)*0.9</f>
        <v>187.067889908257</v>
      </c>
      <c r="H48" s="328" t="n">
        <f aca="false">((D48*24)/54.5)*0.9</f>
        <v>136.733944954128</v>
      </c>
      <c r="I48" s="328" t="n">
        <f aca="false">((E48*24)/54.5)*0.9</f>
        <v>108.594495412844</v>
      </c>
      <c r="J48" s="328" t="n">
        <f aca="false">(F48*54.5)/1000</f>
        <v>16.7616</v>
      </c>
      <c r="K48" s="328" t="n">
        <f aca="false">(G48*54.5)/1000</f>
        <v>10.1952</v>
      </c>
      <c r="L48" s="328" t="n">
        <f aca="false">(H48*54.5)/1000</f>
        <v>7.452</v>
      </c>
      <c r="M48" s="328" t="n">
        <f aca="false">(I48*54.5)/1000</f>
        <v>5.9184</v>
      </c>
      <c r="N48" s="329" t="n">
        <v>652</v>
      </c>
      <c r="O48" s="329" t="n">
        <f aca="false">Table7[[#This Row],[Ah Rating]]/10</f>
        <v>65.2</v>
      </c>
      <c r="P48" s="340"/>
    </row>
    <row r="49" customFormat="false" ht="15" hidden="false" customHeight="false" outlineLevel="0" collapsed="false">
      <c r="A49" s="331" t="s">
        <v>1650</v>
      </c>
      <c r="B49" s="327" t="n">
        <v>1899</v>
      </c>
      <c r="C49" s="327" t="n">
        <v>1200</v>
      </c>
      <c r="D49" s="327" t="n">
        <v>893</v>
      </c>
      <c r="E49" s="341" t="n">
        <v>720</v>
      </c>
      <c r="F49" s="328" t="n">
        <f aca="false">((B49*24)/54.5)*0.9</f>
        <v>752.631192660551</v>
      </c>
      <c r="G49" s="328" t="n">
        <f aca="false">((C49*24)/54.5)*0.9</f>
        <v>475.596330275229</v>
      </c>
      <c r="H49" s="328" t="n">
        <f aca="false">((D49*24)/54.5)*0.9</f>
        <v>353.922935779816</v>
      </c>
      <c r="I49" s="328" t="n">
        <f aca="false">((E49*24)/54.5)*0.9</f>
        <v>285.357798165138</v>
      </c>
      <c r="J49" s="328" t="n">
        <f aca="false">(F49*54.5)/1000</f>
        <v>41.0184</v>
      </c>
      <c r="K49" s="328" t="n">
        <f aca="false">(G49*54.5)/1000</f>
        <v>25.92</v>
      </c>
      <c r="L49" s="328" t="n">
        <f aca="false">(H49*54.5)/1000</f>
        <v>19.2888</v>
      </c>
      <c r="M49" s="328" t="n">
        <f aca="false">(I49*54.5)/1000</f>
        <v>15.552</v>
      </c>
      <c r="N49" s="329" t="n">
        <v>1680</v>
      </c>
      <c r="O49" s="329" t="n">
        <f aca="false">Table7[[#This Row],[Ah Rating]]/10</f>
        <v>168</v>
      </c>
      <c r="P49" s="340"/>
    </row>
    <row r="50" customFormat="false" ht="15" hidden="false" customHeight="false" outlineLevel="0" collapsed="false">
      <c r="A50" s="331" t="s">
        <v>324</v>
      </c>
      <c r="B50" s="327" t="n">
        <v>591</v>
      </c>
      <c r="C50" s="327" t="n">
        <v>355</v>
      </c>
      <c r="D50" s="327" t="n">
        <v>254</v>
      </c>
      <c r="E50" s="341" t="n">
        <v>203</v>
      </c>
      <c r="F50" s="328" t="n">
        <f aca="false">((B50*24)/54.5)*0.9</f>
        <v>234.23119266055</v>
      </c>
      <c r="G50" s="328" t="n">
        <f aca="false">((C50*24)/54.5)*0.9</f>
        <v>140.697247706422</v>
      </c>
      <c r="H50" s="328" t="n">
        <f aca="false">((D50*24)/54.5)*0.9</f>
        <v>100.667889908257</v>
      </c>
      <c r="I50" s="328" t="n">
        <f aca="false">((E50*24)/54.5)*0.9</f>
        <v>80.4550458715596</v>
      </c>
      <c r="J50" s="328" t="n">
        <f aca="false">(F50*54.5)/1000</f>
        <v>12.7656</v>
      </c>
      <c r="K50" s="328" t="n">
        <f aca="false">(G50*54.5)/1000</f>
        <v>7.668</v>
      </c>
      <c r="L50" s="328" t="n">
        <f aca="false">(H50*54.5)/1000</f>
        <v>5.4864</v>
      </c>
      <c r="M50" s="328" t="n">
        <f aca="false">(I50*54.5)/1000</f>
        <v>4.3848</v>
      </c>
      <c r="N50" s="329" t="n">
        <v>489</v>
      </c>
      <c r="O50" s="329" t="n">
        <f aca="false">Table7[[#This Row],[Ah Rating]]/10</f>
        <v>48.9</v>
      </c>
      <c r="P50" s="340"/>
    </row>
    <row r="51" customFormat="false" ht="15" hidden="false" customHeight="false" outlineLevel="0" collapsed="false">
      <c r="A51" s="331" t="s">
        <v>1651</v>
      </c>
      <c r="B51" s="327" t="n">
        <v>197</v>
      </c>
      <c r="C51" s="327" t="n">
        <v>118</v>
      </c>
      <c r="D51" s="327" t="n">
        <v>84.8</v>
      </c>
      <c r="E51" s="341" t="n">
        <v>67.5</v>
      </c>
      <c r="F51" s="328" t="n">
        <f aca="false">((B51*24)/54.5)*0.9</f>
        <v>78.0770642201835</v>
      </c>
      <c r="G51" s="328" t="n">
        <f aca="false">((C51*24)/54.5)*0.9</f>
        <v>46.7669724770642</v>
      </c>
      <c r="H51" s="328" t="n">
        <f aca="false">((D51*24)/54.5)*0.9</f>
        <v>33.6088073394495</v>
      </c>
      <c r="I51" s="328" t="n">
        <f aca="false">((E51*24)/54.5)*0.9</f>
        <v>26.7522935779817</v>
      </c>
      <c r="J51" s="328" t="n">
        <f aca="false">(F51*54.5)/1000</f>
        <v>4.2552</v>
      </c>
      <c r="K51" s="328" t="n">
        <f aca="false">(G51*54.5)/1000</f>
        <v>2.5488</v>
      </c>
      <c r="L51" s="328" t="n">
        <f aca="false">(H51*54.5)/1000</f>
        <v>1.83168</v>
      </c>
      <c r="M51" s="328" t="n">
        <f aca="false">(I51*54.5)/1000</f>
        <v>1.458</v>
      </c>
      <c r="N51" s="329" t="n">
        <v>163</v>
      </c>
      <c r="O51" s="329" t="n">
        <f aca="false">Table7[[#This Row],[Ah Rating]]/10</f>
        <v>16.3</v>
      </c>
      <c r="P51" s="340"/>
    </row>
    <row r="52" customFormat="false" ht="15" hidden="false" customHeight="false" outlineLevel="0" collapsed="false">
      <c r="A52" s="331" t="s">
        <v>1652</v>
      </c>
      <c r="B52" s="327" t="n">
        <v>394</v>
      </c>
      <c r="C52" s="327" t="n">
        <v>237</v>
      </c>
      <c r="D52" s="327" t="n">
        <v>170</v>
      </c>
      <c r="E52" s="341" t="n">
        <v>135</v>
      </c>
      <c r="F52" s="328" t="n">
        <f aca="false">((B52*24)/54.5)*0.9</f>
        <v>156.154128440367</v>
      </c>
      <c r="G52" s="328" t="n">
        <f aca="false">((C52*24)/54.5)*0.9</f>
        <v>93.9302752293578</v>
      </c>
      <c r="H52" s="328" t="n">
        <f aca="false">((D52*24)/54.5)*0.9</f>
        <v>67.3761467889908</v>
      </c>
      <c r="I52" s="328" t="n">
        <f aca="false">((E52*24)/54.5)*0.9</f>
        <v>53.5045871559633</v>
      </c>
      <c r="J52" s="328" t="n">
        <f aca="false">(F52*54.5)/1000</f>
        <v>8.5104</v>
      </c>
      <c r="K52" s="328" t="n">
        <f aca="false">(G52*54.5)/1000</f>
        <v>5.1192</v>
      </c>
      <c r="L52" s="328" t="n">
        <f aca="false">(H52*54.5)/1000</f>
        <v>3.672</v>
      </c>
      <c r="M52" s="328" t="n">
        <f aca="false">(I52*54.5)/1000</f>
        <v>2.916</v>
      </c>
      <c r="N52" s="329" t="n">
        <v>260</v>
      </c>
      <c r="O52" s="329" t="n">
        <f aca="false">Table7[[#This Row],[Ah Rating]]/10</f>
        <v>26</v>
      </c>
      <c r="P52" s="340"/>
    </row>
  </sheetData>
  <sheetProtection algorithmName="SHA-512" hashValue="rvGT4SxtL4+oFETMRl84ymBrOSitQPFqj0SqNTiG0sh0vJGTYpfN6pQc1zCE1C0NtNL1k78/PclqVIBJpHLDOQ==" saltValue="v8SGYvVbMlUGV+BmwwwVhQ==" spinCount="100000" sheet="true" objects="true" scenarios="true"/>
  <mergeCells count="3">
    <mergeCell ref="B2:E2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875" defaultRowHeight="13.15" zeroHeight="false" outlineLevelRow="0" outlineLevelCol="0"/>
  <cols>
    <col collapsed="false" customWidth="true" hidden="false" outlineLevel="0" max="4" min="4" style="0" width="10"/>
  </cols>
  <sheetData>
    <row r="1" customFormat="false" ht="13.15" hidden="false" customHeight="false" outlineLevel="0" collapsed="false">
      <c r="A1" s="0" t="s">
        <v>859</v>
      </c>
      <c r="B1" s="0" t="s">
        <v>1658</v>
      </c>
      <c r="C1" s="0" t="s">
        <v>1659</v>
      </c>
      <c r="D1" s="44" t="s">
        <v>1660</v>
      </c>
      <c r="E1" s="44" t="s">
        <v>1661</v>
      </c>
      <c r="F1" s="44" t="s">
        <v>1662</v>
      </c>
    </row>
    <row r="2" customFormat="false" ht="13.15" hidden="false" customHeight="false" outlineLevel="0" collapsed="false">
      <c r="A2" s="0" t="s">
        <v>844</v>
      </c>
      <c r="B2" s="58" t="n">
        <v>7.4</v>
      </c>
      <c r="C2" s="0" t="n">
        <v>4</v>
      </c>
      <c r="D2" s="0" t="n">
        <f aca="false">SUM(B2*C2)</f>
        <v>29.6</v>
      </c>
      <c r="E2" s="345" t="n">
        <f aca="false">SUM(D2:D6)</f>
        <v>121.8</v>
      </c>
      <c r="F2" s="345" t="n">
        <f aca="false">SUM(E2/100)*75</f>
        <v>91.35</v>
      </c>
    </row>
    <row r="3" customFormat="false" ht="13.15" hidden="false" customHeight="false" outlineLevel="0" collapsed="false">
      <c r="A3" s="44" t="s">
        <v>844</v>
      </c>
      <c r="B3" s="58" t="n">
        <v>13.4</v>
      </c>
      <c r="C3" s="0" t="n">
        <v>3</v>
      </c>
      <c r="D3" s="0" t="n">
        <f aca="false">SUM(B3*C3)</f>
        <v>40.2</v>
      </c>
      <c r="E3" s="345"/>
      <c r="F3" s="345"/>
    </row>
    <row r="4" customFormat="false" ht="13.15" hidden="false" customHeight="false" outlineLevel="0" collapsed="false">
      <c r="A4" s="44" t="s">
        <v>1663</v>
      </c>
      <c r="B4" s="0" t="n">
        <v>7.4</v>
      </c>
      <c r="C4" s="0" t="n">
        <v>2</v>
      </c>
      <c r="D4" s="0" t="n">
        <f aca="false">SUM(B4*C4)</f>
        <v>14.8</v>
      </c>
      <c r="E4" s="345"/>
      <c r="F4" s="345"/>
    </row>
    <row r="5" customFormat="false" ht="13.15" hidden="false" customHeight="false" outlineLevel="0" collapsed="false">
      <c r="A5" s="44" t="s">
        <v>846</v>
      </c>
      <c r="B5" s="0" t="n">
        <v>7.5</v>
      </c>
      <c r="C5" s="0" t="n">
        <v>2</v>
      </c>
      <c r="D5" s="0" t="n">
        <f aca="false">SUM(B5*C5)</f>
        <v>15</v>
      </c>
      <c r="E5" s="345"/>
      <c r="F5" s="345"/>
    </row>
    <row r="6" customFormat="false" ht="13.15" hidden="false" customHeight="false" outlineLevel="0" collapsed="false">
      <c r="A6" s="44" t="s">
        <v>794</v>
      </c>
      <c r="B6" s="0" t="n">
        <v>7.4</v>
      </c>
      <c r="C6" s="0" t="n">
        <v>3</v>
      </c>
      <c r="D6" s="0" t="n">
        <f aca="false">SUM(B6*C6)</f>
        <v>22.2</v>
      </c>
      <c r="E6" s="345"/>
      <c r="F6" s="345"/>
    </row>
    <row r="7" customFormat="false" ht="13.15" hidden="false" customHeight="false" outlineLevel="0" collapsed="false">
      <c r="A7" s="44" t="s">
        <v>837</v>
      </c>
      <c r="B7" s="0" t="n">
        <v>18</v>
      </c>
      <c r="C7" s="0" t="n">
        <v>2</v>
      </c>
      <c r="D7" s="0" t="n">
        <f aca="false">SUM(B7*C7)</f>
        <v>36</v>
      </c>
      <c r="E7" s="345" t="n">
        <f aca="false">SUM(D7:D8)</f>
        <v>96</v>
      </c>
      <c r="F7" s="345" t="n">
        <f aca="false">SUM(E7/100)*75</f>
        <v>72</v>
      </c>
    </row>
    <row r="8" customFormat="false" ht="13.15" hidden="false" customHeight="false" outlineLevel="0" collapsed="false">
      <c r="A8" s="44" t="s">
        <v>1664</v>
      </c>
      <c r="B8" s="0" t="n">
        <v>30</v>
      </c>
      <c r="C8" s="0" t="n">
        <v>2</v>
      </c>
      <c r="D8" s="0" t="n">
        <f aca="false">SUM(B8*C8)</f>
        <v>60</v>
      </c>
      <c r="E8" s="345"/>
      <c r="F8" s="345"/>
    </row>
    <row r="9" customFormat="false" ht="13.15" hidden="false" customHeight="false" outlineLevel="0" collapsed="false">
      <c r="A9" s="44" t="s">
        <v>373</v>
      </c>
      <c r="B9" s="0" t="n">
        <v>35</v>
      </c>
      <c r="C9" s="0" t="n">
        <v>1</v>
      </c>
      <c r="D9" s="0" t="n">
        <f aca="false">SUM(B9*C9)</f>
        <v>35</v>
      </c>
      <c r="E9" s="345" t="n">
        <f aca="false">SUM(D9:D11)</f>
        <v>155</v>
      </c>
      <c r="F9" s="345" t="n">
        <f aca="false">SUM(E9/100)*75</f>
        <v>116.25</v>
      </c>
    </row>
    <row r="10" customFormat="false" ht="13.15" hidden="false" customHeight="false" outlineLevel="0" collapsed="false">
      <c r="A10" s="44" t="s">
        <v>373</v>
      </c>
      <c r="B10" s="0" t="n">
        <v>30</v>
      </c>
      <c r="C10" s="0" t="n">
        <v>1</v>
      </c>
      <c r="D10" s="0" t="n">
        <f aca="false">SUM(B10*C10)</f>
        <v>30</v>
      </c>
      <c r="E10" s="345"/>
      <c r="F10" s="345"/>
    </row>
    <row r="11" customFormat="false" ht="13.15" hidden="false" customHeight="false" outlineLevel="0" collapsed="false">
      <c r="A11" s="44" t="s">
        <v>856</v>
      </c>
      <c r="B11" s="0" t="n">
        <v>10</v>
      </c>
      <c r="C11" s="0" t="n">
        <v>9</v>
      </c>
      <c r="D11" s="0" t="n">
        <f aca="false">SUM(B11*C11)</f>
        <v>90</v>
      </c>
      <c r="E11" s="345"/>
      <c r="F11" s="345"/>
    </row>
    <row r="12" customFormat="false" ht="13.15" hidden="false" customHeight="false" outlineLevel="0" collapsed="false">
      <c r="A12" s="44" t="s">
        <v>637</v>
      </c>
      <c r="B12" s="0" t="n">
        <v>40</v>
      </c>
      <c r="C12" s="0" t="n">
        <v>2</v>
      </c>
      <c r="D12" s="0" t="n">
        <f aca="false">SUM(B12*C12)</f>
        <v>80</v>
      </c>
      <c r="E12" s="345" t="n">
        <f aca="false">SUM(D12:D13)</f>
        <v>110</v>
      </c>
      <c r="F12" s="345" t="n">
        <f aca="false">SUM(E12/100)*75</f>
        <v>82.5</v>
      </c>
    </row>
    <row r="13" customFormat="false" ht="13.15" hidden="false" customHeight="false" outlineLevel="0" collapsed="false">
      <c r="A13" s="44" t="s">
        <v>1665</v>
      </c>
      <c r="B13" s="0" t="n">
        <v>30</v>
      </c>
      <c r="C13" s="0" t="n">
        <v>1</v>
      </c>
      <c r="D13" s="0" t="n">
        <f aca="false">SUM(B13*C13)</f>
        <v>30</v>
      </c>
      <c r="E13" s="345"/>
      <c r="F13" s="345"/>
    </row>
  </sheetData>
  <sheetProtection algorithmName="SHA-512" hashValue="aHtUTuTsEQfFPwxAozkIrkRsGdChoKcfu3pTaw0zZ5IkYInDDRJLqsR7zWBMhLjUQrAW4/cAA/q0ZIUzdG6aPg==" saltValue="2Aqc96KfbOi1hCQMXsKTBA==" spinCount="100000" sheet="true" objects="true" scenarios="true"/>
  <mergeCells count="8">
    <mergeCell ref="E2:E6"/>
    <mergeCell ref="F2:F6"/>
    <mergeCell ref="E7:E8"/>
    <mergeCell ref="F7:F8"/>
    <mergeCell ref="E9:E11"/>
    <mergeCell ref="F9:F11"/>
    <mergeCell ref="E12:E13"/>
    <mergeCell ref="F12:F1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&amp;L&amp;"Calibri,Regular"&amp;7C2 General</oddFooter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6C49E0-B529-49A3-8844-2321181D4C26}"/>
</file>

<file path=customXml/itemProps2.xml><?xml version="1.0" encoding="utf-8"?>
<ds:datastoreItem xmlns:ds="http://schemas.openxmlformats.org/officeDocument/2006/customXml" ds:itemID="{F54C52EE-9969-49F4-B363-0B671CD258AE}"/>
</file>

<file path=customXml/itemProps3.xml><?xml version="1.0" encoding="utf-8"?>
<ds:datastoreItem xmlns:ds="http://schemas.openxmlformats.org/officeDocument/2006/customXml" ds:itemID="{BCBFE4F5-F063-4400-ADE3-751387CD8AD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2020-06-25T16:19:37Z</dcterms:created>
  <dc:creator>SERVER</dc:creator>
  <dc:description/>
  <dc:language>en-US</dc:language>
  <cp:lastModifiedBy/>
  <dcterms:modified xsi:type="dcterms:W3CDTF">2025-03-10T17:05:50Z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0x010100FECAAE268F7BEC4F81B272404FF520B8</vt:lpwstr>
  </property>
  <property fmtid="{D5CDD505-2E9C-101B-9397-08002B2CF9AE}" pid="4" name="MSIP_Label_0359f705-2ba0-454b-9cfc-6ce5bcaac040_ActionId">
    <vt:lpwstr>2bfb33ab-55b4-469c-9047-b873250735a6</vt:lpwstr>
  </property>
  <property fmtid="{D5CDD505-2E9C-101B-9397-08002B2CF9AE}" pid="5" name="MSIP_Label_0359f705-2ba0-454b-9cfc-6ce5bcaac040_ContentBits">
    <vt:lpwstr>2</vt:lpwstr>
  </property>
  <property fmtid="{D5CDD505-2E9C-101B-9397-08002B2CF9AE}" pid="6" name="MSIP_Label_0359f705-2ba0-454b-9cfc-6ce5bcaac040_Enabled">
    <vt:lpwstr>true</vt:lpwstr>
  </property>
  <property fmtid="{D5CDD505-2E9C-101B-9397-08002B2CF9AE}" pid="7" name="MSIP_Label_0359f705-2ba0-454b-9cfc-6ce5bcaac040_Method">
    <vt:lpwstr>Standard</vt:lpwstr>
  </property>
  <property fmtid="{D5CDD505-2E9C-101B-9397-08002B2CF9AE}" pid="8" name="MSIP_Label_0359f705-2ba0-454b-9cfc-6ce5bcaac040_Name">
    <vt:lpwstr>0359f705-2ba0-454b-9cfc-6ce5bcaac040</vt:lpwstr>
  </property>
  <property fmtid="{D5CDD505-2E9C-101B-9397-08002B2CF9AE}" pid="9" name="MSIP_Label_0359f705-2ba0-454b-9cfc-6ce5bcaac040_SetDate">
    <vt:lpwstr>2023-02-22T17:46:03Z</vt:lpwstr>
  </property>
  <property fmtid="{D5CDD505-2E9C-101B-9397-08002B2CF9AE}" pid="10" name="MSIP_Label_0359f705-2ba0-454b-9cfc-6ce5bcaac040_SiteId">
    <vt:lpwstr>68283f3b-8487-4c86-adb3-a5228f18b893</vt:lpwstr>
  </property>
  <property fmtid="{D5CDD505-2E9C-101B-9397-08002B2CF9AE}" pid="11" name="MediaServiceImageTags">
    <vt:lpwstr/>
  </property>
</Properties>
</file>